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embeddings/oleObject1.bin" ContentType="application/vnd.openxmlformats-officedocument.oleObject"/>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11.xml" ContentType="application/vnd.openxmlformats-officedocument.drawing+xml"/>
  <Override PartName="/xl/comments26.xml" ContentType="application/vnd.openxmlformats-officedocument.spreadsheetml.comments+xml"/>
  <Override PartName="/xl/drawings/drawing12.xml" ContentType="application/vnd.openxmlformats-officedocument.drawing+xml"/>
  <Override PartName="/xl/comments27.xml" ContentType="application/vnd.openxmlformats-officedocument.spreadsheetml.comments+xml"/>
  <Override PartName="/xl/drawings/drawing13.xml" ContentType="application/vnd.openxmlformats-officedocument.drawing+xml"/>
  <Override PartName="/xl/comments28.xml" ContentType="application/vnd.openxmlformats-officedocument.spreadsheetml.comments+xml"/>
  <Override PartName="/xl/drawings/drawing14.xml" ContentType="application/vnd.openxmlformats-officedocument.drawing+xml"/>
  <Override PartName="/xl/comments29.xml" ContentType="application/vnd.openxmlformats-officedocument.spreadsheetml.comments+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omments30.xml" ContentType="application/vnd.openxmlformats-officedocument.spreadsheetml.comments+xml"/>
  <Override PartName="/xl/drawings/drawing1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18.xml" ContentType="application/vnd.openxmlformats-officedocument.drawing+xml"/>
  <Override PartName="/xl/comments33.xml" ContentType="application/vnd.openxmlformats-officedocument.spreadsheetml.comments+xml"/>
  <Override PartName="/xl/drawings/drawing19.xml" ContentType="application/vnd.openxmlformats-officedocument.drawing+xml"/>
  <Override PartName="/xl/comments34.xml" ContentType="application/vnd.openxmlformats-officedocument.spreadsheetml.comments+xml"/>
  <Override PartName="/xl/drawings/drawing20.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ämäTyökirja"/>
  <mc:AlternateContent xmlns:mc="http://schemas.openxmlformats.org/markup-compatibility/2006">
    <mc:Choice Requires="x15">
      <x15ac:absPath xmlns:x15ac="http://schemas.microsoft.com/office/spreadsheetml/2010/11/ac" url="https://edusakky-my.sharepoint.com/personal/mika_mujunen_sakky_fi/Documents/Työ Sakky/www/nettilaskurit/"/>
    </mc:Choice>
  </mc:AlternateContent>
  <xr:revisionPtr revIDLastSave="22" documentId="8_{7C62373B-82A4-4FB1-8D05-1F047840D2D0}" xr6:coauthVersionLast="47" xr6:coauthVersionMax="47" xr10:uidLastSave="{6A478DC9-9023-4AF7-B4E1-323E0758A260}"/>
  <bookViews>
    <workbookView xWindow="38280" yWindow="-120" windowWidth="29040" windowHeight="15720" tabRatio="959" firstSheet="2" activeTab="5" xr2:uid="{00000000-000D-0000-FFFF-FFFF00000000}"/>
  </bookViews>
  <sheets>
    <sheet name="Viljan kuivauksen hintalaskuri" sheetId="76" state="hidden" r:id="rId1"/>
    <sheet name="Traktorin tuntihinta" sheetId="28" state="hidden" r:id="rId2"/>
    <sheet name="Peltoalalaskuri" sheetId="2" r:id="rId3"/>
    <sheet name="Taimilaskuri" sheetId="60" state="hidden" r:id="rId4"/>
    <sheet name="Ohje Marjatila" sheetId="79" state="hidden" r:id="rId5"/>
    <sheet name="Ohje perusmaatila" sheetId="77" r:id="rId6"/>
    <sheet name="Lähtötiedot" sheetId="38" r:id="rId7"/>
    <sheet name="Konerekisteri" sheetId="5" r:id="rId8"/>
    <sheet name="Rakennukset" sheetId="6" r:id="rId9"/>
    <sheet name="Muut kustannustiedot" sheetId="58" r:id="rId10"/>
    <sheet name="LaskeKasvi1" sheetId="10" r:id="rId11"/>
    <sheet name="LaskeKasvi2" sheetId="11" r:id="rId12"/>
    <sheet name="LaskeSäilörehu" sheetId="12" r:id="rId13"/>
    <sheet name="LaskeKasvi4" sheetId="13" state="hidden" r:id="rId14"/>
    <sheet name="LaskeKasvi5" sheetId="14" state="hidden" r:id="rId15"/>
    <sheet name="LaskeMonivuotinenMarja 1" sheetId="61" state="hidden" r:id="rId16"/>
    <sheet name="LaskeMonivuotinenMarja 2" sheetId="66" state="hidden" r:id="rId17"/>
    <sheet name="LaskeMonivuotinenMarja 3" sheetId="69" state="hidden" r:id="rId18"/>
    <sheet name="LaskeMonivuotinenMarja 4" sheetId="68" state="hidden" r:id="rId19"/>
    <sheet name="LaskeMonivuotinenMarja 5" sheetId="67" state="hidden" r:id="rId20"/>
    <sheet name="LaskeMonivuotinenMarja 6" sheetId="63" state="hidden" r:id="rId21"/>
    <sheet name="LaskeMaito1" sheetId="17" r:id="rId22"/>
    <sheet name="LaskeMaito 2" sheetId="48" state="hidden" r:id="rId23"/>
    <sheet name="LaskeMaito 3" sheetId="49" state="hidden" r:id="rId24"/>
    <sheet name="LaskeMaito special" sheetId="53" state="hidden" r:id="rId25"/>
    <sheet name="LaskeLiha" sheetId="20" r:id="rId26"/>
    <sheet name="Laskeliha2" sheetId="22" state="hidden" r:id="rId27"/>
    <sheet name="LaskeLiha special" sheetId="64" state="hidden" r:id="rId28"/>
    <sheet name="EVL yrityksen 1 katelaskenta" sheetId="43" state="hidden" r:id="rId29"/>
    <sheet name="EVL yrityksen 2 katelaskenta" sheetId="44" state="hidden" r:id="rId30"/>
    <sheet name="Metsä" sheetId="41" state="hidden" r:id="rId31"/>
    <sheet name="Lasku" sheetId="40" state="hidden" r:id="rId32"/>
    <sheet name="Hinnoittele jatkojalostus" sheetId="36" state="hidden" r:id="rId33"/>
    <sheet name="LaskeKoneurakointi" sheetId="52" state="hidden" r:id="rId34"/>
    <sheet name="Lainarekisteri" sheetId="33" state="hidden" r:id="rId35"/>
    <sheet name="LaskeKasvihuoneenkasvi" sheetId="15" state="hidden" r:id="rId36"/>
    <sheet name="Rakenna TULOSENNUSTE" sheetId="24" r:id="rId37"/>
    <sheet name="Budjettikuukausittain" sheetId="25" r:id="rId38"/>
    <sheet name="Budjetti useita vuosia" sheetId="55" state="hidden" r:id="rId39"/>
    <sheet name="Grafiikka" sheetId="47" r:id="rId40"/>
    <sheet name="TulosTASE" sheetId="54" state="hidden" r:id="rId41"/>
    <sheet name="Päästölaskenta" sheetId="70" r:id="rId42"/>
    <sheet name="Korkolaskuri" sheetId="26" state="hidden" r:id="rId43"/>
    <sheet name="Hintalaskuri 1" sheetId="80" state="hidden" r:id="rId44"/>
    <sheet name="Annuiteettikertoimet" sheetId="4" state="hidden" r:id="rId45"/>
    <sheet name="TulostaMallilaskelma" sheetId="42" state="hidden" r:id="rId46"/>
    <sheet name="Sonnin kasvusimulaattori" sheetId="9" state="hidden" r:id="rId47"/>
    <sheet name="Simuloi lehmän ruokinta" sheetId="19" state="hidden" r:id="rId48"/>
    <sheet name="Seosruokinta" sheetId="18" state="hidden" r:id="rId49"/>
    <sheet name="Simuloi sonnin ruokinta" sheetId="21" state="hidden" r:id="rId50"/>
  </sheets>
  <definedNames>
    <definedName name="_xlnm._FilterDatabase" localSheetId="49" hidden="1">'Simuloi sonnin ruokinta'!$E$2:$P$11</definedName>
    <definedName name="anscount" hidden="1">2</definedName>
    <definedName name="Ely">'Rakenna TULOSENNUSTE'!$C$103</definedName>
    <definedName name="Hinnoittelumenetelm_t" localSheetId="32">'Hinnoittele jatkojalostus'!$C$61</definedName>
    <definedName name="Kohdistusnimet">Lähtötiedot!$A$60:$A$70</definedName>
    <definedName name="korkosummavertailu">'Rakenna TULOSENNUSTE'!$H$120</definedName>
    <definedName name="Kuivauspolttoöljynmäärä">'Viljan kuivauksen hintalaskuri'!$B$90</definedName>
    <definedName name="Kuivurin_käyttö_yhteensä_h___vuosi">'Viljan kuivauksen hintalaskuri'!$J$72</definedName>
    <definedName name="Lainakohdistus">Lainarekisteri!$O$27:$O$29</definedName>
    <definedName name="Lista" localSheetId="9">'Muut kustannustiedot'!$W$1</definedName>
    <definedName name="Lista">Rakennukset!$W$1</definedName>
    <definedName name="Lista2">Konerekisteri!$N$1</definedName>
    <definedName name="Lähtötiedot">Lähtötiedot!$A$10:$A$21,Lähtötiedot!$A$39:$A$45</definedName>
    <definedName name="OIKAISTU_TULOSLASKELMA" localSheetId="40">TulosTASE!$A$142</definedName>
    <definedName name="OIKAISTU_TULOSLASKELMA">'Rakenna TULOSENNUSTE'!$B$171</definedName>
    <definedName name="T">Lähtötiedot!$F$8</definedName>
    <definedName name="Tilavuuden_mitoitus_m3_puimurin_päiväpuintikapasiteetti_huomioiden">'Viljan kuivauksen hintalaskuri'!$B$51</definedName>
    <definedName name="_xlnm.Print_Area" localSheetId="38">'Budjetti useita vuosia'!$A$1:$T$60</definedName>
    <definedName name="_xlnm.Print_Area" localSheetId="37">Budjettikuukausittain!$A$1:$T$60</definedName>
    <definedName name="_xlnm.Print_Area" localSheetId="28">'EVL yrityksen 1 katelaskenta'!$A$1:$H$71</definedName>
    <definedName name="_xlnm.Print_Area" localSheetId="29">'EVL yrityksen 2 katelaskenta'!$A$1:$H$53</definedName>
    <definedName name="_xlnm.Print_Area" localSheetId="39">Grafiikka!$A$1:$V$71</definedName>
    <definedName name="_xlnm.Print_Area" localSheetId="32">'Hinnoittele jatkojalostus'!$A$1:$AJ$54</definedName>
    <definedName name="_xlnm.Print_Area" localSheetId="43">'Hintalaskuri 1'!$A$1:$Q$84</definedName>
    <definedName name="_xlnm.Print_Area" localSheetId="7">Konerekisteri!$A$1:$N$32</definedName>
    <definedName name="_xlnm.Print_Area" localSheetId="42">Korkolaskuri!$A$1:$O$92</definedName>
    <definedName name="_xlnm.Print_Area" localSheetId="34">Lainarekisteri!$A$1:$O$24</definedName>
    <definedName name="_xlnm.Print_Area" localSheetId="10">LaskeKasvi1!$A$1:$H$87</definedName>
    <definedName name="_xlnm.Print_Area" localSheetId="11">LaskeKasvi2!$A$1:$H$87</definedName>
    <definedName name="_xlnm.Print_Area" localSheetId="13">LaskeKasvi4!$A$1:$H$86</definedName>
    <definedName name="_xlnm.Print_Area" localSheetId="14">LaskeKasvi5!$A$1:$H$86</definedName>
    <definedName name="_xlnm.Print_Area" localSheetId="35">LaskeKasvihuoneenkasvi!$A$1:$H$76</definedName>
    <definedName name="_xlnm.Print_Area" localSheetId="33">LaskeKoneurakointi!$A$1:$H$72</definedName>
    <definedName name="_xlnm.Print_Area" localSheetId="25">LaskeLiha!$A$1:$H$90</definedName>
    <definedName name="_xlnm.Print_Area" localSheetId="27">'LaskeLiha special'!$A$1:$P$126,'LaskeLiha special'!$Q$113:$U$126</definedName>
    <definedName name="_xlnm.Print_Area" localSheetId="26">Laskeliha2!$A$1:$H$93</definedName>
    <definedName name="_xlnm.Print_Area" localSheetId="22">'LaskeMaito 2'!$A$1:$H$121,'LaskeMaito 2'!$I$108:$M$121</definedName>
    <definedName name="_xlnm.Print_Area" localSheetId="23">'LaskeMaito 3'!$A$1:$H$121,'LaskeMaito 3'!$I$108:$M$121</definedName>
    <definedName name="_xlnm.Print_Area" localSheetId="24">'LaskeMaito special'!$A$1:$P$122,'LaskeMaito special'!$Q$109:$U$122</definedName>
    <definedName name="_xlnm.Print_Area" localSheetId="21">LaskeMaito1!$A$1:$H$121,LaskeMaito1!$I$108:$M$121</definedName>
    <definedName name="_xlnm.Print_Area" localSheetId="15">'LaskeMonivuotinenMarja 1'!$A$1:$AA$83</definedName>
    <definedName name="_xlnm.Print_Area" localSheetId="16">'LaskeMonivuotinenMarja 2'!$A$1:$AA$83</definedName>
    <definedName name="_xlnm.Print_Area" localSheetId="17">'LaskeMonivuotinenMarja 3'!$A$1:$AA$83</definedName>
    <definedName name="_xlnm.Print_Area" localSheetId="18">'LaskeMonivuotinenMarja 4'!$A$1:$AA$83</definedName>
    <definedName name="_xlnm.Print_Area" localSheetId="19">'LaskeMonivuotinenMarja 5'!$A$1:$AA$83</definedName>
    <definedName name="_xlnm.Print_Area" localSheetId="20">'LaskeMonivuotinenMarja 6'!$A$1:$AA$83</definedName>
    <definedName name="_xlnm.Print_Area" localSheetId="12">LaskeSäilörehu!$A$1:$H$89</definedName>
    <definedName name="_xlnm.Print_Area" localSheetId="31">Lasku!$B$1:$I$50</definedName>
    <definedName name="_xlnm.Print_Area" localSheetId="6">Lähtötiedot!$A$1:$J$83</definedName>
    <definedName name="_xlnm.Print_Area" localSheetId="30">Metsä!$A$1:$H$76</definedName>
    <definedName name="_xlnm.Print_Area" localSheetId="9">'Muut kustannustiedot'!$A$1:$W$28</definedName>
    <definedName name="_xlnm.Print_Area" localSheetId="36">'Rakenna TULOSENNUSTE'!$B$1:$H$229</definedName>
    <definedName name="_xlnm.Print_Area" localSheetId="8">Rakennukset!$A$1:$W$28</definedName>
    <definedName name="_xlnm.Print_Area" localSheetId="47">'Simuloi lehmän ruokinta'!$A$1:$P$94</definedName>
    <definedName name="_xlnm.Print_Area" localSheetId="49">'Simuloi sonnin ruokinta'!$A$2:$P$95</definedName>
    <definedName name="_xlnm.Print_Area" localSheetId="1">'Traktorin tuntihinta'!$A$1:$U$37</definedName>
    <definedName name="_xlnm.Print_Area" localSheetId="45">TulostaMallilaskelma!$A$1:$F$53</definedName>
    <definedName name="_xlnm.Print_Area" localSheetId="40">TulosTASE!$A$140:$M$200</definedName>
    <definedName name="vaihtoehdor2">Lähtötiedot!$F$9</definedName>
    <definedName name="vaihtoehdot">Lähtötiedot!$F$9</definedName>
    <definedName name="vaihtoehdot2">Lähtötiedot!$F$9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60" l="1"/>
  <c r="V25" i="63"/>
  <c r="V24" i="63"/>
  <c r="V23" i="63"/>
  <c r="P25" i="63"/>
  <c r="P24" i="63"/>
  <c r="P23" i="63"/>
  <c r="J25" i="63"/>
  <c r="J24" i="63"/>
  <c r="J23" i="63"/>
  <c r="V23" i="67"/>
  <c r="V25" i="67"/>
  <c r="V24" i="67"/>
  <c r="P25" i="67"/>
  <c r="P24" i="67"/>
  <c r="P23" i="67"/>
  <c r="J25" i="67"/>
  <c r="J24" i="67"/>
  <c r="J23" i="67"/>
  <c r="V25" i="68"/>
  <c r="V24" i="68"/>
  <c r="V23" i="68"/>
  <c r="P25" i="68"/>
  <c r="P24" i="68"/>
  <c r="P23" i="68"/>
  <c r="J25" i="68"/>
  <c r="J24" i="68"/>
  <c r="J23" i="68"/>
  <c r="V25" i="69"/>
  <c r="V24" i="69"/>
  <c r="V23" i="69"/>
  <c r="P25" i="69"/>
  <c r="P24" i="69"/>
  <c r="P23" i="69"/>
  <c r="J25" i="69"/>
  <c r="J24" i="69"/>
  <c r="J23" i="69"/>
  <c r="D23" i="69"/>
  <c r="D24" i="69"/>
  <c r="D25" i="69"/>
  <c r="V25" i="66"/>
  <c r="V24" i="66"/>
  <c r="V23" i="66"/>
  <c r="P25" i="66"/>
  <c r="P24" i="66"/>
  <c r="P23" i="66"/>
  <c r="J25" i="66"/>
  <c r="J24" i="66"/>
  <c r="J23" i="66"/>
  <c r="D24" i="63"/>
  <c r="D23" i="63"/>
  <c r="D24" i="67"/>
  <c r="D23" i="67"/>
  <c r="D24" i="68"/>
  <c r="D23" i="68"/>
  <c r="D24" i="66"/>
  <c r="D23" i="66"/>
  <c r="V24" i="61"/>
  <c r="J71" i="80"/>
  <c r="J70" i="80"/>
  <c r="J69" i="80"/>
  <c r="J68" i="80"/>
  <c r="J62" i="80"/>
  <c r="E60" i="80"/>
  <c r="D60" i="80"/>
  <c r="K59" i="80"/>
  <c r="L59" i="80" s="1"/>
  <c r="I59" i="80"/>
  <c r="I58" i="80"/>
  <c r="K57" i="80"/>
  <c r="L57" i="80" s="1"/>
  <c r="I57" i="80"/>
  <c r="I56" i="80"/>
  <c r="K55" i="80"/>
  <c r="L55" i="80" s="1"/>
  <c r="I55" i="80"/>
  <c r="I54" i="80"/>
  <c r="K53" i="80"/>
  <c r="L53" i="80" s="1"/>
  <c r="I53" i="80"/>
  <c r="I52" i="80"/>
  <c r="K51" i="80"/>
  <c r="L51" i="80" s="1"/>
  <c r="I51" i="80"/>
  <c r="J50" i="80"/>
  <c r="J51" i="80" s="1"/>
  <c r="J52" i="80" s="1"/>
  <c r="J53" i="80" s="1"/>
  <c r="J54" i="80" s="1"/>
  <c r="J55" i="80" s="1"/>
  <c r="J56" i="80" s="1"/>
  <c r="J57" i="80" s="1"/>
  <c r="J58" i="80" s="1"/>
  <c r="J59" i="80" s="1"/>
  <c r="I50" i="80"/>
  <c r="K49" i="80"/>
  <c r="L49" i="80" s="1"/>
  <c r="J49" i="80"/>
  <c r="I49" i="80"/>
  <c r="E49" i="80"/>
  <c r="E50" i="80" s="1"/>
  <c r="E51" i="80" s="1"/>
  <c r="E52" i="80" s="1"/>
  <c r="E53" i="80" s="1"/>
  <c r="E54" i="80" s="1"/>
  <c r="E55" i="80" s="1"/>
  <c r="E56" i="80" s="1"/>
  <c r="E57" i="80" s="1"/>
  <c r="E58" i="80" s="1"/>
  <c r="E59" i="80" s="1"/>
  <c r="I48" i="80"/>
  <c r="E45" i="80"/>
  <c r="D45" i="80"/>
  <c r="H44" i="80"/>
  <c r="I44" i="80" s="1"/>
  <c r="I43" i="80"/>
  <c r="H43" i="80"/>
  <c r="L42" i="80"/>
  <c r="K42" i="80"/>
  <c r="H42" i="80"/>
  <c r="I42" i="80" s="1"/>
  <c r="I41" i="80"/>
  <c r="H41" i="80"/>
  <c r="K40" i="80"/>
  <c r="L40" i="80" s="1"/>
  <c r="H40" i="80"/>
  <c r="I40" i="80" s="1"/>
  <c r="I39" i="80"/>
  <c r="H39" i="80"/>
  <c r="H38" i="80"/>
  <c r="I38" i="80" s="1"/>
  <c r="I37" i="80"/>
  <c r="H37" i="80"/>
  <c r="H36" i="80"/>
  <c r="I36" i="80" s="1"/>
  <c r="I35" i="80"/>
  <c r="H35" i="80"/>
  <c r="L34" i="80"/>
  <c r="K34" i="80"/>
  <c r="H34" i="80"/>
  <c r="I34" i="80" s="1"/>
  <c r="I33" i="80"/>
  <c r="H33" i="80"/>
  <c r="K32" i="80"/>
  <c r="L32" i="80" s="1"/>
  <c r="H32" i="80"/>
  <c r="I32" i="80" s="1"/>
  <c r="I31" i="80"/>
  <c r="H31" i="80"/>
  <c r="H30" i="80"/>
  <c r="I30" i="80" s="1"/>
  <c r="I29" i="80"/>
  <c r="H29" i="80"/>
  <c r="H28" i="80"/>
  <c r="I28" i="80" s="1"/>
  <c r="I27" i="80"/>
  <c r="H27" i="80"/>
  <c r="L26" i="80"/>
  <c r="K26" i="80"/>
  <c r="H26" i="80"/>
  <c r="I26" i="80" s="1"/>
  <c r="I25" i="80"/>
  <c r="H25" i="80"/>
  <c r="K24" i="80"/>
  <c r="L24" i="80" s="1"/>
  <c r="H24" i="80"/>
  <c r="I24" i="80" s="1"/>
  <c r="I23" i="80"/>
  <c r="H23" i="80"/>
  <c r="H22" i="80"/>
  <c r="I22" i="80" s="1"/>
  <c r="H21" i="80"/>
  <c r="I21" i="80" s="1"/>
  <c r="H20" i="80"/>
  <c r="I20" i="80" s="1"/>
  <c r="I19" i="80"/>
  <c r="H19" i="80"/>
  <c r="H18" i="80"/>
  <c r="I18" i="80" s="1"/>
  <c r="P17" i="80"/>
  <c r="O17" i="80"/>
  <c r="L17" i="80"/>
  <c r="I17" i="80"/>
  <c r="K17" i="80" s="1"/>
  <c r="H17" i="80"/>
  <c r="P16" i="80"/>
  <c r="O16" i="80"/>
  <c r="H16" i="80"/>
  <c r="I16" i="80" s="1"/>
  <c r="P15" i="80"/>
  <c r="O15" i="80"/>
  <c r="L15" i="80"/>
  <c r="I15" i="80"/>
  <c r="K15" i="80" s="1"/>
  <c r="H15" i="80"/>
  <c r="P14" i="80"/>
  <c r="Q14" i="80" s="1"/>
  <c r="O14" i="80"/>
  <c r="H14" i="80"/>
  <c r="I14" i="80" s="1"/>
  <c r="I13" i="80"/>
  <c r="H13" i="80"/>
  <c r="H12" i="80"/>
  <c r="I12" i="80" s="1"/>
  <c r="L11" i="80"/>
  <c r="K11" i="80"/>
  <c r="I11" i="80"/>
  <c r="K10" i="80"/>
  <c r="L10" i="80" s="1"/>
  <c r="I10" i="80"/>
  <c r="L9" i="80"/>
  <c r="K9" i="80"/>
  <c r="I9" i="80"/>
  <c r="K8" i="80"/>
  <c r="L8" i="80" s="1"/>
  <c r="I8" i="80"/>
  <c r="J7" i="80"/>
  <c r="J12" i="80" s="1"/>
  <c r="J13" i="80" s="1"/>
  <c r="J14" i="80" s="1"/>
  <c r="J15" i="80" s="1"/>
  <c r="J16" i="80" s="1"/>
  <c r="J17" i="80" s="1"/>
  <c r="J18" i="80" s="1"/>
  <c r="J19" i="80" s="1"/>
  <c r="J20" i="80" s="1"/>
  <c r="J21" i="80" s="1"/>
  <c r="J22" i="80" s="1"/>
  <c r="J23" i="80" s="1"/>
  <c r="J24" i="80" s="1"/>
  <c r="J25" i="80" s="1"/>
  <c r="J26" i="80" s="1"/>
  <c r="J27" i="80" s="1"/>
  <c r="J28" i="80" s="1"/>
  <c r="J29" i="80" s="1"/>
  <c r="J30" i="80" s="1"/>
  <c r="J31" i="80" s="1"/>
  <c r="J32" i="80" s="1"/>
  <c r="J33" i="80" s="1"/>
  <c r="J34" i="80" s="1"/>
  <c r="J35" i="80" s="1"/>
  <c r="J36" i="80" s="1"/>
  <c r="J37" i="80" s="1"/>
  <c r="J38" i="80" s="1"/>
  <c r="J39" i="80" s="1"/>
  <c r="J40" i="80" s="1"/>
  <c r="J41" i="80" s="1"/>
  <c r="J42" i="80" s="1"/>
  <c r="J43" i="80" s="1"/>
  <c r="J44" i="80" s="1"/>
  <c r="I7" i="80"/>
  <c r="K6" i="80"/>
  <c r="L6" i="80" s="1"/>
  <c r="J6" i="80"/>
  <c r="I6" i="80"/>
  <c r="I5" i="80"/>
  <c r="L44" i="80" l="1"/>
  <c r="K16" i="80"/>
  <c r="L16" i="80"/>
  <c r="K18" i="80"/>
  <c r="L18" i="80"/>
  <c r="L21" i="80"/>
  <c r="L30" i="80"/>
  <c r="L28" i="80"/>
  <c r="K23" i="80"/>
  <c r="L23" i="80" s="1"/>
  <c r="L39" i="80"/>
  <c r="K39" i="80"/>
  <c r="I60" i="80"/>
  <c r="K48" i="80"/>
  <c r="J8" i="80"/>
  <c r="J9" i="80" s="1"/>
  <c r="J10" i="80" s="1"/>
  <c r="K13" i="80"/>
  <c r="L13" i="80" s="1"/>
  <c r="K19" i="80"/>
  <c r="L19" i="80" s="1"/>
  <c r="K20" i="80"/>
  <c r="L20" i="80" s="1"/>
  <c r="K21" i="80"/>
  <c r="K22" i="80"/>
  <c r="L22" i="80" s="1"/>
  <c r="K29" i="80"/>
  <c r="L29" i="80" s="1"/>
  <c r="K30" i="80"/>
  <c r="K37" i="80"/>
  <c r="L37" i="80" s="1"/>
  <c r="K38" i="80"/>
  <c r="L38" i="80" s="1"/>
  <c r="K56" i="80"/>
  <c r="L56" i="80" s="1"/>
  <c r="K58" i="80"/>
  <c r="L58" i="80" s="1"/>
  <c r="K71" i="80"/>
  <c r="M71" i="80" s="1"/>
  <c r="K5" i="80"/>
  <c r="J11" i="80"/>
  <c r="K67" i="80" s="1"/>
  <c r="M67" i="80" s="1"/>
  <c r="K12" i="80"/>
  <c r="L12" i="80" s="1"/>
  <c r="K27" i="80"/>
  <c r="L27" i="80" s="1"/>
  <c r="K28" i="80"/>
  <c r="L35" i="80"/>
  <c r="K35" i="80"/>
  <c r="K36" i="80"/>
  <c r="L36" i="80" s="1"/>
  <c r="K43" i="80"/>
  <c r="L43" i="80" s="1"/>
  <c r="K44" i="80"/>
  <c r="I45" i="80"/>
  <c r="K52" i="80"/>
  <c r="L52" i="80" s="1"/>
  <c r="K69" i="80"/>
  <c r="M69" i="80" s="1"/>
  <c r="K7" i="80"/>
  <c r="L7" i="80" s="1"/>
  <c r="K31" i="80"/>
  <c r="L31" i="80" s="1"/>
  <c r="K54" i="80"/>
  <c r="L54" i="80" s="1"/>
  <c r="K14" i="80"/>
  <c r="L14" i="80" s="1"/>
  <c r="K25" i="80"/>
  <c r="L25" i="80" s="1"/>
  <c r="K33" i="80"/>
  <c r="L33" i="80" s="1"/>
  <c r="K41" i="80"/>
  <c r="L41" i="80" s="1"/>
  <c r="K50" i="80"/>
  <c r="L50" i="80" s="1"/>
  <c r="K70" i="80"/>
  <c r="M70" i="80" s="1"/>
  <c r="K68" i="80" l="1"/>
  <c r="M68" i="80" s="1"/>
  <c r="K60" i="80"/>
  <c r="K64" i="80"/>
  <c r="K45" i="80"/>
  <c r="F81" i="80"/>
  <c r="P10" i="80"/>
  <c r="Q10" i="80" s="1"/>
  <c r="P8" i="80"/>
  <c r="Q8" i="80" s="1"/>
  <c r="F78" i="80"/>
  <c r="I62" i="80"/>
  <c r="P5" i="80"/>
  <c r="L5" i="80"/>
  <c r="L48" i="80"/>
  <c r="K65" i="80"/>
  <c r="M65" i="80" s="1"/>
  <c r="K66" i="80"/>
  <c r="M66" i="80" s="1"/>
  <c r="F83" i="80" l="1"/>
  <c r="L60" i="80"/>
  <c r="L45" i="80"/>
  <c r="K62" i="80"/>
  <c r="Q5" i="80"/>
  <c r="P7" i="80"/>
  <c r="M64" i="80"/>
  <c r="M72" i="80" s="1"/>
  <c r="K72" i="80"/>
  <c r="P11" i="80" l="1"/>
  <c r="Q7" i="80"/>
  <c r="L62" i="80"/>
  <c r="P20" i="80" l="1"/>
  <c r="Q20" i="80" s="1"/>
  <c r="P13" i="80"/>
  <c r="P18" i="80" s="1"/>
  <c r="F77" i="80"/>
  <c r="Q11" i="80"/>
  <c r="M62" i="80"/>
  <c r="M49" i="80"/>
  <c r="M40" i="80"/>
  <c r="M32" i="80"/>
  <c r="M17" i="80"/>
  <c r="M57" i="80"/>
  <c r="M26" i="80"/>
  <c r="M6" i="80"/>
  <c r="M53" i="80"/>
  <c r="M51" i="80"/>
  <c r="M8" i="80"/>
  <c r="M9" i="80"/>
  <c r="M24" i="80"/>
  <c r="M34" i="80"/>
  <c r="M10" i="80"/>
  <c r="M55" i="80"/>
  <c r="M11" i="80"/>
  <c r="M15" i="80"/>
  <c r="M42" i="80"/>
  <c r="M59" i="80"/>
  <c r="M52" i="80"/>
  <c r="M33" i="80"/>
  <c r="M20" i="80"/>
  <c r="M56" i="80"/>
  <c r="M14" i="80"/>
  <c r="M13" i="80"/>
  <c r="M39" i="80"/>
  <c r="M44" i="80"/>
  <c r="M36" i="80"/>
  <c r="M31" i="80"/>
  <c r="M23" i="80"/>
  <c r="M29" i="80"/>
  <c r="M43" i="80"/>
  <c r="M35" i="80"/>
  <c r="M28" i="80"/>
  <c r="M21" i="80"/>
  <c r="M41" i="80"/>
  <c r="M27" i="80"/>
  <c r="M12" i="80"/>
  <c r="M25" i="80"/>
  <c r="M19" i="80"/>
  <c r="M38" i="80"/>
  <c r="M30" i="80"/>
  <c r="M54" i="80"/>
  <c r="M37" i="80"/>
  <c r="M58" i="80"/>
  <c r="M7" i="80"/>
  <c r="M50" i="80"/>
  <c r="M22" i="80"/>
  <c r="M16" i="80"/>
  <c r="M18" i="80"/>
  <c r="M48" i="80"/>
  <c r="M5" i="80"/>
  <c r="M45" i="80" l="1"/>
  <c r="P21" i="80"/>
  <c r="Q21" i="80" s="1"/>
  <c r="R14" i="80"/>
  <c r="M60" i="80"/>
  <c r="F84" i="80"/>
  <c r="I84" i="80" s="1"/>
  <c r="F80" i="80"/>
  <c r="I80" i="80" s="1"/>
  <c r="E1" i="79" l="1"/>
  <c r="E72" i="63"/>
  <c r="E72" i="67"/>
  <c r="E72" i="68"/>
  <c r="E72" i="69"/>
  <c r="I1" i="38"/>
  <c r="L33" i="64" l="1"/>
  <c r="L34" i="64"/>
  <c r="L37" i="64"/>
  <c r="L38" i="64"/>
  <c r="H31" i="64"/>
  <c r="L31" i="64" s="1"/>
  <c r="H32" i="64"/>
  <c r="L32" i="64" s="1"/>
  <c r="H33" i="64"/>
  <c r="H34" i="64"/>
  <c r="H35" i="64"/>
  <c r="L35" i="64" s="1"/>
  <c r="H36" i="64"/>
  <c r="L36" i="64" s="1"/>
  <c r="H37" i="64"/>
  <c r="H38" i="64"/>
  <c r="H39" i="64"/>
  <c r="L39" i="64" s="1"/>
  <c r="H30" i="64"/>
  <c r="L30" i="64" s="1"/>
  <c r="I95" i="24"/>
  <c r="I96" i="24"/>
  <c r="I94" i="24"/>
  <c r="Q52" i="64"/>
  <c r="K10" i="61" l="1"/>
  <c r="D25" i="12" l="1"/>
  <c r="D24" i="12"/>
  <c r="D30" i="13"/>
  <c r="U5" i="6"/>
  <c r="U6" i="6"/>
  <c r="U7" i="6"/>
  <c r="U8" i="6"/>
  <c r="U9" i="6"/>
  <c r="U10" i="6"/>
  <c r="U11" i="6"/>
  <c r="AA95" i="24"/>
  <c r="N58" i="64"/>
  <c r="M30" i="64"/>
  <c r="M31" i="64"/>
  <c r="M32" i="64"/>
  <c r="M33" i="64"/>
  <c r="M34" i="64"/>
  <c r="I30" i="64"/>
  <c r="I31" i="64"/>
  <c r="I32" i="64"/>
  <c r="I33" i="64"/>
  <c r="I34" i="64"/>
  <c r="AA93" i="24"/>
  <c r="E93" i="24" l="1"/>
  <c r="G93" i="24"/>
  <c r="K95" i="24"/>
  <c r="E95" i="24"/>
  <c r="D111" i="38"/>
  <c r="D108" i="38"/>
  <c r="C108" i="38"/>
  <c r="C109" i="38"/>
  <c r="D109" i="38" s="1"/>
  <c r="C110" i="38"/>
  <c r="D110" i="38" s="1"/>
  <c r="C111" i="38"/>
  <c r="C112" i="38"/>
  <c r="C107" i="38"/>
  <c r="C104" i="38"/>
  <c r="D104" i="38" s="1"/>
  <c r="C106" i="38"/>
  <c r="D106" i="38" s="1"/>
  <c r="C105" i="38"/>
  <c r="D105" i="38" s="1"/>
  <c r="C103" i="38"/>
  <c r="D103" i="38" s="1"/>
  <c r="C102" i="38"/>
  <c r="G103" i="76"/>
  <c r="J92" i="76"/>
  <c r="J90" i="76"/>
  <c r="F90" i="76"/>
  <c r="E84" i="76"/>
  <c r="F79" i="76"/>
  <c r="F71" i="76"/>
  <c r="G71" i="76" s="1"/>
  <c r="F70" i="76"/>
  <c r="K64" i="76"/>
  <c r="K65" i="76" s="1"/>
  <c r="F63" i="76"/>
  <c r="K62" i="76"/>
  <c r="K60" i="76"/>
  <c r="K59" i="76"/>
  <c r="F56" i="76"/>
  <c r="F57" i="76" s="1"/>
  <c r="F58" i="76" s="1"/>
  <c r="F55" i="76"/>
  <c r="M51" i="76"/>
  <c r="F46" i="76"/>
  <c r="D43" i="76"/>
  <c r="O47" i="76" s="1"/>
  <c r="R42" i="76"/>
  <c r="R43" i="76" s="1"/>
  <c r="R41" i="76"/>
  <c r="N41" i="76"/>
  <c r="Q40" i="76"/>
  <c r="M40" i="76"/>
  <c r="I40" i="76"/>
  <c r="R38" i="76"/>
  <c r="P38" i="76"/>
  <c r="S38" i="76" s="1"/>
  <c r="N38" i="76"/>
  <c r="L38" i="76"/>
  <c r="O38" i="76" s="1"/>
  <c r="H38" i="76"/>
  <c r="K38" i="76" s="1"/>
  <c r="G38" i="76"/>
  <c r="F38" i="76"/>
  <c r="R37" i="76"/>
  <c r="N37" i="76"/>
  <c r="I37" i="76"/>
  <c r="R36" i="76"/>
  <c r="R34" i="76"/>
  <c r="N34" i="76"/>
  <c r="R33" i="76"/>
  <c r="S33" i="76" s="1"/>
  <c r="N33" i="76"/>
  <c r="T32" i="76"/>
  <c r="T31" i="76"/>
  <c r="T30" i="76"/>
  <c r="V29" i="76"/>
  <c r="R29" i="76"/>
  <c r="N29" i="76"/>
  <c r="Q28" i="76"/>
  <c r="R28" i="76" s="1"/>
  <c r="M28" i="76"/>
  <c r="I28" i="76"/>
  <c r="F28" i="76"/>
  <c r="Q27" i="76"/>
  <c r="R27" i="76" s="1"/>
  <c r="M27" i="76"/>
  <c r="I27" i="76"/>
  <c r="H27" i="76"/>
  <c r="F27" i="76"/>
  <c r="T26" i="76"/>
  <c r="R24" i="76"/>
  <c r="S24" i="76" s="1"/>
  <c r="N24" i="76"/>
  <c r="R23" i="76"/>
  <c r="N23" i="76"/>
  <c r="T21" i="76"/>
  <c r="R20" i="76"/>
  <c r="J20" i="76"/>
  <c r="F20" i="76"/>
  <c r="T20" i="76" s="1"/>
  <c r="T19" i="76"/>
  <c r="R17" i="76"/>
  <c r="N17" i="76"/>
  <c r="R16" i="76"/>
  <c r="N16" i="76"/>
  <c r="R15" i="76"/>
  <c r="N15" i="76"/>
  <c r="R10" i="76"/>
  <c r="R11" i="76" s="1"/>
  <c r="J10" i="76"/>
  <c r="J11" i="76" s="1"/>
  <c r="F10" i="76"/>
  <c r="F11" i="76" s="1"/>
  <c r="N8" i="76"/>
  <c r="N36" i="76" s="1"/>
  <c r="J8" i="76"/>
  <c r="T8" i="76" s="1"/>
  <c r="N7" i="76"/>
  <c r="R6" i="76"/>
  <c r="J6" i="76"/>
  <c r="I6" i="76"/>
  <c r="M6" i="76" s="1"/>
  <c r="Q6" i="76" s="1"/>
  <c r="F6" i="76"/>
  <c r="J5" i="76"/>
  <c r="I5" i="76"/>
  <c r="M5" i="76" s="1"/>
  <c r="Q5" i="76" s="1"/>
  <c r="T4" i="76"/>
  <c r="D112" i="38" l="1"/>
  <c r="N27" i="76"/>
  <c r="O33" i="76"/>
  <c r="O24" i="76"/>
  <c r="X28" i="76"/>
  <c r="Y28" i="76" s="1"/>
  <c r="BO20" i="58"/>
  <c r="J28" i="76"/>
  <c r="N28" i="76"/>
  <c r="I10" i="38"/>
  <c r="G11" i="38"/>
  <c r="G15" i="38"/>
  <c r="G19" i="38"/>
  <c r="G17" i="38"/>
  <c r="G14" i="38"/>
  <c r="G12" i="38"/>
  <c r="G16" i="38"/>
  <c r="G20" i="38"/>
  <c r="G13" i="38"/>
  <c r="G10" i="38"/>
  <c r="G18" i="38"/>
  <c r="D102" i="38"/>
  <c r="BE5" i="5" s="1"/>
  <c r="O5" i="5" s="1"/>
  <c r="J27" i="76"/>
  <c r="R39" i="76"/>
  <c r="N39" i="76"/>
  <c r="N40" i="76" s="1"/>
  <c r="T28" i="76"/>
  <c r="F45" i="76"/>
  <c r="F93" i="76"/>
  <c r="M37" i="76"/>
  <c r="Q37" i="76" s="1"/>
  <c r="R13" i="76"/>
  <c r="R12" i="76"/>
  <c r="F82" i="76"/>
  <c r="F83" i="76" s="1"/>
  <c r="F62" i="76"/>
  <c r="F64" i="76" s="1"/>
  <c r="F66" i="76" s="1"/>
  <c r="F67" i="76" s="1"/>
  <c r="F68" i="76" s="1"/>
  <c r="F69" i="76" s="1"/>
  <c r="I63" i="76"/>
  <c r="F16" i="76"/>
  <c r="F23" i="76"/>
  <c r="F12" i="76"/>
  <c r="F13" i="76" s="1"/>
  <c r="F17" i="76" s="1"/>
  <c r="J12" i="76"/>
  <c r="J13" i="76" s="1"/>
  <c r="J17" i="76" s="1"/>
  <c r="J23" i="76"/>
  <c r="J16" i="76"/>
  <c r="T27" i="76"/>
  <c r="R40" i="76"/>
  <c r="K63" i="76"/>
  <c r="X27" i="76"/>
  <c r="J38" i="76"/>
  <c r="T38" i="76" s="1"/>
  <c r="K56" i="76"/>
  <c r="K58" i="76" s="1"/>
  <c r="K61" i="76" s="1"/>
  <c r="F59" i="76"/>
  <c r="AA28" i="76" l="1"/>
  <c r="AC28" i="76" s="1"/>
  <c r="BO8" i="58"/>
  <c r="X8" i="58" s="1"/>
  <c r="BO9" i="58"/>
  <c r="X9" i="58" s="1"/>
  <c r="BO13" i="58"/>
  <c r="X13" i="58" s="1"/>
  <c r="BO17" i="58"/>
  <c r="X17" i="58" s="1"/>
  <c r="BN7" i="6"/>
  <c r="X7" i="6" s="1"/>
  <c r="BO6" i="58"/>
  <c r="X6" i="58" s="1"/>
  <c r="BO10" i="58"/>
  <c r="X10" i="58" s="1"/>
  <c r="BO14" i="58"/>
  <c r="X14" i="58" s="1"/>
  <c r="BO18" i="58"/>
  <c r="X18" i="58" s="1"/>
  <c r="BO7" i="58"/>
  <c r="X7" i="58" s="1"/>
  <c r="BO11" i="58"/>
  <c r="X11" i="58" s="1"/>
  <c r="BO15" i="58"/>
  <c r="X15" i="58" s="1"/>
  <c r="BO19" i="58"/>
  <c r="BO12" i="58"/>
  <c r="X12" i="58" s="1"/>
  <c r="BO16" i="58"/>
  <c r="X16" i="58" s="1"/>
  <c r="BO5" i="58"/>
  <c r="X5" i="58" s="1"/>
  <c r="BE7" i="5"/>
  <c r="O7" i="5" s="1"/>
  <c r="BN11" i="6"/>
  <c r="X11" i="6" s="1"/>
  <c r="BN15" i="6"/>
  <c r="X15" i="6" s="1"/>
  <c r="BN19" i="6"/>
  <c r="X19" i="6" s="1"/>
  <c r="BN12" i="6"/>
  <c r="X12" i="6" s="1"/>
  <c r="BN16" i="6"/>
  <c r="X16" i="6" s="1"/>
  <c r="BN20" i="6"/>
  <c r="X20" i="6" s="1"/>
  <c r="BN9" i="6"/>
  <c r="X9" i="6" s="1"/>
  <c r="BN13" i="6"/>
  <c r="X13" i="6" s="1"/>
  <c r="BN17" i="6"/>
  <c r="X17" i="6" s="1"/>
  <c r="BN18" i="6"/>
  <c r="X18" i="6" s="1"/>
  <c r="BN14" i="6"/>
  <c r="X14" i="6" s="1"/>
  <c r="BE11" i="5"/>
  <c r="O11" i="5" s="1"/>
  <c r="BE15" i="5"/>
  <c r="O15" i="5" s="1"/>
  <c r="BE19" i="5"/>
  <c r="O19" i="5" s="1"/>
  <c r="BE23" i="5"/>
  <c r="O23" i="5" s="1"/>
  <c r="BE8" i="5"/>
  <c r="O8" i="5" s="1"/>
  <c r="BE12" i="5"/>
  <c r="O12" i="5" s="1"/>
  <c r="BE16" i="5"/>
  <c r="O16" i="5" s="1"/>
  <c r="BE20" i="5"/>
  <c r="O20" i="5" s="1"/>
  <c r="BE24" i="5"/>
  <c r="O24" i="5" s="1"/>
  <c r="BE9" i="5"/>
  <c r="O9" i="5" s="1"/>
  <c r="BE13" i="5"/>
  <c r="O13" i="5" s="1"/>
  <c r="BE17" i="5"/>
  <c r="O17" i="5" s="1"/>
  <c r="BE21" i="5"/>
  <c r="O21" i="5" s="1"/>
  <c r="BE25" i="5"/>
  <c r="O25" i="5" s="1"/>
  <c r="BE10" i="5"/>
  <c r="O10" i="5" s="1"/>
  <c r="BE14" i="5"/>
  <c r="O14" i="5" s="1"/>
  <c r="BE18" i="5"/>
  <c r="O18" i="5" s="1"/>
  <c r="BE22" i="5"/>
  <c r="O22" i="5" s="1"/>
  <c r="AB28" i="76"/>
  <c r="T23" i="76"/>
  <c r="F75" i="76"/>
  <c r="N5" i="76"/>
  <c r="F24" i="76"/>
  <c r="T16" i="76"/>
  <c r="F15" i="76"/>
  <c r="Y27" i="76"/>
  <c r="K68" i="76"/>
  <c r="K69" i="76" s="1"/>
  <c r="F74" i="76"/>
  <c r="F89" i="76"/>
  <c r="F85" i="76"/>
  <c r="K66" i="76"/>
  <c r="F84" i="76"/>
  <c r="J15" i="76"/>
  <c r="J24" i="76"/>
  <c r="T17" i="76"/>
  <c r="T24" i="76" l="1"/>
  <c r="G24" i="76"/>
  <c r="F92" i="76"/>
  <c r="F91" i="76"/>
  <c r="N42" i="76"/>
  <c r="N43" i="76" s="1"/>
  <c r="N9" i="76"/>
  <c r="N6" i="76"/>
  <c r="F99" i="76"/>
  <c r="F100" i="76" s="1"/>
  <c r="F98" i="76"/>
  <c r="K24" i="76"/>
  <c r="K71" i="76"/>
  <c r="K72" i="76" s="1"/>
  <c r="K67" i="76"/>
  <c r="T15" i="76"/>
  <c r="V24" i="76" l="1"/>
  <c r="K79" i="76"/>
  <c r="N79" i="76" s="1"/>
  <c r="F101" i="76"/>
  <c r="F102" i="76" s="1"/>
  <c r="K73" i="76"/>
  <c r="K74" i="76"/>
  <c r="K75" i="76"/>
  <c r="F103" i="76"/>
  <c r="K85" i="76"/>
  <c r="F94" i="76"/>
  <c r="N20" i="76"/>
  <c r="N10" i="76"/>
  <c r="N11" i="76" s="1"/>
  <c r="N12" i="76" l="1"/>
  <c r="N13" i="76" s="1"/>
  <c r="F97" i="76"/>
  <c r="F96" i="76"/>
  <c r="K92" i="76"/>
  <c r="K93" i="76" s="1"/>
  <c r="K94" i="76" s="1"/>
  <c r="K83" i="76"/>
  <c r="K86" i="76" s="1"/>
  <c r="L29" i="76" l="1"/>
  <c r="C29" i="76"/>
  <c r="F29" i="76" s="1"/>
  <c r="P29" i="76"/>
  <c r="H29" i="76"/>
  <c r="J29" i="76" s="1"/>
  <c r="J33" i="76" s="1"/>
  <c r="K33" i="76" l="1"/>
  <c r="J34" i="76"/>
  <c r="J36" i="76" s="1"/>
  <c r="T29" i="76"/>
  <c r="F33" i="76"/>
  <c r="G33" i="76" l="1"/>
  <c r="V33" i="76" s="1"/>
  <c r="T33" i="76"/>
  <c r="F34" i="76"/>
  <c r="J37" i="76"/>
  <c r="J39" i="76" s="1"/>
  <c r="J40" i="76" l="1"/>
  <c r="J41" i="76" s="1"/>
  <c r="J42" i="76"/>
  <c r="J43" i="76" s="1"/>
  <c r="F36" i="76"/>
  <c r="T34" i="76"/>
  <c r="U33" i="76" s="1"/>
  <c r="K46" i="76" l="1"/>
  <c r="U26" i="76"/>
  <c r="U30" i="76"/>
  <c r="U21" i="76"/>
  <c r="U32" i="76"/>
  <c r="U19" i="76"/>
  <c r="U28" i="76"/>
  <c r="U31" i="76"/>
  <c r="U20" i="76"/>
  <c r="U27" i="76"/>
  <c r="U23" i="76"/>
  <c r="U17" i="76"/>
  <c r="U16" i="76"/>
  <c r="U24" i="76"/>
  <c r="U29" i="76"/>
  <c r="F37" i="76"/>
  <c r="T37" i="76" s="1"/>
  <c r="T36" i="76"/>
  <c r="F39" i="76" l="1"/>
  <c r="F40" i="76" s="1"/>
  <c r="T40" i="76" s="1"/>
  <c r="F42" i="76"/>
  <c r="F43" i="76" s="1"/>
  <c r="U34" i="76"/>
  <c r="T39" i="76" l="1"/>
  <c r="F44" i="76" s="1"/>
  <c r="K45" i="76" s="1"/>
  <c r="N45" i="76" s="1"/>
  <c r="F47" i="76" s="1"/>
  <c r="F48" i="76" s="1"/>
  <c r="F41" i="76"/>
  <c r="T41" i="76" s="1"/>
  <c r="B29" i="70" l="1"/>
  <c r="B32" i="70"/>
  <c r="F23" i="70"/>
  <c r="N23" i="70" s="1"/>
  <c r="F24" i="70"/>
  <c r="N24" i="70" s="1"/>
  <c r="F22" i="70"/>
  <c r="N22" i="70" l="1"/>
  <c r="B33" i="70"/>
  <c r="B34" i="70" s="1"/>
  <c r="B37" i="70" s="1"/>
  <c r="F17" i="70" s="1"/>
  <c r="K18" i="70"/>
  <c r="L18" i="70" s="1"/>
  <c r="K19" i="70"/>
  <c r="L19" i="70" s="1"/>
  <c r="E16" i="70"/>
  <c r="E15" i="70"/>
  <c r="E14" i="70"/>
  <c r="E13" i="70"/>
  <c r="E12" i="70"/>
  <c r="E11" i="70"/>
  <c r="E10" i="70"/>
  <c r="E9" i="70"/>
  <c r="E8" i="70"/>
  <c r="E7" i="70"/>
  <c r="E6" i="70"/>
  <c r="E5" i="70"/>
  <c r="K17" i="70"/>
  <c r="L17" i="70" s="1"/>
  <c r="A16" i="70"/>
  <c r="K16" i="70" s="1"/>
  <c r="L16" i="70" s="1"/>
  <c r="B38" i="70" l="1"/>
  <c r="B39" i="70" s="1"/>
  <c r="F90" i="38"/>
  <c r="G22" i="70" l="1"/>
  <c r="G18" i="70"/>
  <c r="C4" i="70"/>
  <c r="J32" i="61"/>
  <c r="J31" i="61"/>
  <c r="J30" i="61"/>
  <c r="J29" i="61"/>
  <c r="J28" i="61"/>
  <c r="J27" i="61"/>
  <c r="J34" i="66"/>
  <c r="J32" i="66"/>
  <c r="J31" i="66"/>
  <c r="P31" i="66" s="1"/>
  <c r="V31" i="66" s="1"/>
  <c r="J30" i="66"/>
  <c r="J29" i="66"/>
  <c r="J28" i="66"/>
  <c r="J27" i="66"/>
  <c r="J26" i="66"/>
  <c r="J34" i="69"/>
  <c r="J32" i="69"/>
  <c r="J31" i="69"/>
  <c r="P31" i="69" s="1"/>
  <c r="V31" i="69" s="1"/>
  <c r="J30" i="69"/>
  <c r="J29" i="69"/>
  <c r="J28" i="69"/>
  <c r="J27" i="69"/>
  <c r="J26" i="69"/>
  <c r="J34" i="68"/>
  <c r="J32" i="68"/>
  <c r="J31" i="68"/>
  <c r="J30" i="68"/>
  <c r="J29" i="68"/>
  <c r="J28" i="68"/>
  <c r="J27" i="68"/>
  <c r="J26" i="68"/>
  <c r="J34" i="67"/>
  <c r="J32" i="67"/>
  <c r="J31" i="67"/>
  <c r="J30" i="67"/>
  <c r="J29" i="67"/>
  <c r="J28" i="67"/>
  <c r="J27" i="67"/>
  <c r="J26" i="67"/>
  <c r="P32" i="61"/>
  <c r="P31" i="61"/>
  <c r="V31" i="61" s="1"/>
  <c r="P30" i="61"/>
  <c r="P29" i="61"/>
  <c r="P28" i="61"/>
  <c r="P27" i="61"/>
  <c r="P34" i="66"/>
  <c r="P32" i="66"/>
  <c r="P30" i="66"/>
  <c r="P29" i="66"/>
  <c r="P28" i="66"/>
  <c r="P27" i="66"/>
  <c r="P26" i="66"/>
  <c r="P34" i="69"/>
  <c r="P32" i="69"/>
  <c r="P30" i="69"/>
  <c r="P29" i="69"/>
  <c r="P28" i="69"/>
  <c r="P27" i="69"/>
  <c r="P26" i="69"/>
  <c r="P34" i="68"/>
  <c r="P32" i="68"/>
  <c r="P31" i="68"/>
  <c r="V31" i="68" s="1"/>
  <c r="P30" i="68"/>
  <c r="P29" i="68"/>
  <c r="P28" i="68"/>
  <c r="P27" i="68"/>
  <c r="P26" i="68"/>
  <c r="P34" i="67"/>
  <c r="P32" i="67"/>
  <c r="P31" i="67"/>
  <c r="V31" i="67" s="1"/>
  <c r="P30" i="67"/>
  <c r="P29" i="67"/>
  <c r="P28" i="67"/>
  <c r="P27" i="67"/>
  <c r="P26" i="67"/>
  <c r="V32" i="61"/>
  <c r="V30" i="61"/>
  <c r="V29" i="61"/>
  <c r="V28" i="61"/>
  <c r="V27" i="61"/>
  <c r="V34" i="66"/>
  <c r="V32" i="66"/>
  <c r="V30" i="66"/>
  <c r="V29" i="66"/>
  <c r="V28" i="66"/>
  <c r="V27" i="66"/>
  <c r="V26" i="66"/>
  <c r="V34" i="69"/>
  <c r="V32" i="69"/>
  <c r="V30" i="69"/>
  <c r="V29" i="69"/>
  <c r="V28" i="69"/>
  <c r="V27" i="69"/>
  <c r="V26" i="69"/>
  <c r="V34" i="68"/>
  <c r="V32" i="68"/>
  <c r="V30" i="68"/>
  <c r="V29" i="68"/>
  <c r="V28" i="68"/>
  <c r="V27" i="68"/>
  <c r="V26" i="68"/>
  <c r="V34" i="67"/>
  <c r="V32" i="67"/>
  <c r="V30" i="67"/>
  <c r="V29" i="67"/>
  <c r="V28" i="67"/>
  <c r="V27" i="67"/>
  <c r="V26" i="67"/>
  <c r="V34" i="63"/>
  <c r="V32" i="63"/>
  <c r="V30" i="63"/>
  <c r="V29" i="63"/>
  <c r="V28" i="63"/>
  <c r="V27" i="63"/>
  <c r="V26" i="63"/>
  <c r="P34" i="63"/>
  <c r="P32" i="63"/>
  <c r="P30" i="63"/>
  <c r="P29" i="63"/>
  <c r="P28" i="63"/>
  <c r="P27" i="63"/>
  <c r="P26" i="63"/>
  <c r="AJ31" i="61"/>
  <c r="AJ31" i="66"/>
  <c r="AJ31" i="69"/>
  <c r="AJ31" i="68"/>
  <c r="AJ31" i="67"/>
  <c r="J31" i="63"/>
  <c r="P31" i="63" s="1"/>
  <c r="V31" i="63" s="1"/>
  <c r="AJ31" i="63"/>
  <c r="J34" i="63"/>
  <c r="J32" i="63"/>
  <c r="J30" i="63"/>
  <c r="J29" i="63"/>
  <c r="J28" i="63"/>
  <c r="J27" i="63"/>
  <c r="J26" i="63"/>
  <c r="J18" i="70" l="1"/>
  <c r="I18" i="70"/>
  <c r="H18" i="70"/>
  <c r="K22" i="70"/>
  <c r="H22" i="70"/>
  <c r="I22" i="70"/>
  <c r="F33" i="14"/>
  <c r="F32" i="14"/>
  <c r="F33" i="13"/>
  <c r="F32" i="13"/>
  <c r="F33" i="11"/>
  <c r="F32" i="11"/>
  <c r="F33" i="10"/>
  <c r="F32" i="10"/>
  <c r="F35" i="12"/>
  <c r="J34" i="12"/>
  <c r="F34" i="12"/>
  <c r="L37" i="12" l="1"/>
  <c r="W24" i="28" l="1"/>
  <c r="T5" i="28"/>
  <c r="F93" i="38"/>
  <c r="F92" i="38"/>
  <c r="F91" i="38"/>
  <c r="F89" i="38"/>
  <c r="G23" i="70" s="1"/>
  <c r="F88" i="38"/>
  <c r="Y24" i="28" l="1"/>
  <c r="Z27" i="76"/>
  <c r="AA27" i="76" s="1"/>
  <c r="I23" i="70"/>
  <c r="H23" i="70"/>
  <c r="K23" i="70"/>
  <c r="J23" i="70"/>
  <c r="G24" i="70"/>
  <c r="N38" i="12"/>
  <c r="G19" i="70"/>
  <c r="G17" i="70"/>
  <c r="N36" i="10"/>
  <c r="AJ34" i="61"/>
  <c r="AJ34" i="67"/>
  <c r="AJ34" i="66"/>
  <c r="AJ34" i="69"/>
  <c r="AJ34" i="68"/>
  <c r="AJ34" i="63"/>
  <c r="N36" i="13"/>
  <c r="N36" i="14"/>
  <c r="N36" i="11"/>
  <c r="N33" i="15"/>
  <c r="N36" i="15"/>
  <c r="Z24" i="28"/>
  <c r="Z25" i="28" s="1"/>
  <c r="X24" i="28"/>
  <c r="AC24" i="28" s="1"/>
  <c r="AC27" i="76" l="1"/>
  <c r="AA29" i="76"/>
  <c r="AB27" i="76"/>
  <c r="H17" i="70"/>
  <c r="I17" i="70"/>
  <c r="H19" i="70"/>
  <c r="J19" i="70"/>
  <c r="I19" i="70"/>
  <c r="J24" i="70"/>
  <c r="K24" i="70"/>
  <c r="H24" i="70"/>
  <c r="I24" i="70"/>
  <c r="N37" i="15"/>
  <c r="AA24" i="28"/>
  <c r="AB24" i="28"/>
  <c r="M13" i="60" l="1"/>
  <c r="B15" i="60"/>
  <c r="B13" i="60"/>
  <c r="G12" i="60"/>
  <c r="J13" i="60" s="1"/>
  <c r="D29" i="60" l="1"/>
  <c r="D28" i="60"/>
  <c r="G28" i="60" s="1"/>
  <c r="G41" i="60"/>
  <c r="G14" i="60"/>
  <c r="D26" i="60"/>
  <c r="F14" i="60"/>
  <c r="J20" i="60"/>
  <c r="Z13" i="36"/>
  <c r="Z14" i="36"/>
  <c r="Z15" i="36"/>
  <c r="AA15" i="36" s="1"/>
  <c r="Z16" i="36"/>
  <c r="AA16" i="36" s="1"/>
  <c r="Z17" i="36"/>
  <c r="AA17" i="36" s="1"/>
  <c r="Z18" i="36"/>
  <c r="Z19" i="36"/>
  <c r="AA19" i="36" s="1"/>
  <c r="Z20" i="36"/>
  <c r="AA20" i="36" s="1"/>
  <c r="Z21" i="36"/>
  <c r="AA21" i="36" s="1"/>
  <c r="Z22" i="36"/>
  <c r="AA22" i="36" s="1"/>
  <c r="Z23" i="36"/>
  <c r="AA23" i="36" s="1"/>
  <c r="Z24" i="36"/>
  <c r="AA24" i="36" s="1"/>
  <c r="Z25" i="36"/>
  <c r="AA25" i="36" s="1"/>
  <c r="Z26" i="36"/>
  <c r="AA26" i="36" s="1"/>
  <c r="Z27" i="36"/>
  <c r="AA27" i="36"/>
  <c r="Z28" i="36"/>
  <c r="AA28" i="36" s="1"/>
  <c r="Z29" i="36"/>
  <c r="AA29" i="36" s="1"/>
  <c r="Z30" i="36"/>
  <c r="Z31" i="36"/>
  <c r="AA31" i="36" s="1"/>
  <c r="Z32" i="36"/>
  <c r="AA32" i="36" s="1"/>
  <c r="Z33" i="36"/>
  <c r="AA33" i="36" s="1"/>
  <c r="Z34" i="36"/>
  <c r="Z35" i="36"/>
  <c r="AA35" i="36" s="1"/>
  <c r="Z36" i="36"/>
  <c r="AA36" i="36" s="1"/>
  <c r="Z37" i="36"/>
  <c r="Z38" i="36"/>
  <c r="Z39" i="36"/>
  <c r="AA39" i="36" s="1"/>
  <c r="Z40" i="36"/>
  <c r="AA40" i="36" s="1"/>
  <c r="Z41" i="36"/>
  <c r="AA41" i="36" s="1"/>
  <c r="Z42" i="36"/>
  <c r="AA42" i="36" s="1"/>
  <c r="Z43" i="36"/>
  <c r="AA43" i="36" s="1"/>
  <c r="Z44" i="36"/>
  <c r="AA44" i="36" s="1"/>
  <c r="Z45" i="36"/>
  <c r="AA45" i="36" s="1"/>
  <c r="Z46" i="36"/>
  <c r="AA46" i="36" s="1"/>
  <c r="Z47" i="36"/>
  <c r="AA47" i="36" s="1"/>
  <c r="Z48" i="36"/>
  <c r="AA48" i="36" s="1"/>
  <c r="Z49" i="36"/>
  <c r="AB49" i="36" s="1"/>
  <c r="Z50" i="36"/>
  <c r="Z51" i="36"/>
  <c r="AA51" i="36" s="1"/>
  <c r="Y12" i="36"/>
  <c r="Z12" i="36"/>
  <c r="Y13" i="36"/>
  <c r="AM13" i="36"/>
  <c r="P13" i="36"/>
  <c r="H13" i="36"/>
  <c r="Y14" i="36"/>
  <c r="AM14" i="36"/>
  <c r="P14" i="36"/>
  <c r="H14" i="36"/>
  <c r="Y15" i="36"/>
  <c r="AM15" i="36"/>
  <c r="P15" i="36"/>
  <c r="H15" i="36"/>
  <c r="Y16" i="36"/>
  <c r="AM16" i="36"/>
  <c r="P16" i="36"/>
  <c r="H16" i="36"/>
  <c r="Y17" i="36"/>
  <c r="AM17" i="36"/>
  <c r="P17" i="36"/>
  <c r="H17" i="36"/>
  <c r="Y18" i="36"/>
  <c r="AM18" i="36"/>
  <c r="P18" i="36"/>
  <c r="H18" i="36"/>
  <c r="Y19" i="36"/>
  <c r="AB19" i="36" s="1"/>
  <c r="AM19" i="36"/>
  <c r="P19" i="36"/>
  <c r="H19" i="36"/>
  <c r="Y20" i="36"/>
  <c r="AM20" i="36"/>
  <c r="P20" i="36"/>
  <c r="H20" i="36"/>
  <c r="Y21" i="36"/>
  <c r="AM21" i="36"/>
  <c r="P21" i="36"/>
  <c r="H21" i="36"/>
  <c r="Y22" i="36"/>
  <c r="AM22" i="36"/>
  <c r="P22" i="36"/>
  <c r="H22" i="36"/>
  <c r="Y23" i="36"/>
  <c r="AB23" i="36" s="1"/>
  <c r="AM23" i="36"/>
  <c r="P23" i="36"/>
  <c r="H23" i="36"/>
  <c r="Y24" i="36"/>
  <c r="AM24" i="36"/>
  <c r="P24" i="36"/>
  <c r="Q24" i="36" s="1"/>
  <c r="H24" i="36"/>
  <c r="Y25" i="36"/>
  <c r="AM25" i="36"/>
  <c r="P25" i="36"/>
  <c r="H25" i="36"/>
  <c r="Y26" i="36"/>
  <c r="AM26" i="36"/>
  <c r="P26" i="36"/>
  <c r="H26" i="36"/>
  <c r="Y27" i="36"/>
  <c r="AB27" i="36" s="1"/>
  <c r="AM27" i="36"/>
  <c r="P27" i="36"/>
  <c r="H27" i="36"/>
  <c r="Y28" i="36"/>
  <c r="AB28" i="36" s="1"/>
  <c r="AM28" i="36"/>
  <c r="P28" i="36"/>
  <c r="H28" i="36"/>
  <c r="Y29" i="36"/>
  <c r="AB29" i="36" s="1"/>
  <c r="AM29" i="36"/>
  <c r="P29" i="36"/>
  <c r="H29" i="36"/>
  <c r="Y30" i="36"/>
  <c r="AM30" i="36"/>
  <c r="P30" i="36"/>
  <c r="H30" i="36"/>
  <c r="Y31" i="36"/>
  <c r="AM31" i="36"/>
  <c r="P31" i="36"/>
  <c r="H31" i="36"/>
  <c r="Y32" i="36"/>
  <c r="AM32" i="36"/>
  <c r="P32" i="36"/>
  <c r="H32" i="36"/>
  <c r="Y33" i="36"/>
  <c r="AM33" i="36"/>
  <c r="P33" i="36"/>
  <c r="H33" i="36"/>
  <c r="Y34" i="36"/>
  <c r="AM34" i="36"/>
  <c r="P34" i="36"/>
  <c r="H34" i="36"/>
  <c r="Y35" i="36"/>
  <c r="AM35" i="36"/>
  <c r="P35" i="36"/>
  <c r="H35" i="36"/>
  <c r="Y36" i="36"/>
  <c r="AM36" i="36"/>
  <c r="P36" i="36"/>
  <c r="H36" i="36"/>
  <c r="Y37" i="36"/>
  <c r="AM37" i="36"/>
  <c r="P37" i="36"/>
  <c r="H37" i="36"/>
  <c r="Y38" i="36"/>
  <c r="AM38" i="36"/>
  <c r="P38" i="36"/>
  <c r="H38" i="36"/>
  <c r="Y39" i="36"/>
  <c r="AM39" i="36"/>
  <c r="P39" i="36"/>
  <c r="H39" i="36"/>
  <c r="Y40" i="36"/>
  <c r="AM40" i="36"/>
  <c r="P40" i="36"/>
  <c r="Q40" i="36" s="1"/>
  <c r="H40" i="36"/>
  <c r="Y41" i="36"/>
  <c r="AB41" i="36" s="1"/>
  <c r="AM41" i="36"/>
  <c r="P41" i="36"/>
  <c r="H41" i="36"/>
  <c r="Y42" i="36"/>
  <c r="AM42" i="36"/>
  <c r="P42" i="36"/>
  <c r="H42" i="36"/>
  <c r="Y43" i="36"/>
  <c r="AM43" i="36"/>
  <c r="P43" i="36"/>
  <c r="H43" i="36"/>
  <c r="Y44" i="36"/>
  <c r="AM44" i="36"/>
  <c r="P44" i="36"/>
  <c r="H44" i="36"/>
  <c r="Y45" i="36"/>
  <c r="AM45" i="36"/>
  <c r="P45" i="36"/>
  <c r="H45" i="36"/>
  <c r="Y46" i="36"/>
  <c r="AM46" i="36"/>
  <c r="P46" i="36"/>
  <c r="H46" i="36"/>
  <c r="Y47" i="36"/>
  <c r="AM47" i="36"/>
  <c r="P47" i="36"/>
  <c r="H47" i="36"/>
  <c r="Y48" i="36"/>
  <c r="AM48" i="36"/>
  <c r="P48" i="36"/>
  <c r="Q48" i="36" s="1"/>
  <c r="U48" i="36" s="1"/>
  <c r="H48" i="36"/>
  <c r="Y49" i="36"/>
  <c r="AM49" i="36"/>
  <c r="P49" i="36"/>
  <c r="H49" i="36"/>
  <c r="Y50" i="36"/>
  <c r="AM50" i="36"/>
  <c r="P50" i="36"/>
  <c r="H50" i="36"/>
  <c r="Y51" i="36"/>
  <c r="AB51" i="36" s="1"/>
  <c r="AM51" i="36"/>
  <c r="P51" i="36"/>
  <c r="H51" i="36"/>
  <c r="Z11" i="36"/>
  <c r="Y11" i="36"/>
  <c r="AB11" i="36" s="1"/>
  <c r="C103" i="24"/>
  <c r="D179" i="24" s="1"/>
  <c r="H42" i="61"/>
  <c r="N42" i="61" s="1"/>
  <c r="T42" i="61" s="1"/>
  <c r="H42" i="66"/>
  <c r="N42" i="66" s="1"/>
  <c r="T42" i="66" s="1"/>
  <c r="H42" i="69"/>
  <c r="N42" i="69"/>
  <c r="T42" i="69" s="1"/>
  <c r="H42" i="68"/>
  <c r="N42" i="68" s="1"/>
  <c r="T42" i="68" s="1"/>
  <c r="H42" i="67"/>
  <c r="N42" i="67" s="1"/>
  <c r="T42" i="67" s="1"/>
  <c r="B2" i="67"/>
  <c r="D14" i="24" s="1"/>
  <c r="A3" i="67"/>
  <c r="B46" i="67" s="1"/>
  <c r="E4" i="67"/>
  <c r="A3" i="68"/>
  <c r="B46" i="68" s="1"/>
  <c r="E4" i="68"/>
  <c r="K33" i="68" s="1"/>
  <c r="B2" i="68"/>
  <c r="D13" i="24" s="1"/>
  <c r="A3" i="66"/>
  <c r="B46" i="66" s="1"/>
  <c r="C53" i="66" s="1"/>
  <c r="T53" i="66" s="1"/>
  <c r="E4" i="66"/>
  <c r="B2" i="66"/>
  <c r="D11" i="24" s="1"/>
  <c r="A3" i="63"/>
  <c r="B46" i="63" s="1"/>
  <c r="C52" i="63" s="1"/>
  <c r="N52" i="63" s="1"/>
  <c r="B2" i="69"/>
  <c r="D12" i="24" s="1"/>
  <c r="E4" i="69"/>
  <c r="A3" i="69"/>
  <c r="B46" i="69" s="1"/>
  <c r="A94" i="69"/>
  <c r="W81" i="69"/>
  <c r="Q81" i="69"/>
  <c r="K81" i="69"/>
  <c r="E81" i="69"/>
  <c r="B79" i="69"/>
  <c r="X53" i="69"/>
  <c r="R53" i="69"/>
  <c r="F53" i="69"/>
  <c r="X52" i="69"/>
  <c r="R52" i="69"/>
  <c r="F52" i="69"/>
  <c r="X51" i="69"/>
  <c r="R51" i="69"/>
  <c r="F51" i="69"/>
  <c r="X50" i="69"/>
  <c r="R50" i="69"/>
  <c r="F50" i="69"/>
  <c r="V43" i="69"/>
  <c r="P43" i="69"/>
  <c r="J43" i="69"/>
  <c r="D43" i="69"/>
  <c r="X42" i="69"/>
  <c r="V79" i="69" s="1"/>
  <c r="R42" i="69"/>
  <c r="P79" i="69" s="1"/>
  <c r="L42" i="69"/>
  <c r="J79" i="69" s="1"/>
  <c r="K42" i="69"/>
  <c r="Q42" i="69" s="1"/>
  <c r="W42" i="69" s="1"/>
  <c r="W43" i="69" s="1"/>
  <c r="F42" i="69"/>
  <c r="D79" i="69" s="1"/>
  <c r="E100" i="69" s="1"/>
  <c r="R35" i="69"/>
  <c r="F35" i="69"/>
  <c r="X34" i="69"/>
  <c r="W34" i="69"/>
  <c r="R34" i="69"/>
  <c r="Q34" i="69"/>
  <c r="L34" i="69"/>
  <c r="K34" i="69"/>
  <c r="H34" i="69"/>
  <c r="N34" i="69" s="1"/>
  <c r="T34" i="69" s="1"/>
  <c r="F34" i="69"/>
  <c r="R33" i="69"/>
  <c r="F33" i="69"/>
  <c r="X32" i="69"/>
  <c r="W32" i="69"/>
  <c r="R32" i="69"/>
  <c r="Q32" i="69"/>
  <c r="L32" i="69"/>
  <c r="K32" i="69"/>
  <c r="H32" i="69"/>
  <c r="N32" i="69" s="1"/>
  <c r="T32" i="69" s="1"/>
  <c r="F32" i="69"/>
  <c r="X31" i="69"/>
  <c r="W31" i="69"/>
  <c r="R31" i="69"/>
  <c r="Q31" i="69"/>
  <c r="K31" i="69"/>
  <c r="H31" i="69"/>
  <c r="N31" i="69" s="1"/>
  <c r="T31" i="69" s="1"/>
  <c r="F31" i="69"/>
  <c r="X30" i="69"/>
  <c r="W30" i="69"/>
  <c r="R30" i="69"/>
  <c r="Q30" i="69"/>
  <c r="L30" i="69"/>
  <c r="K30" i="69"/>
  <c r="F30" i="69"/>
  <c r="X29" i="69"/>
  <c r="R29" i="69"/>
  <c r="L29" i="69"/>
  <c r="K29" i="69"/>
  <c r="F29" i="69"/>
  <c r="C29" i="69"/>
  <c r="X28" i="69"/>
  <c r="W28" i="69"/>
  <c r="R28" i="69"/>
  <c r="Q28" i="69"/>
  <c r="L28" i="69"/>
  <c r="K28" i="69"/>
  <c r="H28" i="69"/>
  <c r="N28" i="69" s="1"/>
  <c r="T28" i="69" s="1"/>
  <c r="F28" i="69"/>
  <c r="X27" i="69"/>
  <c r="W27" i="69"/>
  <c r="R27" i="69"/>
  <c r="Q27" i="69"/>
  <c r="L27" i="69"/>
  <c r="K27" i="69"/>
  <c r="F27" i="69"/>
  <c r="X26" i="69"/>
  <c r="W26" i="69"/>
  <c r="R26" i="69"/>
  <c r="Q26" i="69"/>
  <c r="L26" i="69"/>
  <c r="K26" i="69"/>
  <c r="F26" i="69"/>
  <c r="X25" i="69"/>
  <c r="W25" i="69"/>
  <c r="R25" i="69"/>
  <c r="Q25" i="69"/>
  <c r="P18" i="69"/>
  <c r="K25" i="69"/>
  <c r="F25" i="69"/>
  <c r="X24" i="69"/>
  <c r="W24" i="69"/>
  <c r="R24" i="69"/>
  <c r="Q24" i="69"/>
  <c r="F24" i="69"/>
  <c r="X23" i="69"/>
  <c r="W23" i="69"/>
  <c r="R23" i="69"/>
  <c r="Q23" i="69"/>
  <c r="K23" i="69"/>
  <c r="F23" i="69"/>
  <c r="C23" i="69"/>
  <c r="C24" i="69" s="1"/>
  <c r="B23" i="69"/>
  <c r="X22" i="69"/>
  <c r="W22" i="69"/>
  <c r="R22" i="69"/>
  <c r="Q22" i="69"/>
  <c r="K22" i="69"/>
  <c r="H22" i="69"/>
  <c r="N22" i="69" s="1"/>
  <c r="T22" i="69" s="1"/>
  <c r="F22" i="69"/>
  <c r="V18" i="69"/>
  <c r="J18" i="69"/>
  <c r="D18" i="69"/>
  <c r="AC8" i="69" s="1"/>
  <c r="AC10" i="69" s="1"/>
  <c r="X16" i="69"/>
  <c r="R16" i="69"/>
  <c r="L16" i="69"/>
  <c r="K16" i="69"/>
  <c r="Q16" i="69" s="1"/>
  <c r="W16" i="69" s="1"/>
  <c r="H16" i="69"/>
  <c r="N16" i="69" s="1"/>
  <c r="T16" i="69" s="1"/>
  <c r="F16" i="69"/>
  <c r="X15" i="69"/>
  <c r="R15" i="69"/>
  <c r="L15" i="69"/>
  <c r="K15" i="69"/>
  <c r="Q15" i="69" s="1"/>
  <c r="W15" i="69" s="1"/>
  <c r="H15" i="69"/>
  <c r="N15" i="69" s="1"/>
  <c r="T15" i="69" s="1"/>
  <c r="F15" i="69"/>
  <c r="X14" i="69"/>
  <c r="R14" i="69"/>
  <c r="L14" i="69"/>
  <c r="K14" i="69"/>
  <c r="Q14" i="69" s="1"/>
  <c r="W14" i="69" s="1"/>
  <c r="H14" i="69"/>
  <c r="N14" i="69" s="1"/>
  <c r="T14" i="69" s="1"/>
  <c r="F14" i="69"/>
  <c r="X13" i="69"/>
  <c r="R13" i="69"/>
  <c r="L13" i="69"/>
  <c r="K13" i="69"/>
  <c r="Q13" i="69" s="1"/>
  <c r="W13" i="69" s="1"/>
  <c r="H13" i="69"/>
  <c r="N13" i="69" s="1"/>
  <c r="T13" i="69" s="1"/>
  <c r="F13" i="69"/>
  <c r="X12" i="69"/>
  <c r="R12" i="69"/>
  <c r="L12" i="69"/>
  <c r="K12" i="69"/>
  <c r="Q12" i="69" s="1"/>
  <c r="W12" i="69" s="1"/>
  <c r="H12" i="69"/>
  <c r="N12" i="69" s="1"/>
  <c r="T12" i="69" s="1"/>
  <c r="F12" i="69"/>
  <c r="X11" i="69"/>
  <c r="R11" i="69"/>
  <c r="L11" i="69"/>
  <c r="Q11" i="69"/>
  <c r="W11" i="69" s="1"/>
  <c r="H11" i="69"/>
  <c r="N11" i="69" s="1"/>
  <c r="T11" i="69" s="1"/>
  <c r="F11" i="69"/>
  <c r="D72" i="69" s="1"/>
  <c r="X10" i="69"/>
  <c r="R10" i="69"/>
  <c r="Q10" i="69"/>
  <c r="W10" i="69" s="1"/>
  <c r="L10" i="69"/>
  <c r="F10" i="69"/>
  <c r="X9" i="69"/>
  <c r="R9" i="69"/>
  <c r="K9" i="69"/>
  <c r="Q9" i="69" s="1"/>
  <c r="W9" i="69" s="1"/>
  <c r="L9" i="69"/>
  <c r="F9" i="69"/>
  <c r="C9" i="69"/>
  <c r="AD8" i="69"/>
  <c r="AF8" i="69" s="1"/>
  <c r="X8" i="69"/>
  <c r="R8" i="69"/>
  <c r="L8" i="69"/>
  <c r="Q8" i="69"/>
  <c r="W8" i="69" s="1"/>
  <c r="H8" i="69"/>
  <c r="N8" i="69" s="1"/>
  <c r="T8" i="69" s="1"/>
  <c r="F8" i="69"/>
  <c r="AA6" i="69"/>
  <c r="H6" i="69"/>
  <c r="N6" i="69" s="1"/>
  <c r="T6" i="69" s="1"/>
  <c r="T5" i="69"/>
  <c r="N5" i="69"/>
  <c r="H5" i="69"/>
  <c r="F4" i="69"/>
  <c r="E3" i="69"/>
  <c r="E2" i="69"/>
  <c r="A94" i="68"/>
  <c r="W81" i="68"/>
  <c r="Q81" i="68"/>
  <c r="K81" i="68"/>
  <c r="E81" i="68"/>
  <c r="B79" i="68"/>
  <c r="V43" i="68"/>
  <c r="P43" i="68"/>
  <c r="J43" i="68"/>
  <c r="D43" i="68"/>
  <c r="X42" i="68"/>
  <c r="R42" i="68"/>
  <c r="P79" i="68" s="1"/>
  <c r="L42" i="68"/>
  <c r="J79" i="68" s="1"/>
  <c r="K42" i="68"/>
  <c r="Q42" i="68" s="1"/>
  <c r="W42" i="68" s="1"/>
  <c r="W43" i="68" s="1"/>
  <c r="F42" i="68"/>
  <c r="D79" i="68" s="1"/>
  <c r="E100" i="68" s="1"/>
  <c r="X34" i="68"/>
  <c r="W34" i="68"/>
  <c r="R34" i="68"/>
  <c r="Q34" i="68"/>
  <c r="L34" i="68"/>
  <c r="K34" i="68"/>
  <c r="H34" i="68"/>
  <c r="N34" i="68" s="1"/>
  <c r="T34" i="68" s="1"/>
  <c r="F34" i="68"/>
  <c r="X32" i="68"/>
  <c r="W32" i="68"/>
  <c r="R32" i="68"/>
  <c r="Q32" i="68"/>
  <c r="L32" i="68"/>
  <c r="K32" i="68"/>
  <c r="H32" i="68"/>
  <c r="N32" i="68" s="1"/>
  <c r="T32" i="68" s="1"/>
  <c r="F32" i="68"/>
  <c r="W31" i="68"/>
  <c r="R31" i="68"/>
  <c r="Q31" i="68"/>
  <c r="K31" i="68"/>
  <c r="H31" i="68"/>
  <c r="N31" i="68" s="1"/>
  <c r="T31" i="68" s="1"/>
  <c r="X30" i="68"/>
  <c r="W30" i="68"/>
  <c r="R30" i="68"/>
  <c r="Q30" i="68"/>
  <c r="L30" i="68"/>
  <c r="K30" i="68"/>
  <c r="F30" i="68"/>
  <c r="X29" i="68"/>
  <c r="R29" i="68"/>
  <c r="L29" i="68"/>
  <c r="K29" i="68"/>
  <c r="F29" i="68"/>
  <c r="C29" i="68"/>
  <c r="C30" i="68" s="1"/>
  <c r="H30" i="68" s="1"/>
  <c r="N30" i="68" s="1"/>
  <c r="T30" i="68" s="1"/>
  <c r="X28" i="68"/>
  <c r="W28" i="68"/>
  <c r="R28" i="68"/>
  <c r="Q28" i="68"/>
  <c r="L28" i="68"/>
  <c r="K28" i="68"/>
  <c r="H28" i="68"/>
  <c r="N28" i="68" s="1"/>
  <c r="T28" i="68" s="1"/>
  <c r="F28" i="68"/>
  <c r="X27" i="68"/>
  <c r="W27" i="68"/>
  <c r="R27" i="68"/>
  <c r="Q27" i="68"/>
  <c r="L27" i="68"/>
  <c r="K27" i="68"/>
  <c r="F27" i="68"/>
  <c r="X26" i="68"/>
  <c r="W26" i="68"/>
  <c r="R26" i="68"/>
  <c r="Q26" i="68"/>
  <c r="L26" i="68"/>
  <c r="K26" i="68"/>
  <c r="F26" i="68"/>
  <c r="W25" i="68"/>
  <c r="Q25" i="68"/>
  <c r="K25" i="68"/>
  <c r="X24" i="68"/>
  <c r="W24" i="68"/>
  <c r="Q24" i="68"/>
  <c r="K24" i="68"/>
  <c r="W23" i="68"/>
  <c r="Q23" i="68"/>
  <c r="K23" i="68"/>
  <c r="C23" i="68"/>
  <c r="C24" i="68" s="1"/>
  <c r="B23" i="68"/>
  <c r="W22" i="68"/>
  <c r="R22" i="68"/>
  <c r="Q22" i="68"/>
  <c r="L22" i="68"/>
  <c r="K22" i="68"/>
  <c r="H22" i="68"/>
  <c r="N22" i="68" s="1"/>
  <c r="T22" i="68" s="1"/>
  <c r="F22" i="68"/>
  <c r="V18" i="68"/>
  <c r="T70" i="68" s="1"/>
  <c r="V82" i="68" s="1"/>
  <c r="X23" i="68"/>
  <c r="P18" i="68"/>
  <c r="J18" i="68"/>
  <c r="H70" i="68" s="1"/>
  <c r="J82" i="68" s="1"/>
  <c r="D18" i="68"/>
  <c r="X16" i="68"/>
  <c r="R16" i="68"/>
  <c r="L16" i="68"/>
  <c r="K16" i="68"/>
  <c r="Q16" i="68" s="1"/>
  <c r="W16" i="68" s="1"/>
  <c r="H16" i="68"/>
  <c r="N16" i="68"/>
  <c r="T16" i="68" s="1"/>
  <c r="F16" i="68"/>
  <c r="X15" i="68"/>
  <c r="R15" i="68"/>
  <c r="L15" i="68"/>
  <c r="AA15" i="68" s="1"/>
  <c r="K15" i="68"/>
  <c r="Q15" i="68" s="1"/>
  <c r="W15" i="68" s="1"/>
  <c r="H15" i="68"/>
  <c r="N15" i="68" s="1"/>
  <c r="T15" i="68" s="1"/>
  <c r="F15" i="68"/>
  <c r="X14" i="68"/>
  <c r="R14" i="68"/>
  <c r="L14" i="68"/>
  <c r="K14" i="68"/>
  <c r="Q14" i="68"/>
  <c r="W14" i="68" s="1"/>
  <c r="H14" i="68"/>
  <c r="N14" i="68" s="1"/>
  <c r="T14" i="68" s="1"/>
  <c r="F14" i="68"/>
  <c r="X13" i="68"/>
  <c r="R13" i="68"/>
  <c r="L13" i="68"/>
  <c r="K13" i="68"/>
  <c r="Q13" i="68" s="1"/>
  <c r="W13" i="68" s="1"/>
  <c r="H13" i="68"/>
  <c r="N13" i="68" s="1"/>
  <c r="T13" i="68" s="1"/>
  <c r="F13" i="68"/>
  <c r="X12" i="68"/>
  <c r="R12" i="68"/>
  <c r="L12" i="68"/>
  <c r="K12" i="68"/>
  <c r="Q12" i="68" s="1"/>
  <c r="W12" i="68" s="1"/>
  <c r="H12" i="68"/>
  <c r="N12" i="68" s="1"/>
  <c r="T12" i="68" s="1"/>
  <c r="F12" i="68"/>
  <c r="X11" i="68"/>
  <c r="R11" i="68"/>
  <c r="P72" i="68" s="1"/>
  <c r="Q72" i="68" s="1"/>
  <c r="L11" i="68"/>
  <c r="J72" i="68" s="1"/>
  <c r="K72" i="68" s="1"/>
  <c r="K11" i="68"/>
  <c r="Q11" i="68" s="1"/>
  <c r="W11" i="68" s="1"/>
  <c r="H11" i="68"/>
  <c r="N11" i="68" s="1"/>
  <c r="T11" i="68" s="1"/>
  <c r="F11" i="68"/>
  <c r="X10" i="68"/>
  <c r="R10" i="68"/>
  <c r="Q10" i="68"/>
  <c r="W10" i="68" s="1"/>
  <c r="L10" i="68"/>
  <c r="F10" i="68"/>
  <c r="X9" i="68"/>
  <c r="R9" i="68"/>
  <c r="L9" i="68"/>
  <c r="K9" i="68"/>
  <c r="Q9" i="68" s="1"/>
  <c r="W9" i="68" s="1"/>
  <c r="F9" i="68"/>
  <c r="C9" i="68"/>
  <c r="C10" i="68" s="1"/>
  <c r="H10" i="68" s="1"/>
  <c r="N10" i="68" s="1"/>
  <c r="T10" i="68" s="1"/>
  <c r="AD8" i="68"/>
  <c r="AE7" i="68" s="1"/>
  <c r="X8" i="68"/>
  <c r="R8" i="68"/>
  <c r="K8" i="68"/>
  <c r="Q8" i="68" s="1"/>
  <c r="W8" i="68" s="1"/>
  <c r="H8" i="68"/>
  <c r="N8" i="68" s="1"/>
  <c r="T8" i="68" s="1"/>
  <c r="F8" i="68"/>
  <c r="AA6" i="68"/>
  <c r="H6" i="68"/>
  <c r="N6" i="68" s="1"/>
  <c r="T6" i="68" s="1"/>
  <c r="T5" i="68"/>
  <c r="N5" i="68"/>
  <c r="H5" i="68"/>
  <c r="F4" i="68"/>
  <c r="A68" i="68" s="1"/>
  <c r="E3" i="68"/>
  <c r="E2" i="68"/>
  <c r="A94" i="67"/>
  <c r="W81" i="67"/>
  <c r="Q81" i="67"/>
  <c r="K81" i="67"/>
  <c r="E81" i="67"/>
  <c r="B79" i="67"/>
  <c r="X53" i="67"/>
  <c r="R53" i="67"/>
  <c r="L53" i="67"/>
  <c r="X52" i="67"/>
  <c r="R52" i="67"/>
  <c r="L52" i="67"/>
  <c r="X51" i="67"/>
  <c r="R51" i="67"/>
  <c r="L51" i="67"/>
  <c r="X50" i="67"/>
  <c r="R50" i="67"/>
  <c r="L50" i="67"/>
  <c r="V43" i="67"/>
  <c r="P43" i="67"/>
  <c r="J43" i="67"/>
  <c r="D43" i="67"/>
  <c r="X42" i="67"/>
  <c r="V79" i="67" s="1"/>
  <c r="R42" i="67"/>
  <c r="L42" i="67"/>
  <c r="J79" i="67" s="1"/>
  <c r="K42" i="67"/>
  <c r="Q42" i="67" s="1"/>
  <c r="W42" i="67" s="1"/>
  <c r="W43" i="67" s="1"/>
  <c r="F42" i="67"/>
  <c r="D79" i="67" s="1"/>
  <c r="E102" i="67" s="1"/>
  <c r="X35" i="67"/>
  <c r="R35" i="67"/>
  <c r="X34" i="67"/>
  <c r="W34" i="67"/>
  <c r="R34" i="67"/>
  <c r="Q34" i="67"/>
  <c r="L34" i="67"/>
  <c r="K34" i="67"/>
  <c r="H34" i="67"/>
  <c r="N34" i="67" s="1"/>
  <c r="T34" i="67" s="1"/>
  <c r="F34" i="67"/>
  <c r="X33" i="67"/>
  <c r="R33" i="67"/>
  <c r="X32" i="67"/>
  <c r="W32" i="67"/>
  <c r="R32" i="67"/>
  <c r="Q32" i="67"/>
  <c r="L32" i="67"/>
  <c r="K32" i="67"/>
  <c r="H32" i="67"/>
  <c r="N32" i="67" s="1"/>
  <c r="T32" i="67" s="1"/>
  <c r="F32" i="67"/>
  <c r="X31" i="67"/>
  <c r="W31" i="67"/>
  <c r="R31" i="67"/>
  <c r="Q31" i="67"/>
  <c r="K31" i="67"/>
  <c r="H31" i="67"/>
  <c r="N31" i="67" s="1"/>
  <c r="T31" i="67" s="1"/>
  <c r="X30" i="67"/>
  <c r="W30" i="67"/>
  <c r="R30" i="67"/>
  <c r="Q30" i="67"/>
  <c r="L30" i="67"/>
  <c r="K30" i="67"/>
  <c r="F30" i="67"/>
  <c r="X29" i="67"/>
  <c r="R29" i="67"/>
  <c r="L29" i="67"/>
  <c r="K29" i="67"/>
  <c r="F29" i="67"/>
  <c r="C29" i="67"/>
  <c r="C30" i="67" s="1"/>
  <c r="H30" i="67" s="1"/>
  <c r="N30" i="67" s="1"/>
  <c r="T30" i="67" s="1"/>
  <c r="X28" i="67"/>
  <c r="W28" i="67"/>
  <c r="R28" i="67"/>
  <c r="Q28" i="67"/>
  <c r="L28" i="67"/>
  <c r="K28" i="67"/>
  <c r="H28" i="67"/>
  <c r="N28" i="67" s="1"/>
  <c r="T28" i="67" s="1"/>
  <c r="F28" i="67"/>
  <c r="X27" i="67"/>
  <c r="W27" i="67"/>
  <c r="R27" i="67"/>
  <c r="Q27" i="67"/>
  <c r="L27" i="67"/>
  <c r="K27" i="67"/>
  <c r="F27" i="67"/>
  <c r="X26" i="67"/>
  <c r="W26" i="67"/>
  <c r="R26" i="67"/>
  <c r="Q26" i="67"/>
  <c r="L26" i="67"/>
  <c r="K26" i="67"/>
  <c r="F26" i="67"/>
  <c r="X25" i="67"/>
  <c r="W25" i="67"/>
  <c r="R25" i="67"/>
  <c r="Q25" i="67"/>
  <c r="K25" i="67"/>
  <c r="X24" i="67"/>
  <c r="W24" i="67"/>
  <c r="R24" i="67"/>
  <c r="Q24" i="67"/>
  <c r="K24" i="67"/>
  <c r="X23" i="67"/>
  <c r="W23" i="67"/>
  <c r="R23" i="67"/>
  <c r="Q23" i="67"/>
  <c r="K23" i="67"/>
  <c r="C23" i="67"/>
  <c r="H23" i="67" s="1"/>
  <c r="N23" i="67" s="1"/>
  <c r="T23" i="67" s="1"/>
  <c r="B23" i="67"/>
  <c r="X22" i="67"/>
  <c r="W22" i="67"/>
  <c r="R22" i="67"/>
  <c r="Q22" i="67"/>
  <c r="L22" i="67"/>
  <c r="K22" i="67"/>
  <c r="H22" i="67"/>
  <c r="N22" i="67" s="1"/>
  <c r="T22" i="67" s="1"/>
  <c r="V18" i="67"/>
  <c r="P18" i="67"/>
  <c r="J18" i="67"/>
  <c r="H70" i="67" s="1"/>
  <c r="J82" i="67" s="1"/>
  <c r="D18" i="67"/>
  <c r="X16" i="67"/>
  <c r="R16" i="67"/>
  <c r="L16" i="67"/>
  <c r="K16" i="67"/>
  <c r="Q16" i="67" s="1"/>
  <c r="W16" i="67" s="1"/>
  <c r="H16" i="67"/>
  <c r="N16" i="67" s="1"/>
  <c r="T16" i="67" s="1"/>
  <c r="F16" i="67"/>
  <c r="X15" i="67"/>
  <c r="R15" i="67"/>
  <c r="L15" i="67"/>
  <c r="K15" i="67"/>
  <c r="Q15" i="67" s="1"/>
  <c r="W15" i="67" s="1"/>
  <c r="H15" i="67"/>
  <c r="N15" i="67" s="1"/>
  <c r="T15" i="67" s="1"/>
  <c r="F15" i="67"/>
  <c r="X14" i="67"/>
  <c r="R14" i="67"/>
  <c r="L14" i="67"/>
  <c r="K14" i="67"/>
  <c r="Q14" i="67" s="1"/>
  <c r="W14" i="67" s="1"/>
  <c r="H14" i="67"/>
  <c r="N14" i="67" s="1"/>
  <c r="T14" i="67" s="1"/>
  <c r="F14" i="67"/>
  <c r="X13" i="67"/>
  <c r="R13" i="67"/>
  <c r="L13" i="67"/>
  <c r="K13" i="67"/>
  <c r="Q13" i="67" s="1"/>
  <c r="W13" i="67" s="1"/>
  <c r="H13" i="67"/>
  <c r="N13" i="67" s="1"/>
  <c r="T13" i="67" s="1"/>
  <c r="F13" i="67"/>
  <c r="X12" i="67"/>
  <c r="R12" i="67"/>
  <c r="L12" i="67"/>
  <c r="K12" i="67"/>
  <c r="Q12" i="67" s="1"/>
  <c r="W12" i="67" s="1"/>
  <c r="H12" i="67"/>
  <c r="N12" i="67" s="1"/>
  <c r="T12" i="67" s="1"/>
  <c r="F12" i="67"/>
  <c r="X11" i="67"/>
  <c r="R11" i="67"/>
  <c r="L11" i="67"/>
  <c r="K11" i="67"/>
  <c r="Q11" i="67" s="1"/>
  <c r="W11" i="67" s="1"/>
  <c r="H11" i="67"/>
  <c r="N11" i="67" s="1"/>
  <c r="T11" i="67" s="1"/>
  <c r="F11" i="67"/>
  <c r="X10" i="67"/>
  <c r="R10" i="67"/>
  <c r="Q10" i="67"/>
  <c r="W10" i="67" s="1"/>
  <c r="L10" i="67"/>
  <c r="F10" i="67"/>
  <c r="X9" i="67"/>
  <c r="R9" i="67"/>
  <c r="L9" i="67"/>
  <c r="K9" i="67"/>
  <c r="Q9" i="67" s="1"/>
  <c r="W9" i="67" s="1"/>
  <c r="F9" i="67"/>
  <c r="C9" i="67"/>
  <c r="H9" i="67" s="1"/>
  <c r="N9" i="67" s="1"/>
  <c r="T9" i="67" s="1"/>
  <c r="AD8" i="67"/>
  <c r="X8" i="67"/>
  <c r="R8" i="67"/>
  <c r="K8" i="67"/>
  <c r="Q8" i="67" s="1"/>
  <c r="W8" i="67" s="1"/>
  <c r="H8" i="67"/>
  <c r="N8" i="67" s="1"/>
  <c r="T8" i="67" s="1"/>
  <c r="F8" i="67"/>
  <c r="AA6" i="67"/>
  <c r="H6" i="67"/>
  <c r="N6" i="67" s="1"/>
  <c r="T6" i="67" s="1"/>
  <c r="T5" i="67"/>
  <c r="N5" i="67"/>
  <c r="H5" i="67"/>
  <c r="F4" i="67"/>
  <c r="F2" i="67" s="1"/>
  <c r="E3" i="67"/>
  <c r="E2" i="67"/>
  <c r="A94" i="66"/>
  <c r="A95" i="66" s="1"/>
  <c r="W81" i="66"/>
  <c r="Q81" i="66"/>
  <c r="K81" i="66"/>
  <c r="E81" i="66"/>
  <c r="B79" i="66"/>
  <c r="V43" i="66"/>
  <c r="P43" i="66"/>
  <c r="J43" i="66"/>
  <c r="D43" i="66"/>
  <c r="X42" i="66"/>
  <c r="V79" i="66" s="1"/>
  <c r="L42" i="66"/>
  <c r="J79" i="66" s="1"/>
  <c r="K42" i="66"/>
  <c r="F42" i="66"/>
  <c r="X34" i="66"/>
  <c r="W34" i="66"/>
  <c r="Q34" i="66"/>
  <c r="R34" i="66"/>
  <c r="L34" i="66"/>
  <c r="K34" i="66"/>
  <c r="H34" i="66"/>
  <c r="N34" i="66" s="1"/>
  <c r="T34" i="66" s="1"/>
  <c r="F34" i="66"/>
  <c r="X32" i="66"/>
  <c r="W32" i="66"/>
  <c r="Q32" i="66"/>
  <c r="R32" i="66"/>
  <c r="K32" i="66"/>
  <c r="L32" i="66" s="1"/>
  <c r="H32" i="66"/>
  <c r="N32" i="66" s="1"/>
  <c r="T32" i="66" s="1"/>
  <c r="F32" i="66"/>
  <c r="W31" i="66"/>
  <c r="Q31" i="66"/>
  <c r="K31" i="66"/>
  <c r="H31" i="66"/>
  <c r="N31" i="66" s="1"/>
  <c r="T31" i="66" s="1"/>
  <c r="X30" i="66"/>
  <c r="W30" i="66"/>
  <c r="Q30" i="66"/>
  <c r="R30" i="66"/>
  <c r="K30" i="66"/>
  <c r="L30" i="66" s="1"/>
  <c r="F30" i="66"/>
  <c r="C29" i="66"/>
  <c r="H30" i="66" s="1"/>
  <c r="N30" i="66" s="1"/>
  <c r="T30" i="66" s="1"/>
  <c r="X29" i="66"/>
  <c r="R29" i="66"/>
  <c r="L29" i="66"/>
  <c r="K29" i="66"/>
  <c r="F29" i="66"/>
  <c r="X28" i="66"/>
  <c r="W28" i="66"/>
  <c r="Q28" i="66"/>
  <c r="R28" i="66"/>
  <c r="L28" i="66"/>
  <c r="K28" i="66"/>
  <c r="H28" i="66"/>
  <c r="N28" i="66" s="1"/>
  <c r="T28" i="66" s="1"/>
  <c r="F28" i="66"/>
  <c r="X27" i="66"/>
  <c r="W27" i="66"/>
  <c r="Q27" i="66"/>
  <c r="R27" i="66" s="1"/>
  <c r="L27" i="66"/>
  <c r="K27" i="66"/>
  <c r="F27" i="66"/>
  <c r="X26" i="66"/>
  <c r="W26" i="66"/>
  <c r="Q26" i="66"/>
  <c r="R26" i="66" s="1"/>
  <c r="K26" i="66"/>
  <c r="L26" i="66" s="1"/>
  <c r="F26" i="66"/>
  <c r="W25" i="66"/>
  <c r="Q25" i="66"/>
  <c r="K25" i="66"/>
  <c r="W24" i="66"/>
  <c r="Q24" i="66"/>
  <c r="K24" i="66"/>
  <c r="W23" i="66"/>
  <c r="Q23" i="66"/>
  <c r="K23" i="66"/>
  <c r="C23" i="66"/>
  <c r="C24" i="66" s="1"/>
  <c r="H24" i="66" s="1"/>
  <c r="N24" i="66" s="1"/>
  <c r="T24" i="66" s="1"/>
  <c r="B23" i="66"/>
  <c r="W22" i="66"/>
  <c r="Q22" i="66"/>
  <c r="K22" i="66"/>
  <c r="H22" i="66"/>
  <c r="N22" i="66" s="1"/>
  <c r="T22" i="66" s="1"/>
  <c r="V18" i="66"/>
  <c r="T70" i="66" s="1"/>
  <c r="V82" i="66" s="1"/>
  <c r="P18" i="66"/>
  <c r="J18" i="66"/>
  <c r="D18" i="66"/>
  <c r="C70" i="66" s="1"/>
  <c r="D82" i="66" s="1"/>
  <c r="X16" i="66"/>
  <c r="L16" i="66"/>
  <c r="K16" i="66"/>
  <c r="Q16" i="66" s="1"/>
  <c r="H16" i="66"/>
  <c r="N16" i="66" s="1"/>
  <c r="T16" i="66" s="1"/>
  <c r="F16" i="66"/>
  <c r="X15" i="66"/>
  <c r="L15" i="66"/>
  <c r="K15" i="66"/>
  <c r="Q15" i="66" s="1"/>
  <c r="W15" i="66" s="1"/>
  <c r="H15" i="66"/>
  <c r="N15" i="66" s="1"/>
  <c r="T15" i="66" s="1"/>
  <c r="F15" i="66"/>
  <c r="X14" i="66"/>
  <c r="R14" i="66"/>
  <c r="K14" i="66"/>
  <c r="Q14" i="66" s="1"/>
  <c r="W14" i="66" s="1"/>
  <c r="H14" i="66"/>
  <c r="N14" i="66" s="1"/>
  <c r="T14" i="66" s="1"/>
  <c r="F14" i="66"/>
  <c r="X13" i="66"/>
  <c r="R13" i="66"/>
  <c r="L13" i="66"/>
  <c r="K13" i="66"/>
  <c r="Q13" i="66" s="1"/>
  <c r="W13" i="66" s="1"/>
  <c r="H13" i="66"/>
  <c r="N13" i="66" s="1"/>
  <c r="T13" i="66" s="1"/>
  <c r="F13" i="66"/>
  <c r="X12" i="66"/>
  <c r="L12" i="66"/>
  <c r="K12" i="66"/>
  <c r="Q12" i="66" s="1"/>
  <c r="H12" i="66"/>
  <c r="N12" i="66"/>
  <c r="T12" i="66" s="1"/>
  <c r="F12" i="66"/>
  <c r="K11" i="66"/>
  <c r="Q11" i="66" s="1"/>
  <c r="W11" i="66" s="1"/>
  <c r="X11" i="66"/>
  <c r="H11" i="66"/>
  <c r="N11" i="66" s="1"/>
  <c r="T11" i="66" s="1"/>
  <c r="F11" i="66"/>
  <c r="X10" i="66"/>
  <c r="R10" i="66"/>
  <c r="Q10" i="66"/>
  <c r="W10" i="66" s="1"/>
  <c r="L10" i="66"/>
  <c r="F10" i="66"/>
  <c r="X9" i="66"/>
  <c r="K9" i="66"/>
  <c r="L9" i="66" s="1"/>
  <c r="F9" i="66"/>
  <c r="C9" i="66"/>
  <c r="C10" i="66" s="1"/>
  <c r="H10" i="66" s="1"/>
  <c r="N10" i="66" s="1"/>
  <c r="T10" i="66" s="1"/>
  <c r="AD8" i="66"/>
  <c r="X8" i="66"/>
  <c r="K8" i="66"/>
  <c r="Q8" i="66" s="1"/>
  <c r="W8" i="66" s="1"/>
  <c r="H8" i="66"/>
  <c r="N8" i="66" s="1"/>
  <c r="T8" i="66" s="1"/>
  <c r="F8" i="66"/>
  <c r="AA6" i="66"/>
  <c r="H6" i="66"/>
  <c r="N6" i="66" s="1"/>
  <c r="T6" i="66" s="1"/>
  <c r="T5" i="66"/>
  <c r="N5" i="66"/>
  <c r="H5" i="66"/>
  <c r="F4" i="66"/>
  <c r="A67" i="66" s="1"/>
  <c r="F5" i="66"/>
  <c r="E3" i="66"/>
  <c r="E2" i="66"/>
  <c r="X25" i="68"/>
  <c r="L11" i="66"/>
  <c r="R11" i="66"/>
  <c r="X24" i="66"/>
  <c r="L8" i="66"/>
  <c r="R8" i="66"/>
  <c r="L8" i="67"/>
  <c r="R24" i="68"/>
  <c r="R23" i="68"/>
  <c r="L8" i="68"/>
  <c r="H23" i="69"/>
  <c r="N23" i="69" s="1"/>
  <c r="T23" i="69" s="1"/>
  <c r="R23" i="66"/>
  <c r="H9" i="68"/>
  <c r="N9" i="68"/>
  <c r="T9" i="68" s="1"/>
  <c r="F31" i="67"/>
  <c r="L25" i="69"/>
  <c r="L24" i="69"/>
  <c r="L23" i="69"/>
  <c r="L31" i="69"/>
  <c r="E99" i="69"/>
  <c r="E95" i="69"/>
  <c r="E94" i="69"/>
  <c r="E92" i="69"/>
  <c r="E102" i="69"/>
  <c r="E98" i="69"/>
  <c r="E97" i="69"/>
  <c r="E91" i="69"/>
  <c r="E96" i="69"/>
  <c r="C70" i="68"/>
  <c r="D82" i="68" s="1"/>
  <c r="F25" i="68"/>
  <c r="F24" i="68"/>
  <c r="F23" i="68"/>
  <c r="F31" i="68"/>
  <c r="V79" i="68"/>
  <c r="L31" i="68"/>
  <c r="L23" i="68"/>
  <c r="L24" i="68"/>
  <c r="L25" i="68"/>
  <c r="R25" i="68"/>
  <c r="E99" i="68"/>
  <c r="E102" i="68"/>
  <c r="E97" i="68"/>
  <c r="L25" i="67"/>
  <c r="L24" i="67"/>
  <c r="L23" i="67"/>
  <c r="L31" i="67"/>
  <c r="P79" i="67"/>
  <c r="F23" i="67"/>
  <c r="F24" i="67"/>
  <c r="F25" i="67"/>
  <c r="R24" i="66"/>
  <c r="F31" i="66"/>
  <c r="A5" i="66"/>
  <c r="X25" i="66"/>
  <c r="X23" i="66"/>
  <c r="H15" i="53"/>
  <c r="L15" i="53" s="1"/>
  <c r="H16" i="53"/>
  <c r="L16" i="53" s="1"/>
  <c r="H17" i="53"/>
  <c r="L17" i="53" s="1"/>
  <c r="H18" i="53"/>
  <c r="H14" i="53"/>
  <c r="I15" i="53"/>
  <c r="I16" i="53"/>
  <c r="I17" i="53"/>
  <c r="J17" i="53" s="1"/>
  <c r="I18" i="53"/>
  <c r="M15" i="53"/>
  <c r="M16" i="53"/>
  <c r="M17" i="53"/>
  <c r="N17" i="53" s="1"/>
  <c r="M18" i="53"/>
  <c r="I10" i="53"/>
  <c r="I11" i="53"/>
  <c r="I12" i="53"/>
  <c r="J12" i="53" s="1"/>
  <c r="I13" i="53"/>
  <c r="M10" i="53"/>
  <c r="M11" i="53"/>
  <c r="M12" i="53"/>
  <c r="N12" i="53" s="1"/>
  <c r="M13" i="53"/>
  <c r="I35" i="53"/>
  <c r="M35" i="53" s="1"/>
  <c r="H32" i="53"/>
  <c r="L32" i="53" s="1"/>
  <c r="H27" i="53"/>
  <c r="H28" i="53"/>
  <c r="L28" i="53" s="1"/>
  <c r="H29" i="53"/>
  <c r="L29" i="53" s="1"/>
  <c r="H30" i="53"/>
  <c r="L30" i="53" s="1"/>
  <c r="H31" i="53"/>
  <c r="L31" i="53" s="1"/>
  <c r="H33" i="53"/>
  <c r="L33" i="53" s="1"/>
  <c r="H34" i="53"/>
  <c r="L34" i="53" s="1"/>
  <c r="H35" i="53"/>
  <c r="L35" i="53" s="1"/>
  <c r="N35" i="53" s="1"/>
  <c r="H26" i="53"/>
  <c r="L26" i="53" s="1"/>
  <c r="N26" i="53" s="1"/>
  <c r="I34" i="53"/>
  <c r="M34" i="53" s="1"/>
  <c r="I33" i="53"/>
  <c r="M33" i="53" s="1"/>
  <c r="I32" i="53"/>
  <c r="M32" i="53"/>
  <c r="I27" i="53"/>
  <c r="M27" i="53" s="1"/>
  <c r="I28" i="53"/>
  <c r="M28" i="53" s="1"/>
  <c r="I29" i="53"/>
  <c r="M29" i="53" s="1"/>
  <c r="N29" i="53" s="1"/>
  <c r="I30" i="53"/>
  <c r="I26" i="53"/>
  <c r="M26" i="53" s="1"/>
  <c r="H48" i="53"/>
  <c r="L48" i="53" s="1"/>
  <c r="F51" i="68"/>
  <c r="X31" i="68"/>
  <c r="X31" i="66"/>
  <c r="R52" i="68"/>
  <c r="R51" i="68"/>
  <c r="L51" i="68"/>
  <c r="X34" i="63"/>
  <c r="W13" i="63"/>
  <c r="W12" i="63"/>
  <c r="W10" i="63"/>
  <c r="W9" i="63"/>
  <c r="W8" i="63"/>
  <c r="Q13" i="63"/>
  <c r="Q12" i="63"/>
  <c r="Q10" i="63"/>
  <c r="Q9" i="63"/>
  <c r="Q8" i="63"/>
  <c r="K15" i="63"/>
  <c r="Q15" i="63" s="1"/>
  <c r="W15" i="63" s="1"/>
  <c r="K16" i="63"/>
  <c r="Q16" i="63" s="1"/>
  <c r="W16" i="63" s="1"/>
  <c r="K14" i="63"/>
  <c r="Q14" i="63" s="1"/>
  <c r="W14" i="63" s="1"/>
  <c r="K11" i="63"/>
  <c r="Q11" i="63" s="1"/>
  <c r="W11" i="63" s="1"/>
  <c r="K9" i="63"/>
  <c r="K10" i="63"/>
  <c r="K8" i="63"/>
  <c r="L8" i="63" s="1"/>
  <c r="Q24" i="61"/>
  <c r="Q25" i="61"/>
  <c r="K25" i="61"/>
  <c r="K24" i="61"/>
  <c r="K25" i="63"/>
  <c r="Q25" i="63"/>
  <c r="E81" i="61"/>
  <c r="E81" i="63"/>
  <c r="B23" i="63"/>
  <c r="B23" i="61"/>
  <c r="X29" i="63"/>
  <c r="R29" i="63"/>
  <c r="K27" i="63"/>
  <c r="L27" i="63"/>
  <c r="K28" i="63"/>
  <c r="K29" i="63"/>
  <c r="L29" i="63"/>
  <c r="K30" i="63"/>
  <c r="L30" i="63"/>
  <c r="K31" i="63"/>
  <c r="K32" i="63"/>
  <c r="L32" i="63"/>
  <c r="K26" i="63"/>
  <c r="L26" i="63"/>
  <c r="X32" i="63"/>
  <c r="X28" i="63"/>
  <c r="R32" i="63"/>
  <c r="R28" i="63"/>
  <c r="Q34" i="63"/>
  <c r="Q32" i="63"/>
  <c r="Q31" i="63"/>
  <c r="Q30" i="63"/>
  <c r="Q28" i="63"/>
  <c r="Q27" i="63"/>
  <c r="R27" i="63"/>
  <c r="Q26" i="63"/>
  <c r="Q24" i="63"/>
  <c r="Q23" i="63"/>
  <c r="Q22" i="63"/>
  <c r="W32" i="63"/>
  <c r="W31" i="63"/>
  <c r="W30" i="63"/>
  <c r="W28" i="63"/>
  <c r="W27" i="63"/>
  <c r="W26" i="63"/>
  <c r="W25" i="63"/>
  <c r="W24" i="63"/>
  <c r="X24" i="63" s="1"/>
  <c r="W23" i="63"/>
  <c r="W22" i="63"/>
  <c r="L28" i="63"/>
  <c r="K24" i="63"/>
  <c r="K23" i="63"/>
  <c r="K22" i="63"/>
  <c r="C29" i="63"/>
  <c r="C30" i="63" s="1"/>
  <c r="C23" i="63"/>
  <c r="C24" i="63" s="1"/>
  <c r="C25" i="63" s="1"/>
  <c r="C26" i="63" s="1"/>
  <c r="C27" i="63" s="1"/>
  <c r="K22" i="61"/>
  <c r="X29" i="61"/>
  <c r="R29" i="61"/>
  <c r="W22" i="61"/>
  <c r="C23" i="61"/>
  <c r="C24" i="61" s="1"/>
  <c r="R34" i="63"/>
  <c r="R26" i="63"/>
  <c r="X30" i="63"/>
  <c r="R30" i="63"/>
  <c r="X27" i="63"/>
  <c r="X26" i="63"/>
  <c r="C57" i="22"/>
  <c r="C58" i="22"/>
  <c r="C56" i="22"/>
  <c r="E54" i="22"/>
  <c r="F53" i="22"/>
  <c r="F52" i="20"/>
  <c r="E53" i="20"/>
  <c r="R9" i="64"/>
  <c r="E6" i="64"/>
  <c r="E7" i="64" s="1"/>
  <c r="F58" i="64"/>
  <c r="J58" i="64"/>
  <c r="L56" i="64"/>
  <c r="H56" i="64"/>
  <c r="L58" i="64"/>
  <c r="H58" i="64"/>
  <c r="D58" i="64"/>
  <c r="C56" i="20"/>
  <c r="C57" i="20"/>
  <c r="C55" i="20"/>
  <c r="AM12" i="36"/>
  <c r="AE12" i="36"/>
  <c r="AJ12" i="36"/>
  <c r="W13" i="36"/>
  <c r="AE13" i="36"/>
  <c r="AF13" i="36"/>
  <c r="AG13" i="36"/>
  <c r="AJ13" i="36"/>
  <c r="W14" i="36"/>
  <c r="AE14" i="36"/>
  <c r="AF14" i="36"/>
  <c r="AG14" i="36"/>
  <c r="AJ14" i="36"/>
  <c r="W15" i="36"/>
  <c r="AE15" i="36"/>
  <c r="AF15" i="36"/>
  <c r="AG15" i="36"/>
  <c r="AJ15" i="36"/>
  <c r="AE16" i="36"/>
  <c r="AJ16" i="36"/>
  <c r="W17" i="36"/>
  <c r="AE17" i="36"/>
  <c r="AF17" i="36"/>
  <c r="AG17" i="36"/>
  <c r="AJ17" i="36"/>
  <c r="W18" i="36"/>
  <c r="AE18" i="36"/>
  <c r="AF18" i="36"/>
  <c r="AG18" i="36"/>
  <c r="AJ18" i="36"/>
  <c r="W19" i="36"/>
  <c r="AE19" i="36"/>
  <c r="AF19" i="36"/>
  <c r="AG19" i="36"/>
  <c r="AJ19" i="36"/>
  <c r="W20" i="36"/>
  <c r="AE20" i="36"/>
  <c r="AF20" i="36"/>
  <c r="AG20" i="36"/>
  <c r="AJ20" i="36"/>
  <c r="W21" i="36"/>
  <c r="AE21" i="36"/>
  <c r="AF21" i="36"/>
  <c r="AG21" i="36"/>
  <c r="AJ21" i="36"/>
  <c r="W22" i="36"/>
  <c r="AE22" i="36"/>
  <c r="AF22" i="36"/>
  <c r="AG22" i="36"/>
  <c r="AJ22" i="36"/>
  <c r="W23" i="36"/>
  <c r="AE23" i="36"/>
  <c r="AF23" i="36"/>
  <c r="AG23" i="36"/>
  <c r="AJ23" i="36"/>
  <c r="W24" i="36"/>
  <c r="AE24" i="36"/>
  <c r="AF24" i="36"/>
  <c r="AG24" i="36"/>
  <c r="AJ24" i="36"/>
  <c r="W25" i="36"/>
  <c r="AE25" i="36"/>
  <c r="AF25" i="36"/>
  <c r="AG25" i="36"/>
  <c r="AJ25" i="36"/>
  <c r="W26" i="36"/>
  <c r="AE26" i="36"/>
  <c r="AF26" i="36"/>
  <c r="AG26" i="36"/>
  <c r="AJ26" i="36"/>
  <c r="W27" i="36"/>
  <c r="AE27" i="36"/>
  <c r="AF27" i="36"/>
  <c r="AG27" i="36"/>
  <c r="AJ27" i="36"/>
  <c r="W28" i="36"/>
  <c r="AE28" i="36"/>
  <c r="AF28" i="36"/>
  <c r="AG28" i="36"/>
  <c r="AJ28" i="36"/>
  <c r="W29" i="36"/>
  <c r="AE29" i="36"/>
  <c r="AF29" i="36"/>
  <c r="AG29" i="36"/>
  <c r="AJ29" i="36"/>
  <c r="W30" i="36"/>
  <c r="AE30" i="36"/>
  <c r="AF30" i="36"/>
  <c r="AG30" i="36"/>
  <c r="AJ30" i="36"/>
  <c r="W31" i="36"/>
  <c r="AE31" i="36"/>
  <c r="AF31" i="36"/>
  <c r="AG31" i="36"/>
  <c r="AJ31" i="36"/>
  <c r="W32" i="36"/>
  <c r="AE32" i="36"/>
  <c r="AF32" i="36"/>
  <c r="AG32" i="36"/>
  <c r="AJ32" i="36"/>
  <c r="W33" i="36"/>
  <c r="AE33" i="36"/>
  <c r="AF33" i="36"/>
  <c r="AG33" i="36"/>
  <c r="AJ33" i="36"/>
  <c r="W34" i="36"/>
  <c r="AE34" i="36"/>
  <c r="AF34" i="36"/>
  <c r="AG34" i="36"/>
  <c r="AJ34" i="36"/>
  <c r="W35" i="36"/>
  <c r="AE35" i="36"/>
  <c r="AF35" i="36"/>
  <c r="AG35" i="36"/>
  <c r="AJ35" i="36"/>
  <c r="W36" i="36"/>
  <c r="AE36" i="36"/>
  <c r="AF36" i="36"/>
  <c r="AG36" i="36"/>
  <c r="AJ36" i="36"/>
  <c r="W37" i="36"/>
  <c r="AE37" i="36"/>
  <c r="AF37" i="36"/>
  <c r="AG37" i="36"/>
  <c r="AJ37" i="36"/>
  <c r="W38" i="36"/>
  <c r="AE38" i="36"/>
  <c r="AF38" i="36"/>
  <c r="AG38" i="36"/>
  <c r="AJ38" i="36"/>
  <c r="W39" i="36"/>
  <c r="AE39" i="36"/>
  <c r="AF39" i="36"/>
  <c r="AG39" i="36"/>
  <c r="AJ39" i="36"/>
  <c r="W40" i="36"/>
  <c r="AE40" i="36"/>
  <c r="AF40" i="36"/>
  <c r="AG40" i="36"/>
  <c r="AJ40" i="36"/>
  <c r="W41" i="36"/>
  <c r="AE41" i="36"/>
  <c r="AF41" i="36"/>
  <c r="AG41" i="36"/>
  <c r="AJ41" i="36"/>
  <c r="W42" i="36"/>
  <c r="AE42" i="36"/>
  <c r="AF42" i="36"/>
  <c r="AG42" i="36"/>
  <c r="AJ42" i="36"/>
  <c r="W43" i="36"/>
  <c r="AE43" i="36"/>
  <c r="AF43" i="36"/>
  <c r="AG43" i="36"/>
  <c r="AJ43" i="36"/>
  <c r="W44" i="36"/>
  <c r="AE44" i="36"/>
  <c r="AF44" i="36"/>
  <c r="AG44" i="36"/>
  <c r="AJ44" i="36"/>
  <c r="W45" i="36"/>
  <c r="AE45" i="36"/>
  <c r="AF45" i="36"/>
  <c r="AG45" i="36"/>
  <c r="AJ45" i="36"/>
  <c r="W46" i="36"/>
  <c r="AE46" i="36"/>
  <c r="AF46" i="36"/>
  <c r="AG46" i="36"/>
  <c r="AJ46" i="36"/>
  <c r="W47" i="36"/>
  <c r="AE47" i="36"/>
  <c r="AF47" i="36"/>
  <c r="AG47" i="36"/>
  <c r="AJ47" i="36"/>
  <c r="W48" i="36"/>
  <c r="AE48" i="36"/>
  <c r="AF48" i="36"/>
  <c r="AG48" i="36"/>
  <c r="AJ48" i="36"/>
  <c r="W49" i="36"/>
  <c r="AE49" i="36"/>
  <c r="AF49" i="36"/>
  <c r="AG49" i="36"/>
  <c r="AJ49" i="36"/>
  <c r="W50" i="36"/>
  <c r="AE50" i="36"/>
  <c r="AF50" i="36"/>
  <c r="AG50" i="36"/>
  <c r="AJ50" i="36"/>
  <c r="W51" i="36"/>
  <c r="AE51" i="36"/>
  <c r="AF51" i="36"/>
  <c r="AG51" i="36"/>
  <c r="AJ51" i="36"/>
  <c r="AJ11" i="36"/>
  <c r="AE11" i="36"/>
  <c r="AM11" i="36"/>
  <c r="Q11" i="36" s="1"/>
  <c r="U11" i="36" s="1"/>
  <c r="X11" i="36" s="1"/>
  <c r="P11" i="36"/>
  <c r="R8" i="53"/>
  <c r="H5" i="58"/>
  <c r="K5" i="58" s="1"/>
  <c r="Z5" i="58"/>
  <c r="H6" i="58"/>
  <c r="H7" i="58"/>
  <c r="K7" i="58" s="1"/>
  <c r="H8" i="58"/>
  <c r="H9" i="58"/>
  <c r="H10" i="58"/>
  <c r="AN10" i="58" s="1"/>
  <c r="AO10" i="58" s="1"/>
  <c r="H11" i="58"/>
  <c r="K11" i="58" s="1"/>
  <c r="H12" i="58"/>
  <c r="K12" i="58" s="1"/>
  <c r="H13" i="58"/>
  <c r="H14" i="58"/>
  <c r="AL14" i="58" s="1"/>
  <c r="AM14" i="58" s="1"/>
  <c r="H15" i="58"/>
  <c r="K15" i="58" s="1"/>
  <c r="H16" i="58"/>
  <c r="H17" i="58"/>
  <c r="H18" i="58"/>
  <c r="N22" i="6"/>
  <c r="C22" i="6"/>
  <c r="B22" i="6"/>
  <c r="Y5" i="6"/>
  <c r="H5" i="6"/>
  <c r="K5" i="6" s="1"/>
  <c r="H6" i="6"/>
  <c r="AM6" i="6" s="1"/>
  <c r="AN6" i="6" s="1"/>
  <c r="H7" i="6"/>
  <c r="H8" i="6"/>
  <c r="H9" i="6"/>
  <c r="K9" i="6" s="1"/>
  <c r="H10" i="6"/>
  <c r="K10" i="6" s="1"/>
  <c r="H11" i="6"/>
  <c r="H12" i="6"/>
  <c r="H13" i="6"/>
  <c r="K13" i="6" s="1"/>
  <c r="H14" i="6"/>
  <c r="K14" i="6" s="1"/>
  <c r="H15" i="6"/>
  <c r="H16" i="6"/>
  <c r="H17" i="6"/>
  <c r="H18" i="6"/>
  <c r="K18" i="6" s="1"/>
  <c r="H19" i="6"/>
  <c r="H20" i="6"/>
  <c r="E6" i="5"/>
  <c r="W6" i="5" s="1"/>
  <c r="E7" i="5"/>
  <c r="W7" i="5" s="1"/>
  <c r="E8" i="5"/>
  <c r="E9" i="5"/>
  <c r="W9" i="5" s="1"/>
  <c r="E10" i="5"/>
  <c r="E11" i="5"/>
  <c r="E12" i="5"/>
  <c r="E13" i="5"/>
  <c r="W13" i="5" s="1"/>
  <c r="E14" i="5"/>
  <c r="E15" i="5"/>
  <c r="W15" i="5" s="1"/>
  <c r="E16" i="5"/>
  <c r="E17" i="5"/>
  <c r="W17" i="5" s="1"/>
  <c r="E18" i="5"/>
  <c r="E19" i="5"/>
  <c r="W19" i="5" s="1"/>
  <c r="E20" i="5"/>
  <c r="W20" i="5" s="1"/>
  <c r="E21" i="5"/>
  <c r="W21" i="5" s="1"/>
  <c r="E22" i="5"/>
  <c r="E23" i="5"/>
  <c r="E24" i="5"/>
  <c r="E25" i="5"/>
  <c r="W25" i="5" s="1"/>
  <c r="Q10" i="61"/>
  <c r="W10" i="61" s="1"/>
  <c r="K12" i="61"/>
  <c r="Q12" i="61" s="1"/>
  <c r="W12" i="61" s="1"/>
  <c r="K9" i="61"/>
  <c r="L9" i="61" s="1"/>
  <c r="K11" i="61"/>
  <c r="Q11" i="61" s="1"/>
  <c r="W11" i="61" s="1"/>
  <c r="K13" i="61"/>
  <c r="Q13" i="61" s="1"/>
  <c r="W13" i="61" s="1"/>
  <c r="K14" i="61"/>
  <c r="Q14" i="61" s="1"/>
  <c r="W14" i="61" s="1"/>
  <c r="K15" i="61"/>
  <c r="Q15" i="61" s="1"/>
  <c r="W15" i="61" s="1"/>
  <c r="K16" i="61"/>
  <c r="Q16" i="61" s="1"/>
  <c r="W16" i="61" s="1"/>
  <c r="K8" i="61"/>
  <c r="Q8" i="61" s="1"/>
  <c r="W8" i="61" s="1"/>
  <c r="H5" i="61"/>
  <c r="N5" i="61"/>
  <c r="T5" i="61"/>
  <c r="H5" i="63"/>
  <c r="N5" i="63"/>
  <c r="T5" i="63"/>
  <c r="C27" i="24"/>
  <c r="D24" i="64"/>
  <c r="D77" i="64" s="1"/>
  <c r="E89" i="64" s="1"/>
  <c r="M13" i="64"/>
  <c r="T64" i="64"/>
  <c r="S44" i="64"/>
  <c r="S25" i="64"/>
  <c r="M25" i="64"/>
  <c r="I25" i="64"/>
  <c r="E25" i="64"/>
  <c r="L24" i="64"/>
  <c r="L77" i="64" s="1"/>
  <c r="M89" i="64" s="1"/>
  <c r="H24" i="64"/>
  <c r="D28" i="24"/>
  <c r="D63" i="24" s="1"/>
  <c r="C95" i="24" s="1"/>
  <c r="N22" i="64"/>
  <c r="N21" i="64"/>
  <c r="N20" i="64"/>
  <c r="N19" i="64"/>
  <c r="N17" i="64"/>
  <c r="N16" i="64"/>
  <c r="N15" i="64"/>
  <c r="N14" i="64"/>
  <c r="N13" i="64"/>
  <c r="N12" i="64"/>
  <c r="N11" i="64"/>
  <c r="J22" i="64"/>
  <c r="J21" i="64"/>
  <c r="J20" i="64"/>
  <c r="J19" i="64"/>
  <c r="J17" i="64"/>
  <c r="J16" i="64"/>
  <c r="J15" i="64"/>
  <c r="J14" i="64"/>
  <c r="J12" i="64"/>
  <c r="J11" i="64"/>
  <c r="F14" i="64"/>
  <c r="F15" i="64"/>
  <c r="F16" i="64"/>
  <c r="F17" i="64"/>
  <c r="F18" i="64"/>
  <c r="F19" i="64"/>
  <c r="F20" i="64"/>
  <c r="F21" i="64"/>
  <c r="F22" i="64"/>
  <c r="F11" i="64"/>
  <c r="F12" i="64"/>
  <c r="F10" i="64"/>
  <c r="A25" i="64"/>
  <c r="A8" i="64"/>
  <c r="A74" i="64"/>
  <c r="N56" i="64"/>
  <c r="J56" i="64"/>
  <c r="F56" i="64"/>
  <c r="E4" i="64"/>
  <c r="F5" i="64" s="1"/>
  <c r="B2" i="64"/>
  <c r="A78" i="38"/>
  <c r="C46" i="38"/>
  <c r="E44" i="38"/>
  <c r="B78" i="38" s="1"/>
  <c r="N39" i="64"/>
  <c r="N38" i="64"/>
  <c r="L42" i="64" s="1"/>
  <c r="N42" i="64" s="1"/>
  <c r="N37" i="64"/>
  <c r="N36" i="64"/>
  <c r="N35" i="64"/>
  <c r="N34" i="64"/>
  <c r="N33" i="64"/>
  <c r="N32" i="64"/>
  <c r="N31" i="64"/>
  <c r="N30" i="64"/>
  <c r="N29" i="64"/>
  <c r="N28" i="64"/>
  <c r="J39" i="64"/>
  <c r="J38" i="64"/>
  <c r="H42" i="64" s="1"/>
  <c r="J42" i="64" s="1"/>
  <c r="J37" i="64"/>
  <c r="J36" i="64"/>
  <c r="J35" i="64"/>
  <c r="J34" i="64"/>
  <c r="P34" i="64" s="1"/>
  <c r="J33" i="64"/>
  <c r="J32" i="64"/>
  <c r="J31" i="64"/>
  <c r="J30" i="64"/>
  <c r="J29" i="64"/>
  <c r="J28" i="64"/>
  <c r="J27" i="64"/>
  <c r="F52" i="64"/>
  <c r="F28" i="64"/>
  <c r="P28" i="64" s="1"/>
  <c r="F29" i="64"/>
  <c r="F30" i="64"/>
  <c r="F31" i="64"/>
  <c r="P31" i="64" s="1"/>
  <c r="F32" i="64"/>
  <c r="P32" i="64" s="1"/>
  <c r="F33" i="64"/>
  <c r="F34" i="64"/>
  <c r="F35" i="64"/>
  <c r="P35" i="64" s="1"/>
  <c r="F36" i="64"/>
  <c r="P36" i="64" s="1"/>
  <c r="F37" i="64"/>
  <c r="F38" i="64"/>
  <c r="D42" i="64" s="1"/>
  <c r="F42" i="64"/>
  <c r="P42" i="64" s="1"/>
  <c r="F39" i="64"/>
  <c r="P39" i="64" s="1"/>
  <c r="F27" i="64"/>
  <c r="S24" i="64"/>
  <c r="M24" i="64"/>
  <c r="I24" i="64"/>
  <c r="E24" i="64"/>
  <c r="L6" i="64"/>
  <c r="M6" i="64" s="1"/>
  <c r="H6" i="64"/>
  <c r="I6" i="64" s="1"/>
  <c r="I7" i="64" s="1"/>
  <c r="B86" i="64"/>
  <c r="N52" i="64"/>
  <c r="M86" i="64" s="1"/>
  <c r="I52" i="64"/>
  <c r="J52" i="64" s="1"/>
  <c r="M48" i="64"/>
  <c r="I48" i="64"/>
  <c r="M35" i="64"/>
  <c r="I35" i="64"/>
  <c r="M29" i="64"/>
  <c r="I29" i="64"/>
  <c r="M28" i="64"/>
  <c r="I28" i="64"/>
  <c r="M27" i="64"/>
  <c r="N27" i="64"/>
  <c r="P27" i="64" s="1"/>
  <c r="I19" i="64"/>
  <c r="M18" i="64"/>
  <c r="N18" i="64"/>
  <c r="I18" i="64"/>
  <c r="J18" i="64"/>
  <c r="I13" i="64"/>
  <c r="J13" i="64"/>
  <c r="F13" i="64"/>
  <c r="S9" i="64"/>
  <c r="U9" i="64" s="1"/>
  <c r="M10" i="64"/>
  <c r="N10" i="64" s="1"/>
  <c r="I10" i="64"/>
  <c r="J10" i="64" s="1"/>
  <c r="L8" i="64"/>
  <c r="H8" i="64"/>
  <c r="P5" i="64"/>
  <c r="E3" i="64"/>
  <c r="E2" i="64"/>
  <c r="L5" i="5"/>
  <c r="L6" i="5"/>
  <c r="L7" i="5"/>
  <c r="L8" i="5"/>
  <c r="L9" i="5"/>
  <c r="E4" i="63"/>
  <c r="B2" i="63"/>
  <c r="D15" i="24" s="1"/>
  <c r="A94" i="63"/>
  <c r="W81" i="63"/>
  <c r="Q81" i="63"/>
  <c r="K81" i="63"/>
  <c r="B79" i="63"/>
  <c r="V43" i="63"/>
  <c r="P43" i="63"/>
  <c r="J43" i="63"/>
  <c r="D43" i="63"/>
  <c r="X42" i="63"/>
  <c r="V79" i="63" s="1"/>
  <c r="R42" i="63"/>
  <c r="P79" i="63" s="1"/>
  <c r="L42" i="63"/>
  <c r="J79" i="63" s="1"/>
  <c r="K42" i="63"/>
  <c r="Q42" i="63" s="1"/>
  <c r="W42" i="63" s="1"/>
  <c r="W43" i="63" s="1"/>
  <c r="F42" i="63"/>
  <c r="D79" i="63" s="1"/>
  <c r="E100" i="63" s="1"/>
  <c r="W34" i="63"/>
  <c r="K34" i="63"/>
  <c r="L34" i="63"/>
  <c r="H34" i="63"/>
  <c r="F34" i="63"/>
  <c r="H32" i="63"/>
  <c r="N32" i="63" s="1"/>
  <c r="T32" i="63" s="1"/>
  <c r="F32" i="63"/>
  <c r="H31" i="63"/>
  <c r="N31" i="63" s="1"/>
  <c r="T31" i="63" s="1"/>
  <c r="F30" i="63"/>
  <c r="F29" i="63"/>
  <c r="H28" i="63"/>
  <c r="N28" i="63" s="1"/>
  <c r="T28" i="63" s="1"/>
  <c r="F28" i="63"/>
  <c r="F27" i="63"/>
  <c r="F26" i="63"/>
  <c r="H23" i="63"/>
  <c r="N23" i="63" s="1"/>
  <c r="T23" i="63" s="1"/>
  <c r="H22" i="63"/>
  <c r="N22" i="63" s="1"/>
  <c r="T22" i="63" s="1"/>
  <c r="V18" i="63"/>
  <c r="P18" i="63"/>
  <c r="J18" i="63"/>
  <c r="D18" i="63"/>
  <c r="X16" i="63"/>
  <c r="R16" i="63"/>
  <c r="L16" i="63"/>
  <c r="H16" i="63"/>
  <c r="N16" i="63" s="1"/>
  <c r="T16" i="63" s="1"/>
  <c r="F16" i="63"/>
  <c r="X15" i="63"/>
  <c r="R15" i="63"/>
  <c r="L15" i="63"/>
  <c r="H15" i="63"/>
  <c r="N15" i="63" s="1"/>
  <c r="T15" i="63" s="1"/>
  <c r="F15" i="63"/>
  <c r="X14" i="63"/>
  <c r="R14" i="63"/>
  <c r="L14" i="63"/>
  <c r="H14" i="63"/>
  <c r="N14" i="63"/>
  <c r="T14" i="63" s="1"/>
  <c r="F14" i="63"/>
  <c r="X13" i="63"/>
  <c r="R13" i="63"/>
  <c r="L13" i="63"/>
  <c r="AA13" i="63" s="1"/>
  <c r="K13" i="63"/>
  <c r="H13" i="63"/>
  <c r="N13" i="63" s="1"/>
  <c r="T13" i="63" s="1"/>
  <c r="F13" i="63"/>
  <c r="X12" i="63"/>
  <c r="R12" i="63"/>
  <c r="L12" i="63"/>
  <c r="K12" i="63"/>
  <c r="H12" i="63"/>
  <c r="N12" i="63" s="1"/>
  <c r="T12" i="63" s="1"/>
  <c r="F12" i="63"/>
  <c r="X11" i="63"/>
  <c r="R11" i="63"/>
  <c r="L11" i="63"/>
  <c r="H11" i="63"/>
  <c r="N11" i="63" s="1"/>
  <c r="T11" i="63" s="1"/>
  <c r="F11" i="63"/>
  <c r="X10" i="63"/>
  <c r="R10" i="63"/>
  <c r="L10" i="63"/>
  <c r="F10" i="63"/>
  <c r="X9" i="63"/>
  <c r="R9" i="63"/>
  <c r="L9" i="63"/>
  <c r="F9" i="63"/>
  <c r="C9" i="63"/>
  <c r="H9" i="63" s="1"/>
  <c r="N9" i="63" s="1"/>
  <c r="T9" i="63" s="1"/>
  <c r="AD8" i="63"/>
  <c r="AE7" i="63" s="1"/>
  <c r="X8" i="63"/>
  <c r="R8" i="63"/>
  <c r="H8" i="63"/>
  <c r="N8" i="63" s="1"/>
  <c r="T8" i="63" s="1"/>
  <c r="F8" i="63"/>
  <c r="F17" i="63" s="1"/>
  <c r="AA6" i="63"/>
  <c r="H6" i="63"/>
  <c r="N6" i="63" s="1"/>
  <c r="T6" i="63" s="1"/>
  <c r="F4" i="63"/>
  <c r="F2" i="63" s="1"/>
  <c r="E3" i="63"/>
  <c r="E2" i="63"/>
  <c r="H28" i="61"/>
  <c r="N28" i="61" s="1"/>
  <c r="T28" i="61" s="1"/>
  <c r="H31" i="61"/>
  <c r="N31" i="61" s="1"/>
  <c r="T31" i="61" s="1"/>
  <c r="H32" i="61"/>
  <c r="N32" i="61" s="1"/>
  <c r="T32" i="61" s="1"/>
  <c r="H11" i="61"/>
  <c r="N11" i="61" s="1"/>
  <c r="T11" i="61" s="1"/>
  <c r="H12" i="61"/>
  <c r="N12" i="61" s="1"/>
  <c r="T12" i="61" s="1"/>
  <c r="H13" i="61"/>
  <c r="N13" i="61" s="1"/>
  <c r="T13" i="61" s="1"/>
  <c r="H14" i="61"/>
  <c r="N14" i="61" s="1"/>
  <c r="T14" i="61" s="1"/>
  <c r="H15" i="61"/>
  <c r="N15" i="61" s="1"/>
  <c r="T15" i="61" s="1"/>
  <c r="H16" i="61"/>
  <c r="N16" i="61" s="1"/>
  <c r="T16" i="61" s="1"/>
  <c r="H8" i="61"/>
  <c r="N8" i="61" s="1"/>
  <c r="T8" i="61" s="1"/>
  <c r="C22" i="38"/>
  <c r="W30" i="61"/>
  <c r="X30" i="61"/>
  <c r="X11" i="61"/>
  <c r="T116" i="64"/>
  <c r="T118" i="64"/>
  <c r="V43" i="61"/>
  <c r="P43" i="61"/>
  <c r="J43" i="61"/>
  <c r="D43" i="61"/>
  <c r="T119" i="64"/>
  <c r="T115" i="64"/>
  <c r="X42" i="61"/>
  <c r="V79" i="61" s="1"/>
  <c r="R42" i="61"/>
  <c r="L42" i="61"/>
  <c r="J79" i="61" s="1"/>
  <c r="F42" i="61"/>
  <c r="D79" i="61" s="1"/>
  <c r="F16" i="61"/>
  <c r="F15" i="61"/>
  <c r="F14" i="61"/>
  <c r="F13" i="61"/>
  <c r="F12" i="61"/>
  <c r="F11" i="61"/>
  <c r="F10" i="61"/>
  <c r="F9" i="61"/>
  <c r="F8" i="61"/>
  <c r="L16" i="61"/>
  <c r="L15" i="61"/>
  <c r="L14" i="61"/>
  <c r="L13" i="61"/>
  <c r="L12" i="61"/>
  <c r="L11" i="61"/>
  <c r="L10" i="61"/>
  <c r="R16" i="61"/>
  <c r="R15" i="61"/>
  <c r="R14" i="61"/>
  <c r="R13" i="61"/>
  <c r="R12" i="61"/>
  <c r="R11" i="61"/>
  <c r="R10" i="61"/>
  <c r="F32" i="61"/>
  <c r="F30" i="61"/>
  <c r="F27" i="61"/>
  <c r="X10" i="61"/>
  <c r="X12" i="61"/>
  <c r="X13" i="61"/>
  <c r="X14" i="61"/>
  <c r="X15" i="61"/>
  <c r="X16" i="61"/>
  <c r="X8" i="61"/>
  <c r="K30" i="61"/>
  <c r="L30" i="61"/>
  <c r="T120" i="64"/>
  <c r="A3" i="61"/>
  <c r="B46" i="61" s="1"/>
  <c r="C52" i="61" s="1"/>
  <c r="N52" i="61" s="1"/>
  <c r="E4" i="61"/>
  <c r="Y6" i="61" s="1"/>
  <c r="B2" i="61"/>
  <c r="D10" i="24" s="1"/>
  <c r="B61" i="38"/>
  <c r="B62" i="38"/>
  <c r="B63" i="38"/>
  <c r="B64" i="38"/>
  <c r="B65" i="38"/>
  <c r="B66" i="38"/>
  <c r="B67" i="38"/>
  <c r="B60" i="38"/>
  <c r="W81" i="61"/>
  <c r="Q81" i="61"/>
  <c r="K81" i="61"/>
  <c r="T121" i="64"/>
  <c r="C9" i="61"/>
  <c r="C10" i="61" s="1"/>
  <c r="H10" i="61" s="1"/>
  <c r="N10" i="61" s="1"/>
  <c r="T10" i="61" s="1"/>
  <c r="K42" i="61"/>
  <c r="Q42" i="61" s="1"/>
  <c r="W42" i="61" s="1"/>
  <c r="W43" i="61" s="1"/>
  <c r="H34" i="61"/>
  <c r="N34" i="61" s="1"/>
  <c r="T34" i="61" s="1"/>
  <c r="H22" i="61"/>
  <c r="N22" i="61" s="1"/>
  <c r="T22" i="61" s="1"/>
  <c r="C29" i="61"/>
  <c r="W23" i="61"/>
  <c r="W24" i="61"/>
  <c r="W25" i="61"/>
  <c r="W26" i="61"/>
  <c r="W27" i="61"/>
  <c r="X27" i="61"/>
  <c r="W28" i="61"/>
  <c r="X28" i="61"/>
  <c r="W31" i="61"/>
  <c r="W32" i="61"/>
  <c r="X32" i="61"/>
  <c r="Q23" i="61"/>
  <c r="Q26" i="61"/>
  <c r="Q27" i="61"/>
  <c r="R27" i="61"/>
  <c r="Q28" i="61"/>
  <c r="R28" i="61"/>
  <c r="Q30" i="61"/>
  <c r="R30" i="61"/>
  <c r="Q31" i="61"/>
  <c r="Q32" i="61"/>
  <c r="R32" i="61"/>
  <c r="K23" i="61"/>
  <c r="K26" i="61"/>
  <c r="K27" i="61"/>
  <c r="L27" i="61"/>
  <c r="K28" i="61"/>
  <c r="L28" i="61"/>
  <c r="K29" i="61"/>
  <c r="L29" i="61"/>
  <c r="K31" i="61"/>
  <c r="K32" i="61"/>
  <c r="L32" i="61"/>
  <c r="Q22" i="61"/>
  <c r="W34" i="61"/>
  <c r="Q34" i="61"/>
  <c r="K34" i="61"/>
  <c r="T122" i="64"/>
  <c r="V18" i="61"/>
  <c r="P18" i="61"/>
  <c r="J18" i="61"/>
  <c r="D18" i="61"/>
  <c r="AD8" i="61"/>
  <c r="AF8" i="61" s="1"/>
  <c r="AA6" i="61"/>
  <c r="H6" i="61"/>
  <c r="N6" i="61" s="1"/>
  <c r="T6" i="61" s="1"/>
  <c r="T123" i="64"/>
  <c r="A94" i="61"/>
  <c r="A95" i="61" s="1"/>
  <c r="A96" i="61" s="1"/>
  <c r="A97" i="61" s="1"/>
  <c r="A98" i="61" s="1"/>
  <c r="A99" i="61" s="1"/>
  <c r="A100" i="61" s="1"/>
  <c r="B79" i="61"/>
  <c r="F4" i="61"/>
  <c r="A20" i="61" s="1"/>
  <c r="E3" i="61"/>
  <c r="E2" i="61"/>
  <c r="T124" i="64"/>
  <c r="D30" i="10"/>
  <c r="F30" i="10" s="1"/>
  <c r="D30" i="11"/>
  <c r="F30" i="11" s="1"/>
  <c r="T125" i="64"/>
  <c r="T126" i="64"/>
  <c r="A118" i="24"/>
  <c r="F35" i="58" s="1"/>
  <c r="F20" i="58"/>
  <c r="F19" i="58"/>
  <c r="X19" i="58" s="1"/>
  <c r="L28" i="60"/>
  <c r="G29" i="60"/>
  <c r="G31" i="60"/>
  <c r="G32" i="60"/>
  <c r="G35" i="60"/>
  <c r="G37" i="60"/>
  <c r="G38" i="60"/>
  <c r="G39" i="60"/>
  <c r="G40" i="60"/>
  <c r="G42" i="60"/>
  <c r="G43" i="60"/>
  <c r="G44" i="60"/>
  <c r="G45" i="60"/>
  <c r="G46" i="60"/>
  <c r="G47" i="60"/>
  <c r="G48" i="60"/>
  <c r="N10" i="60"/>
  <c r="G11" i="60"/>
  <c r="B19" i="60"/>
  <c r="M10" i="60"/>
  <c r="K10" i="60"/>
  <c r="B14" i="60"/>
  <c r="O10" i="60"/>
  <c r="N40" i="60"/>
  <c r="N41" i="60"/>
  <c r="N42" i="60"/>
  <c r="N37" i="60"/>
  <c r="N38" i="60"/>
  <c r="N39" i="60"/>
  <c r="N36" i="60"/>
  <c r="N35" i="60"/>
  <c r="E26" i="60" s="1"/>
  <c r="E6" i="60"/>
  <c r="E7" i="60" s="1"/>
  <c r="G34" i="60" s="1"/>
  <c r="E3" i="44"/>
  <c r="D30" i="33"/>
  <c r="AG20" i="33"/>
  <c r="AF21" i="33"/>
  <c r="AK21" i="33"/>
  <c r="V21" i="33"/>
  <c r="AA21" i="33"/>
  <c r="J14" i="33"/>
  <c r="J5" i="33"/>
  <c r="Q21" i="33"/>
  <c r="C54" i="47"/>
  <c r="B68" i="47" s="1"/>
  <c r="D54" i="47"/>
  <c r="E54" i="47"/>
  <c r="F54" i="47"/>
  <c r="G54" i="47"/>
  <c r="E68" i="47" s="1"/>
  <c r="H54" i="47"/>
  <c r="I54" i="47"/>
  <c r="J54" i="47"/>
  <c r="K54" i="47"/>
  <c r="K68" i="47" s="1"/>
  <c r="L54" i="47"/>
  <c r="M54" i="47"/>
  <c r="B54" i="47"/>
  <c r="C52" i="47"/>
  <c r="B66" i="47" s="1"/>
  <c r="D52" i="47"/>
  <c r="E52" i="47"/>
  <c r="F52" i="47"/>
  <c r="G52" i="47"/>
  <c r="E66" i="47" s="1"/>
  <c r="H52" i="47"/>
  <c r="I52" i="47"/>
  <c r="J52" i="47"/>
  <c r="K52" i="47"/>
  <c r="K66" i="47" s="1"/>
  <c r="L52" i="47"/>
  <c r="M52" i="47"/>
  <c r="B52" i="47"/>
  <c r="C51" i="47"/>
  <c r="D51" i="47"/>
  <c r="E51" i="47"/>
  <c r="F51" i="47"/>
  <c r="G51" i="47"/>
  <c r="H51" i="47"/>
  <c r="I51" i="47"/>
  <c r="J51" i="47"/>
  <c r="K51" i="47"/>
  <c r="K65" i="47" s="1"/>
  <c r="L51" i="47"/>
  <c r="M51" i="47"/>
  <c r="B51" i="47"/>
  <c r="C49" i="47"/>
  <c r="D49" i="47"/>
  <c r="E49" i="47"/>
  <c r="F49" i="47"/>
  <c r="G49" i="47"/>
  <c r="H49" i="47"/>
  <c r="I49" i="47"/>
  <c r="J49" i="47"/>
  <c r="K49" i="47"/>
  <c r="K63" i="47" s="1"/>
  <c r="L49" i="47"/>
  <c r="M49" i="47"/>
  <c r="B49" i="47"/>
  <c r="C48" i="47"/>
  <c r="D48" i="47"/>
  <c r="E48" i="47"/>
  <c r="F48" i="47"/>
  <c r="G48" i="47"/>
  <c r="E62" i="47" s="1"/>
  <c r="H48" i="47"/>
  <c r="I48" i="47"/>
  <c r="J48" i="47"/>
  <c r="K48" i="47"/>
  <c r="K62" i="47" s="1"/>
  <c r="L48" i="47"/>
  <c r="M48" i="47"/>
  <c r="B48" i="47"/>
  <c r="C46" i="47"/>
  <c r="D46" i="47"/>
  <c r="E46" i="47"/>
  <c r="F46" i="47"/>
  <c r="G46" i="47"/>
  <c r="H46" i="47"/>
  <c r="I46" i="47"/>
  <c r="J46" i="47"/>
  <c r="K46" i="47"/>
  <c r="K60" i="47" s="1"/>
  <c r="L46" i="47"/>
  <c r="M46" i="47"/>
  <c r="C47" i="47"/>
  <c r="D47" i="47"/>
  <c r="E47" i="47"/>
  <c r="F47" i="47"/>
  <c r="G47" i="47"/>
  <c r="H47" i="47"/>
  <c r="I47" i="47"/>
  <c r="J47" i="47"/>
  <c r="K47" i="47"/>
  <c r="L47" i="47"/>
  <c r="M47" i="47"/>
  <c r="B47" i="47"/>
  <c r="B46" i="47"/>
  <c r="C44" i="47"/>
  <c r="B58" i="47" s="1"/>
  <c r="D44" i="47"/>
  <c r="E44" i="47"/>
  <c r="F44" i="47"/>
  <c r="G44" i="47"/>
  <c r="E58" i="47" s="1"/>
  <c r="H44" i="47"/>
  <c r="I44" i="47"/>
  <c r="J44" i="47"/>
  <c r="K44" i="47"/>
  <c r="K58" i="47" s="1"/>
  <c r="L44" i="47"/>
  <c r="M44" i="47"/>
  <c r="C45" i="47"/>
  <c r="D45" i="47"/>
  <c r="E45" i="47"/>
  <c r="F45" i="47"/>
  <c r="G45" i="47"/>
  <c r="H45" i="47"/>
  <c r="H59" i="47" s="1"/>
  <c r="I45" i="47"/>
  <c r="J45" i="47"/>
  <c r="K45" i="47"/>
  <c r="L45" i="47"/>
  <c r="K59" i="47" s="1"/>
  <c r="M45" i="47"/>
  <c r="B45" i="47"/>
  <c r="B44" i="47"/>
  <c r="H8" i="5"/>
  <c r="H9" i="5"/>
  <c r="H10" i="5"/>
  <c r="H11" i="5"/>
  <c r="H12" i="5"/>
  <c r="H13" i="5"/>
  <c r="H14" i="5"/>
  <c r="H15" i="5"/>
  <c r="H16" i="5"/>
  <c r="H17" i="5"/>
  <c r="H18" i="5"/>
  <c r="H19" i="5"/>
  <c r="H20" i="5"/>
  <c r="H21" i="5"/>
  <c r="H22" i="5"/>
  <c r="H23" i="5"/>
  <c r="H24" i="5"/>
  <c r="H25" i="5"/>
  <c r="D8" i="58"/>
  <c r="D10" i="58"/>
  <c r="D15" i="58"/>
  <c r="D16" i="58"/>
  <c r="D17" i="58"/>
  <c r="D18" i="58"/>
  <c r="D19" i="58"/>
  <c r="D20" i="58"/>
  <c r="D6" i="6"/>
  <c r="D8" i="6"/>
  <c r="D9" i="6"/>
  <c r="D10" i="6"/>
  <c r="D11" i="6"/>
  <c r="D12" i="6"/>
  <c r="D13" i="6"/>
  <c r="D14" i="6"/>
  <c r="D15" i="6"/>
  <c r="D16" i="6"/>
  <c r="D17" i="6"/>
  <c r="D18" i="6"/>
  <c r="D19" i="6"/>
  <c r="D20" i="6"/>
  <c r="D5" i="6"/>
  <c r="A2" i="44"/>
  <c r="A3" i="15"/>
  <c r="B50" i="15" s="1"/>
  <c r="F26" i="6"/>
  <c r="A186" i="54"/>
  <c r="A187" i="54"/>
  <c r="A188" i="54"/>
  <c r="A189" i="54"/>
  <c r="A182" i="54"/>
  <c r="A183" i="54"/>
  <c r="A184" i="54"/>
  <c r="A185" i="54"/>
  <c r="A181" i="54"/>
  <c r="A175" i="54"/>
  <c r="A176" i="54"/>
  <c r="A177" i="54"/>
  <c r="A178" i="54"/>
  <c r="A179" i="54"/>
  <c r="A174" i="54"/>
  <c r="AR31" i="58"/>
  <c r="AR29" i="58"/>
  <c r="AR28" i="58"/>
  <c r="AR26" i="58"/>
  <c r="AR25" i="58"/>
  <c r="AP31" i="58"/>
  <c r="AP29" i="58"/>
  <c r="AP28" i="58"/>
  <c r="AP26" i="58"/>
  <c r="AP25" i="58"/>
  <c r="AN31" i="58"/>
  <c r="AN29" i="58"/>
  <c r="AN28" i="58"/>
  <c r="AN26" i="58"/>
  <c r="AN25" i="58"/>
  <c r="AL31" i="58"/>
  <c r="AL29" i="58"/>
  <c r="AL28" i="58"/>
  <c r="AL26" i="58"/>
  <c r="AL25" i="58"/>
  <c r="AJ31" i="58"/>
  <c r="AJ29" i="58"/>
  <c r="AJ28" i="58"/>
  <c r="AJ26" i="58"/>
  <c r="AJ25" i="58"/>
  <c r="AE31" i="58"/>
  <c r="AE29" i="58"/>
  <c r="AE28" i="58"/>
  <c r="AE26" i="58"/>
  <c r="AE25" i="58"/>
  <c r="AQ31" i="58"/>
  <c r="AQ29" i="58"/>
  <c r="AQ28" i="58"/>
  <c r="AQ26" i="58"/>
  <c r="AQ25" i="58"/>
  <c r="AO31" i="58"/>
  <c r="AO29" i="58"/>
  <c r="AO28" i="58"/>
  <c r="AO26" i="58"/>
  <c r="AO25" i="58"/>
  <c r="AM31" i="58"/>
  <c r="AM29" i="58"/>
  <c r="AM28" i="58"/>
  <c r="AM26" i="58"/>
  <c r="AM25" i="58"/>
  <c r="AK31" i="58"/>
  <c r="AK29" i="58"/>
  <c r="AK28" i="58"/>
  <c r="AK26" i="58"/>
  <c r="AK25" i="58"/>
  <c r="AI31" i="58"/>
  <c r="AI29" i="58"/>
  <c r="AI28" i="58"/>
  <c r="AI26" i="58"/>
  <c r="AI25" i="58"/>
  <c r="AD25" i="58"/>
  <c r="AD26" i="58"/>
  <c r="AD28" i="58"/>
  <c r="AD29" i="58"/>
  <c r="AD31" i="58"/>
  <c r="F34" i="58"/>
  <c r="F33" i="58"/>
  <c r="F32" i="58"/>
  <c r="F31" i="58"/>
  <c r="F30" i="58"/>
  <c r="F29" i="58"/>
  <c r="F28" i="58"/>
  <c r="F27" i="58"/>
  <c r="F26" i="58"/>
  <c r="F25" i="58"/>
  <c r="D30" i="5"/>
  <c r="D31" i="5"/>
  <c r="D32" i="5"/>
  <c r="D33" i="5"/>
  <c r="D34" i="5"/>
  <c r="D35" i="5"/>
  <c r="AC35" i="5" s="1"/>
  <c r="D36" i="5"/>
  <c r="AH36" i="5" s="1"/>
  <c r="D37" i="5"/>
  <c r="D38" i="5"/>
  <c r="D39" i="5"/>
  <c r="D29" i="5"/>
  <c r="F25" i="6"/>
  <c r="AO25" i="6" s="1"/>
  <c r="F27" i="6"/>
  <c r="F28" i="6"/>
  <c r="F29" i="6"/>
  <c r="F30" i="6"/>
  <c r="AD30" i="6" s="1"/>
  <c r="F31" i="6"/>
  <c r="AL31" i="6" s="1"/>
  <c r="F32" i="6"/>
  <c r="F33" i="6"/>
  <c r="F34" i="6"/>
  <c r="F24" i="6"/>
  <c r="A145" i="24"/>
  <c r="A136" i="24"/>
  <c r="A137" i="24"/>
  <c r="A138" i="24"/>
  <c r="A139" i="24"/>
  <c r="A140" i="24"/>
  <c r="A142" i="24"/>
  <c r="A143" i="24"/>
  <c r="A144" i="24"/>
  <c r="A135" i="24"/>
  <c r="A146" i="24" s="1"/>
  <c r="A128" i="24"/>
  <c r="A129" i="24"/>
  <c r="A130" i="24"/>
  <c r="A131" i="24"/>
  <c r="A121" i="24"/>
  <c r="A122" i="24"/>
  <c r="A123" i="24"/>
  <c r="A124" i="24"/>
  <c r="A132" i="24" s="1"/>
  <c r="A125" i="24"/>
  <c r="A126" i="24"/>
  <c r="A127" i="24"/>
  <c r="D30" i="44"/>
  <c r="A39" i="24"/>
  <c r="A73" i="24"/>
  <c r="A100" i="24"/>
  <c r="AD5" i="58"/>
  <c r="AE5" i="58" s="1"/>
  <c r="AI5" i="58" s="1"/>
  <c r="H32" i="58"/>
  <c r="AE32" i="58" s="1"/>
  <c r="T5" i="5"/>
  <c r="U5" i="5" s="1"/>
  <c r="Y5" i="5" s="1"/>
  <c r="AD6" i="58"/>
  <c r="C109" i="24"/>
  <c r="C123" i="24" s="1"/>
  <c r="C137" i="24" s="1"/>
  <c r="C110" i="24"/>
  <c r="C124" i="24" s="1"/>
  <c r="C138" i="24" s="1"/>
  <c r="C111" i="24"/>
  <c r="C125" i="24" s="1"/>
  <c r="C139" i="24" s="1"/>
  <c r="C112" i="24"/>
  <c r="C126" i="24" s="1"/>
  <c r="C140" i="24" s="1"/>
  <c r="C113" i="24"/>
  <c r="C127" i="24" s="1"/>
  <c r="C141" i="24" s="1"/>
  <c r="C114" i="24"/>
  <c r="C128" i="24" s="1"/>
  <c r="C142" i="24" s="1"/>
  <c r="C108" i="24"/>
  <c r="C122" i="24" s="1"/>
  <c r="C136" i="24" s="1"/>
  <c r="C107" i="24"/>
  <c r="C121" i="24" s="1"/>
  <c r="C135" i="24" s="1"/>
  <c r="Q25" i="58"/>
  <c r="R25" i="58"/>
  <c r="S25" i="58"/>
  <c r="T25" i="58"/>
  <c r="U25" i="58"/>
  <c r="V25" i="58"/>
  <c r="AA25" i="58" s="1"/>
  <c r="R26" i="58"/>
  <c r="T26" i="58"/>
  <c r="U26" i="58"/>
  <c r="R27" i="58"/>
  <c r="T27" i="58"/>
  <c r="U27" i="58"/>
  <c r="Q28" i="58"/>
  <c r="R28" i="58"/>
  <c r="S28" i="58"/>
  <c r="T28" i="58"/>
  <c r="U28" i="58"/>
  <c r="V28" i="58"/>
  <c r="D50" i="52" s="1"/>
  <c r="F50" i="52" s="1"/>
  <c r="H50" i="52" s="1"/>
  <c r="Q29" i="58"/>
  <c r="R29" i="58"/>
  <c r="S29" i="58"/>
  <c r="T29" i="58"/>
  <c r="U29" i="58"/>
  <c r="V29" i="58"/>
  <c r="AA29" i="58" s="1"/>
  <c r="R30" i="58"/>
  <c r="T30" i="58"/>
  <c r="U30" i="58"/>
  <c r="R31" i="58"/>
  <c r="T31" i="58"/>
  <c r="U31" i="58"/>
  <c r="U24" i="58"/>
  <c r="G31" i="6"/>
  <c r="G30" i="6"/>
  <c r="R30" i="6" s="1"/>
  <c r="G29" i="6"/>
  <c r="T29" i="6" s="1"/>
  <c r="G28" i="6"/>
  <c r="S28" i="6" s="1"/>
  <c r="G27" i="6"/>
  <c r="Q27" i="6" s="1"/>
  <c r="G26" i="6"/>
  <c r="G25" i="6"/>
  <c r="G24" i="6"/>
  <c r="T24" i="6" s="1"/>
  <c r="E36" i="5"/>
  <c r="E35" i="5"/>
  <c r="E34" i="5"/>
  <c r="E33" i="5"/>
  <c r="K33" i="5" s="1"/>
  <c r="E32" i="5"/>
  <c r="L32" i="5" s="1"/>
  <c r="D112" i="54" s="1"/>
  <c r="E31" i="5"/>
  <c r="E30" i="5"/>
  <c r="AD30" i="5" s="1"/>
  <c r="E29" i="5"/>
  <c r="A68" i="38"/>
  <c r="D9" i="58"/>
  <c r="A69" i="38"/>
  <c r="E38" i="5" s="1"/>
  <c r="T38" i="5" s="1"/>
  <c r="A70" i="38"/>
  <c r="G34" i="6" s="1"/>
  <c r="R34" i="6" s="1"/>
  <c r="D12" i="58"/>
  <c r="H5" i="5"/>
  <c r="D14" i="58"/>
  <c r="D13" i="58"/>
  <c r="H33" i="58"/>
  <c r="H34" i="58"/>
  <c r="AG6" i="58"/>
  <c r="AG7" i="58"/>
  <c r="AG8" i="58"/>
  <c r="AG9" i="58"/>
  <c r="AG10" i="58"/>
  <c r="AG11" i="58"/>
  <c r="AG12" i="58"/>
  <c r="AG13" i="58"/>
  <c r="AG14" i="58"/>
  <c r="AG15" i="58"/>
  <c r="AG16" i="58"/>
  <c r="AG17" i="58"/>
  <c r="AG24" i="58" s="1"/>
  <c r="AG18" i="58"/>
  <c r="F120" i="24"/>
  <c r="E72" i="38"/>
  <c r="F72" i="38"/>
  <c r="D72" i="38"/>
  <c r="H39" i="58"/>
  <c r="S39" i="58" s="1"/>
  <c r="H40" i="58"/>
  <c r="T40" i="58" s="1"/>
  <c r="H41" i="58"/>
  <c r="T41" i="58" s="1"/>
  <c r="H42" i="58"/>
  <c r="U42" i="58" s="1"/>
  <c r="H43" i="58"/>
  <c r="H44" i="58"/>
  <c r="H45" i="58"/>
  <c r="R45" i="58" s="1"/>
  <c r="H38" i="58"/>
  <c r="R38" i="58" s="1"/>
  <c r="AG25" i="58"/>
  <c r="AG28" i="58"/>
  <c r="AG29" i="58"/>
  <c r="M25" i="58"/>
  <c r="M29" i="58"/>
  <c r="T24" i="58"/>
  <c r="R24" i="58"/>
  <c r="R42" i="58"/>
  <c r="S5" i="6"/>
  <c r="S30" i="58"/>
  <c r="N22" i="58"/>
  <c r="C22" i="58"/>
  <c r="T21" i="58"/>
  <c r="R21" i="58"/>
  <c r="G21" i="58"/>
  <c r="Z20" i="58"/>
  <c r="P20" i="58" s="1"/>
  <c r="O20" i="58"/>
  <c r="B22" i="58"/>
  <c r="Z19" i="58"/>
  <c r="P19" i="58" s="1"/>
  <c r="S42" i="58"/>
  <c r="O19" i="58"/>
  <c r="AD18" i="58"/>
  <c r="AE18" i="58" s="1"/>
  <c r="AI18" i="58" s="1"/>
  <c r="Z18" i="58"/>
  <c r="O18" i="58"/>
  <c r="AG30" i="58"/>
  <c r="AD17" i="58"/>
  <c r="AE17" i="58" s="1"/>
  <c r="AI17" i="58" s="1"/>
  <c r="Z17" i="58"/>
  <c r="J17" i="58" s="1"/>
  <c r="Q17" i="58" s="1"/>
  <c r="O17" i="58"/>
  <c r="AD16" i="58"/>
  <c r="AE16" i="58" s="1"/>
  <c r="AI16" i="58" s="1"/>
  <c r="Z16" i="58"/>
  <c r="J16" i="58" s="1"/>
  <c r="Q16" i="58" s="1"/>
  <c r="O16" i="58"/>
  <c r="AD15" i="58"/>
  <c r="AE15" i="58" s="1"/>
  <c r="AI15" i="58" s="1"/>
  <c r="Z15" i="58"/>
  <c r="P15" i="58" s="1"/>
  <c r="O15" i="58"/>
  <c r="AD14" i="58"/>
  <c r="AE14" i="58" s="1"/>
  <c r="AI14" i="58" s="1"/>
  <c r="Z14" i="58"/>
  <c r="P14" i="58" s="1"/>
  <c r="O14" i="58"/>
  <c r="AD13" i="58"/>
  <c r="AE13" i="58" s="1"/>
  <c r="Z13" i="58"/>
  <c r="J13" i="58" s="1"/>
  <c r="Q13" i="58" s="1"/>
  <c r="O13" i="58"/>
  <c r="AG27" i="58"/>
  <c r="AD12" i="58"/>
  <c r="AE12" i="58" s="1"/>
  <c r="AI12" i="58" s="1"/>
  <c r="Z12" i="58"/>
  <c r="P12" i="58" s="1"/>
  <c r="S27" i="58"/>
  <c r="O12" i="58"/>
  <c r="AG31" i="58"/>
  <c r="AD11" i="58"/>
  <c r="AE11" i="58" s="1"/>
  <c r="AI11" i="58" s="1"/>
  <c r="Z11" i="58"/>
  <c r="M11" i="58" s="1"/>
  <c r="S31" i="58"/>
  <c r="O11" i="58"/>
  <c r="AD10" i="58"/>
  <c r="AE10" i="58" s="1"/>
  <c r="AI10" i="58" s="1"/>
  <c r="Z10" i="58"/>
  <c r="P10" i="58" s="1"/>
  <c r="O10" i="58"/>
  <c r="AD9" i="58"/>
  <c r="AE9" i="58" s="1"/>
  <c r="AI9" i="58" s="1"/>
  <c r="Z9" i="58"/>
  <c r="P9" i="58" s="1"/>
  <c r="O9" i="58"/>
  <c r="AG26" i="58"/>
  <c r="AD8" i="58"/>
  <c r="AE8" i="58" s="1"/>
  <c r="AI8" i="58" s="1"/>
  <c r="Z8" i="58"/>
  <c r="P8" i="58" s="1"/>
  <c r="S26" i="58"/>
  <c r="O8" i="58"/>
  <c r="AD7" i="58"/>
  <c r="AE7" i="58" s="1"/>
  <c r="AI7" i="58" s="1"/>
  <c r="Z7" i="58"/>
  <c r="P7" i="58" s="1"/>
  <c r="O7" i="58"/>
  <c r="Z6" i="58"/>
  <c r="P6" i="58" s="1"/>
  <c r="O6" i="58"/>
  <c r="AG5" i="58"/>
  <c r="O5" i="58"/>
  <c r="I5" i="58"/>
  <c r="R2" i="58"/>
  <c r="I18" i="58"/>
  <c r="AD27" i="58"/>
  <c r="AD30" i="58"/>
  <c r="AP13" i="58"/>
  <c r="AQ13" i="58" s="1"/>
  <c r="AJ17" i="58"/>
  <c r="AK17" i="58" s="1"/>
  <c r="AJ9" i="58"/>
  <c r="AK9" i="58" s="1"/>
  <c r="AJ12" i="58"/>
  <c r="AK12" i="58" s="1"/>
  <c r="AN12" i="58"/>
  <c r="AO12" i="58" s="1"/>
  <c r="AL12" i="58"/>
  <c r="AM12" i="58" s="1"/>
  <c r="AR30" i="58"/>
  <c r="AL11" i="58"/>
  <c r="AM11" i="58" s="1"/>
  <c r="AN11" i="58"/>
  <c r="AO11" i="58" s="1"/>
  <c r="AP11" i="58"/>
  <c r="AQ11" i="58" s="1"/>
  <c r="AJ11" i="58"/>
  <c r="AK11" i="58" s="1"/>
  <c r="AR11" i="58"/>
  <c r="AJ7" i="58"/>
  <c r="AK7" i="58" s="1"/>
  <c r="AR7" i="58"/>
  <c r="AN7" i="58"/>
  <c r="AO7" i="58" s="1"/>
  <c r="AL15" i="58"/>
  <c r="AM15" i="58" s="1"/>
  <c r="AN15" i="58"/>
  <c r="AO15" i="58" s="1"/>
  <c r="AJ15" i="58"/>
  <c r="AK15" i="58" s="1"/>
  <c r="AR15" i="58"/>
  <c r="AR27" i="58"/>
  <c r="AP15" i="58"/>
  <c r="AQ15" i="58" s="1"/>
  <c r="S24" i="58"/>
  <c r="S40" i="58"/>
  <c r="M34" i="58"/>
  <c r="U21" i="58"/>
  <c r="AE6" i="58"/>
  <c r="AI6" i="58" s="1"/>
  <c r="I20" i="58"/>
  <c r="I19" i="58"/>
  <c r="I15" i="58"/>
  <c r="I14" i="58"/>
  <c r="I13" i="58"/>
  <c r="I12" i="58"/>
  <c r="I17" i="58"/>
  <c r="I16" i="58"/>
  <c r="I6" i="58"/>
  <c r="S21" i="58"/>
  <c r="I7" i="58"/>
  <c r="I8" i="58"/>
  <c r="I9" i="58"/>
  <c r="I10" i="58"/>
  <c r="I11" i="58"/>
  <c r="AK27" i="58"/>
  <c r="AJ27" i="58"/>
  <c r="AO27" i="58"/>
  <c r="AN27" i="58"/>
  <c r="AQ27" i="58"/>
  <c r="AP27" i="58"/>
  <c r="AM27" i="58"/>
  <c r="AL27" i="58"/>
  <c r="AI27" i="58"/>
  <c r="AE27" i="58"/>
  <c r="AK30" i="58"/>
  <c r="AJ30" i="58"/>
  <c r="AO30" i="58"/>
  <c r="AN30" i="58"/>
  <c r="AM30" i="58"/>
  <c r="AL30" i="58"/>
  <c r="AQ30" i="58"/>
  <c r="AP30" i="58"/>
  <c r="AI30" i="58"/>
  <c r="AE30" i="58"/>
  <c r="Q26" i="58"/>
  <c r="S8" i="53"/>
  <c r="U8" i="53" s="1"/>
  <c r="D6" i="53"/>
  <c r="P5" i="5"/>
  <c r="P6" i="5"/>
  <c r="D6" i="48"/>
  <c r="I27" i="17"/>
  <c r="I28" i="17"/>
  <c r="I29" i="17"/>
  <c r="I30" i="17"/>
  <c r="I31" i="17"/>
  <c r="I32" i="17"/>
  <c r="I33" i="17"/>
  <c r="I34" i="17"/>
  <c r="I35" i="17"/>
  <c r="I26" i="17"/>
  <c r="I25" i="17"/>
  <c r="I9" i="17"/>
  <c r="I10" i="17"/>
  <c r="I11" i="17"/>
  <c r="I12" i="17"/>
  <c r="I13" i="17"/>
  <c r="I14" i="17"/>
  <c r="I15" i="17"/>
  <c r="I16" i="17"/>
  <c r="I17" i="17"/>
  <c r="I7" i="17"/>
  <c r="F5" i="17"/>
  <c r="A21" i="17"/>
  <c r="D6" i="17"/>
  <c r="C84" i="17" s="1"/>
  <c r="A5" i="17"/>
  <c r="B159" i="54"/>
  <c r="D159" i="54" s="1"/>
  <c r="F159" i="54" s="1"/>
  <c r="H159" i="54" s="1"/>
  <c r="J159" i="54" s="1"/>
  <c r="L159" i="54" s="1"/>
  <c r="G140" i="54"/>
  <c r="B141" i="54"/>
  <c r="D141" i="54" s="1"/>
  <c r="F141" i="54" s="1"/>
  <c r="H141" i="54" s="1"/>
  <c r="J141" i="54" s="1"/>
  <c r="L141" i="54" s="1"/>
  <c r="B194" i="54"/>
  <c r="D194" i="54" s="1"/>
  <c r="F194" i="54" s="1"/>
  <c r="H194" i="54" s="1"/>
  <c r="J194" i="54" s="1"/>
  <c r="L194" i="54" s="1"/>
  <c r="A154" i="54"/>
  <c r="G239" i="24"/>
  <c r="C234" i="24"/>
  <c r="C235" i="24"/>
  <c r="F235" i="24" s="1"/>
  <c r="C236" i="24"/>
  <c r="B234" i="24"/>
  <c r="B235" i="24"/>
  <c r="B236" i="24"/>
  <c r="C233" i="24"/>
  <c r="G233" i="24" s="1"/>
  <c r="Y6" i="6"/>
  <c r="P6" i="6" s="1"/>
  <c r="Y7" i="6"/>
  <c r="Y8" i="6"/>
  <c r="J8" i="6" s="1"/>
  <c r="Y9" i="6"/>
  <c r="P9" i="6" s="1"/>
  <c r="Y10" i="6"/>
  <c r="P10" i="6" s="1"/>
  <c r="Y11" i="6"/>
  <c r="Y12" i="6"/>
  <c r="Y13" i="6"/>
  <c r="J13" i="6" s="1"/>
  <c r="Q13" i="6" s="1"/>
  <c r="Y14" i="6"/>
  <c r="P14" i="6" s="1"/>
  <c r="Y15" i="6"/>
  <c r="Y16" i="6"/>
  <c r="Y17" i="6"/>
  <c r="Y18" i="6"/>
  <c r="P18" i="6" s="1"/>
  <c r="Y19" i="6"/>
  <c r="Y20" i="6"/>
  <c r="P7" i="5"/>
  <c r="K7" i="5" s="1"/>
  <c r="P8" i="5"/>
  <c r="I8" i="5" s="1"/>
  <c r="P9" i="5"/>
  <c r="P10" i="5"/>
  <c r="J10" i="5" s="1"/>
  <c r="Q10" i="5" s="1"/>
  <c r="P11" i="5"/>
  <c r="K11" i="5" s="1"/>
  <c r="P12" i="5"/>
  <c r="I12" i="5" s="1"/>
  <c r="P13" i="5"/>
  <c r="K13" i="5" s="1"/>
  <c r="P14" i="5"/>
  <c r="J14" i="5" s="1"/>
  <c r="P15" i="5"/>
  <c r="I15" i="5" s="1"/>
  <c r="P16" i="5"/>
  <c r="I16" i="5" s="1"/>
  <c r="P17" i="5"/>
  <c r="J17" i="5" s="1"/>
  <c r="P18" i="5"/>
  <c r="P19" i="5"/>
  <c r="P20" i="5"/>
  <c r="K20" i="5" s="1"/>
  <c r="P21" i="5"/>
  <c r="I21" i="5" s="1"/>
  <c r="P22" i="5"/>
  <c r="P23" i="5"/>
  <c r="K23" i="5" s="1"/>
  <c r="P24" i="5"/>
  <c r="J24" i="5" s="1"/>
  <c r="Q24" i="5" s="1"/>
  <c r="AU24" i="5" s="1"/>
  <c r="AV24" i="5" s="1"/>
  <c r="P25" i="5"/>
  <c r="C140" i="54"/>
  <c r="X27" i="5"/>
  <c r="AI27" i="5"/>
  <c r="T6" i="5"/>
  <c r="Z6" i="5"/>
  <c r="AA6" i="5" s="1"/>
  <c r="AB6" i="5"/>
  <c r="AC6" i="5" s="1"/>
  <c r="AD6" i="5"/>
  <c r="AE6" i="5" s="1"/>
  <c r="AF6" i="5"/>
  <c r="AG6" i="5" s="1"/>
  <c r="AH6" i="5"/>
  <c r="T7" i="5"/>
  <c r="U7" i="5" s="1"/>
  <c r="Y7" i="5" s="1"/>
  <c r="Z7" i="5"/>
  <c r="AA7" i="5" s="1"/>
  <c r="AB7" i="5"/>
  <c r="AC7" i="5" s="1"/>
  <c r="AD7" i="5"/>
  <c r="AE7" i="5" s="1"/>
  <c r="AF7" i="5"/>
  <c r="AG7" i="5" s="1"/>
  <c r="AH7" i="5"/>
  <c r="T8" i="5"/>
  <c r="U8" i="5" s="1"/>
  <c r="Y8" i="5" s="1"/>
  <c r="Z8" i="5"/>
  <c r="AA8" i="5" s="1"/>
  <c r="AB8" i="5"/>
  <c r="AD8" i="5"/>
  <c r="AE8" i="5" s="1"/>
  <c r="AF8" i="5"/>
  <c r="AG8" i="5" s="1"/>
  <c r="AH8" i="5"/>
  <c r="T9" i="5"/>
  <c r="U9" i="5" s="1"/>
  <c r="Y9" i="5" s="1"/>
  <c r="Z9" i="5"/>
  <c r="AA9" i="5" s="1"/>
  <c r="AB9" i="5"/>
  <c r="AC9" i="5"/>
  <c r="AD9" i="5"/>
  <c r="AE9" i="5" s="1"/>
  <c r="AF9" i="5"/>
  <c r="AG9" i="5" s="1"/>
  <c r="AH9" i="5"/>
  <c r="T10" i="5"/>
  <c r="U10" i="5" s="1"/>
  <c r="Y10" i="5" s="1"/>
  <c r="Z10" i="5"/>
  <c r="AA10" i="5" s="1"/>
  <c r="AB10" i="5"/>
  <c r="AC10" i="5" s="1"/>
  <c r="AD10" i="5"/>
  <c r="AE10" i="5" s="1"/>
  <c r="AF10" i="5"/>
  <c r="AG10" i="5" s="1"/>
  <c r="AH10" i="5"/>
  <c r="T11" i="5"/>
  <c r="U11" i="5" s="1"/>
  <c r="Y11" i="5" s="1"/>
  <c r="Z11" i="5"/>
  <c r="AA11" i="5" s="1"/>
  <c r="AB11" i="5"/>
  <c r="AC11" i="5" s="1"/>
  <c r="AD11" i="5"/>
  <c r="AE11" i="5" s="1"/>
  <c r="AF11" i="5"/>
  <c r="AG11" i="5" s="1"/>
  <c r="AH11" i="5"/>
  <c r="T12" i="5"/>
  <c r="U12" i="5" s="1"/>
  <c r="Y12" i="5" s="1"/>
  <c r="Z12" i="5"/>
  <c r="AB12" i="5"/>
  <c r="AD12" i="5"/>
  <c r="AE12" i="5" s="1"/>
  <c r="AF12" i="5"/>
  <c r="AG12" i="5" s="1"/>
  <c r="AH12" i="5"/>
  <c r="T13" i="5"/>
  <c r="U13" i="5" s="1"/>
  <c r="Y13" i="5" s="1"/>
  <c r="Z13" i="5"/>
  <c r="AA13" i="5" s="1"/>
  <c r="AB13" i="5"/>
  <c r="AC13" i="5" s="1"/>
  <c r="AD13" i="5"/>
  <c r="AE13" i="5" s="1"/>
  <c r="AF13" i="5"/>
  <c r="AG13" i="5" s="1"/>
  <c r="AH13" i="5"/>
  <c r="T14" i="5"/>
  <c r="U14" i="5" s="1"/>
  <c r="Y14" i="5" s="1"/>
  <c r="Z14" i="5"/>
  <c r="AA14" i="5" s="1"/>
  <c r="AB14" i="5"/>
  <c r="AC14" i="5" s="1"/>
  <c r="AD14" i="5"/>
  <c r="AE14" i="5" s="1"/>
  <c r="AF14" i="5"/>
  <c r="AG14" i="5" s="1"/>
  <c r="AH14" i="5"/>
  <c r="T15" i="5"/>
  <c r="U15" i="5" s="1"/>
  <c r="Z15" i="5"/>
  <c r="AA15" i="5" s="1"/>
  <c r="AB15" i="5"/>
  <c r="AC15" i="5" s="1"/>
  <c r="AD15" i="5"/>
  <c r="AE15" i="5" s="1"/>
  <c r="AF15" i="5"/>
  <c r="AG15" i="5" s="1"/>
  <c r="AH15" i="5"/>
  <c r="T16" i="5"/>
  <c r="U16" i="5" s="1"/>
  <c r="Y16" i="5" s="1"/>
  <c r="Z16" i="5"/>
  <c r="AA16" i="5" s="1"/>
  <c r="AB16" i="5"/>
  <c r="AC16" i="5" s="1"/>
  <c r="AD16" i="5"/>
  <c r="AE16" i="5" s="1"/>
  <c r="AF16" i="5"/>
  <c r="AG16" i="5" s="1"/>
  <c r="AH16" i="5"/>
  <c r="T17" i="5"/>
  <c r="U17" i="5" s="1"/>
  <c r="Y17" i="5" s="1"/>
  <c r="Z17" i="5"/>
  <c r="AA17" i="5" s="1"/>
  <c r="AB17" i="5"/>
  <c r="AC17" i="5" s="1"/>
  <c r="AD17" i="5"/>
  <c r="AF17" i="5"/>
  <c r="AG17" i="5" s="1"/>
  <c r="AH17" i="5"/>
  <c r="T18" i="5"/>
  <c r="U18" i="5" s="1"/>
  <c r="Y18" i="5" s="1"/>
  <c r="Z18" i="5"/>
  <c r="AA18" i="5" s="1"/>
  <c r="AB18" i="5"/>
  <c r="AC18" i="5" s="1"/>
  <c r="AD18" i="5"/>
  <c r="AE18" i="5" s="1"/>
  <c r="AF18" i="5"/>
  <c r="AG18" i="5" s="1"/>
  <c r="AH18" i="5"/>
  <c r="T19" i="5"/>
  <c r="U19" i="5" s="1"/>
  <c r="Y19" i="5" s="1"/>
  <c r="Z19" i="5"/>
  <c r="AA19" i="5" s="1"/>
  <c r="AB19" i="5"/>
  <c r="AC19" i="5" s="1"/>
  <c r="AD19" i="5"/>
  <c r="AE19" i="5" s="1"/>
  <c r="AF19" i="5"/>
  <c r="AG19" i="5" s="1"/>
  <c r="AH19" i="5"/>
  <c r="T20" i="5"/>
  <c r="U20" i="5" s="1"/>
  <c r="Y20" i="5" s="1"/>
  <c r="Z20" i="5"/>
  <c r="AA20" i="5" s="1"/>
  <c r="AB20" i="5"/>
  <c r="AC20" i="5" s="1"/>
  <c r="AD20" i="5"/>
  <c r="AE20" i="5" s="1"/>
  <c r="AF20" i="5"/>
  <c r="AG20" i="5" s="1"/>
  <c r="AH20" i="5"/>
  <c r="T21" i="5"/>
  <c r="U21" i="5" s="1"/>
  <c r="Y21" i="5" s="1"/>
  <c r="Z21" i="5"/>
  <c r="AA21" i="5" s="1"/>
  <c r="AB21" i="5"/>
  <c r="AC21" i="5" s="1"/>
  <c r="AD21" i="5"/>
  <c r="AE21" i="5" s="1"/>
  <c r="AF21" i="5"/>
  <c r="AG21" i="5" s="1"/>
  <c r="AH21" i="5"/>
  <c r="T22" i="5"/>
  <c r="U22" i="5" s="1"/>
  <c r="Y22" i="5" s="1"/>
  <c r="Z22" i="5"/>
  <c r="AA22" i="5" s="1"/>
  <c r="AB22" i="5"/>
  <c r="AC22" i="5" s="1"/>
  <c r="AD22" i="5"/>
  <c r="AE22" i="5" s="1"/>
  <c r="AF22" i="5"/>
  <c r="AG22" i="5" s="1"/>
  <c r="AH22" i="5"/>
  <c r="T23" i="5"/>
  <c r="U23" i="5" s="1"/>
  <c r="Y23" i="5" s="1"/>
  <c r="Z23" i="5"/>
  <c r="AA23" i="5" s="1"/>
  <c r="AB23" i="5"/>
  <c r="AC23" i="5" s="1"/>
  <c r="AD23" i="5"/>
  <c r="AE23" i="5" s="1"/>
  <c r="AF23" i="5"/>
  <c r="AG23" i="5" s="1"/>
  <c r="AH23" i="5"/>
  <c r="T24" i="5"/>
  <c r="U24" i="5" s="1"/>
  <c r="Y24" i="5" s="1"/>
  <c r="Z24" i="5"/>
  <c r="AA24" i="5" s="1"/>
  <c r="AB24" i="5"/>
  <c r="AC24" i="5" s="1"/>
  <c r="AD24" i="5"/>
  <c r="AE24" i="5" s="1"/>
  <c r="AF24" i="5"/>
  <c r="AG24" i="5" s="1"/>
  <c r="AH24" i="5"/>
  <c r="T25" i="5"/>
  <c r="U25" i="5" s="1"/>
  <c r="Y25" i="5" s="1"/>
  <c r="Z25" i="5"/>
  <c r="AA25" i="5" s="1"/>
  <c r="AB25" i="5"/>
  <c r="AC25" i="5" s="1"/>
  <c r="AD25" i="5"/>
  <c r="AE25" i="5" s="1"/>
  <c r="AF25" i="5"/>
  <c r="AG25" i="5" s="1"/>
  <c r="AH25" i="5"/>
  <c r="AF5" i="6"/>
  <c r="AC6" i="6"/>
  <c r="AC7" i="6"/>
  <c r="AD7" i="6" s="1"/>
  <c r="AH7" i="6" s="1"/>
  <c r="AC8" i="6"/>
  <c r="AC9" i="6"/>
  <c r="AD9" i="6" s="1"/>
  <c r="AH9" i="6" s="1"/>
  <c r="AC10" i="6"/>
  <c r="AD10" i="6" s="1"/>
  <c r="AH10" i="6" s="1"/>
  <c r="AC11" i="6"/>
  <c r="AD11" i="6" s="1"/>
  <c r="AH11" i="6" s="1"/>
  <c r="AC12" i="6"/>
  <c r="AD12" i="6"/>
  <c r="AH12" i="6" s="1"/>
  <c r="AC13" i="6"/>
  <c r="AD13" i="6" s="1"/>
  <c r="AH13" i="6" s="1"/>
  <c r="AC14" i="6"/>
  <c r="AD14" i="6" s="1"/>
  <c r="AC15" i="6"/>
  <c r="AD15" i="6" s="1"/>
  <c r="AH15" i="6"/>
  <c r="AC16" i="6"/>
  <c r="AD16" i="6" s="1"/>
  <c r="AH16" i="6" s="1"/>
  <c r="AC17" i="6"/>
  <c r="AD17" i="6" s="1"/>
  <c r="AH17" i="6" s="1"/>
  <c r="AC18" i="6"/>
  <c r="AD18" i="6" s="1"/>
  <c r="AH18" i="6" s="1"/>
  <c r="AC19" i="6"/>
  <c r="AD19" i="6" s="1"/>
  <c r="AH19" i="6" s="1"/>
  <c r="AC20" i="6"/>
  <c r="AD20" i="6" s="1"/>
  <c r="AH20" i="6" s="1"/>
  <c r="AC5" i="6"/>
  <c r="AD5" i="6" s="1"/>
  <c r="AH5" i="6" s="1"/>
  <c r="AH5" i="5"/>
  <c r="AF5" i="5"/>
  <c r="AD5" i="5"/>
  <c r="AE5" i="5" s="1"/>
  <c r="AB5" i="5"/>
  <c r="AC5" i="5" s="1"/>
  <c r="Z5" i="5"/>
  <c r="AA5" i="5" s="1"/>
  <c r="H54" i="55"/>
  <c r="T54" i="55" s="1"/>
  <c r="H53" i="55"/>
  <c r="H52" i="55"/>
  <c r="T52" i="55" s="1"/>
  <c r="H49" i="55"/>
  <c r="H73" i="55" s="1"/>
  <c r="H46" i="55"/>
  <c r="H76" i="55" s="1"/>
  <c r="T33" i="25"/>
  <c r="H33" i="55" s="1"/>
  <c r="H3" i="55"/>
  <c r="I3" i="55" s="1"/>
  <c r="J3" i="55" s="1"/>
  <c r="K3" i="55" s="1"/>
  <c r="L3" i="55" s="1"/>
  <c r="M3" i="55" s="1"/>
  <c r="N3" i="55" s="1"/>
  <c r="O3" i="55" s="1"/>
  <c r="P3" i="55" s="1"/>
  <c r="Q3" i="55" s="1"/>
  <c r="R3" i="55" s="1"/>
  <c r="S3" i="55" s="1"/>
  <c r="S78" i="55"/>
  <c r="R78" i="55"/>
  <c r="Q78" i="55"/>
  <c r="P78" i="55"/>
  <c r="O78" i="55"/>
  <c r="N78" i="55"/>
  <c r="M78" i="55"/>
  <c r="L78" i="55"/>
  <c r="K78" i="55"/>
  <c r="J78" i="55"/>
  <c r="I78" i="55"/>
  <c r="S76" i="55"/>
  <c r="R76" i="55"/>
  <c r="Q76" i="55"/>
  <c r="P76" i="55"/>
  <c r="O76" i="55"/>
  <c r="N76" i="55"/>
  <c r="M76" i="55"/>
  <c r="L76" i="55"/>
  <c r="K76" i="55"/>
  <c r="J76" i="55"/>
  <c r="I76" i="55"/>
  <c r="S73" i="55"/>
  <c r="R73" i="55"/>
  <c r="Q73" i="55"/>
  <c r="P73" i="55"/>
  <c r="O73" i="55"/>
  <c r="N73" i="55"/>
  <c r="M73" i="55"/>
  <c r="L73" i="55"/>
  <c r="K73" i="55"/>
  <c r="J73" i="55"/>
  <c r="I73" i="55"/>
  <c r="B55" i="55"/>
  <c r="H44" i="55"/>
  <c r="T28" i="55"/>
  <c r="G2" i="55"/>
  <c r="B196" i="54"/>
  <c r="D196" i="54" s="1"/>
  <c r="F196" i="54" s="1"/>
  <c r="H196" i="54" s="1"/>
  <c r="J196" i="54" s="1"/>
  <c r="L196" i="54" s="1"/>
  <c r="B195" i="54"/>
  <c r="D195" i="54" s="1"/>
  <c r="F195" i="54" s="1"/>
  <c r="H195" i="54" s="1"/>
  <c r="J195" i="54" s="1"/>
  <c r="L195" i="54" s="1"/>
  <c r="B187" i="54"/>
  <c r="D187" i="54" s="1"/>
  <c r="F187" i="54" s="1"/>
  <c r="H187" i="54" s="1"/>
  <c r="J187" i="54" s="1"/>
  <c r="L187" i="54" s="1"/>
  <c r="B184" i="54"/>
  <c r="D184" i="54" s="1"/>
  <c r="F184" i="54" s="1"/>
  <c r="H184" i="54" s="1"/>
  <c r="J184" i="54" s="1"/>
  <c r="L184" i="54" s="1"/>
  <c r="B185" i="54"/>
  <c r="D185" i="54" s="1"/>
  <c r="F185" i="54" s="1"/>
  <c r="H185" i="54" s="1"/>
  <c r="J185" i="54" s="1"/>
  <c r="L185" i="54" s="1"/>
  <c r="B175" i="54"/>
  <c r="D175" i="54" s="1"/>
  <c r="F175" i="54" s="1"/>
  <c r="H175" i="54" s="1"/>
  <c r="J175" i="54" s="1"/>
  <c r="L175" i="54" s="1"/>
  <c r="B179" i="54"/>
  <c r="D179" i="54" s="1"/>
  <c r="F179" i="54" s="1"/>
  <c r="H179" i="54" s="1"/>
  <c r="J179" i="54" s="1"/>
  <c r="L179" i="54" s="1"/>
  <c r="B154" i="54"/>
  <c r="D154" i="54" s="1"/>
  <c r="F154" i="54" s="1"/>
  <c r="H154" i="54" s="1"/>
  <c r="J154" i="54" s="1"/>
  <c r="L154" i="54" s="1"/>
  <c r="B240" i="54"/>
  <c r="H239" i="54"/>
  <c r="H238" i="54"/>
  <c r="H237" i="54"/>
  <c r="H236" i="54"/>
  <c r="H235" i="54"/>
  <c r="H234" i="54"/>
  <c r="H233" i="54"/>
  <c r="H232" i="54"/>
  <c r="H231" i="54"/>
  <c r="H230" i="54"/>
  <c r="H225" i="54"/>
  <c r="H224" i="54"/>
  <c r="H223" i="54"/>
  <c r="H222" i="54"/>
  <c r="H221" i="54"/>
  <c r="H220" i="54"/>
  <c r="H219" i="54"/>
  <c r="H218" i="54"/>
  <c r="H217" i="54"/>
  <c r="H216" i="54"/>
  <c r="B215" i="54"/>
  <c r="H215" i="54" s="1"/>
  <c r="A215" i="54"/>
  <c r="B214" i="54"/>
  <c r="H214" i="54" s="1"/>
  <c r="A214" i="54"/>
  <c r="B213" i="54"/>
  <c r="A213" i="54"/>
  <c r="H209" i="54"/>
  <c r="H208" i="54"/>
  <c r="H207" i="54"/>
  <c r="H206" i="54"/>
  <c r="H205" i="54"/>
  <c r="B203" i="54"/>
  <c r="B105" i="54"/>
  <c r="B116" i="54"/>
  <c r="B104" i="54"/>
  <c r="B115" i="54" s="1"/>
  <c r="B103" i="54"/>
  <c r="B114" i="54" s="1"/>
  <c r="F102" i="54"/>
  <c r="B102" i="54"/>
  <c r="B113" i="54" s="1"/>
  <c r="B101" i="54"/>
  <c r="B112" i="54" s="1"/>
  <c r="B100" i="54"/>
  <c r="B111" i="54" s="1"/>
  <c r="B99" i="54"/>
  <c r="B110" i="54" s="1"/>
  <c r="B98" i="54"/>
  <c r="B109" i="54" s="1"/>
  <c r="F97" i="54"/>
  <c r="F108" i="54" s="1"/>
  <c r="D97" i="54"/>
  <c r="D108" i="54" s="1"/>
  <c r="F91" i="54"/>
  <c r="H79" i="54"/>
  <c r="F79" i="54"/>
  <c r="J79" i="54" s="1"/>
  <c r="D78" i="54"/>
  <c r="D77" i="54"/>
  <c r="H76" i="54"/>
  <c r="H75" i="54"/>
  <c r="H73" i="54"/>
  <c r="H72" i="54"/>
  <c r="H71" i="54"/>
  <c r="H69" i="54"/>
  <c r="F69" i="54"/>
  <c r="H68" i="54"/>
  <c r="H67" i="54"/>
  <c r="H66" i="54"/>
  <c r="H65" i="54"/>
  <c r="H64" i="54"/>
  <c r="D59" i="54"/>
  <c r="B59" i="54"/>
  <c r="D58" i="54"/>
  <c r="B58" i="54"/>
  <c r="D32" i="54"/>
  <c r="M31" i="54"/>
  <c r="D31" i="54"/>
  <c r="A30" i="54"/>
  <c r="D29" i="54"/>
  <c r="D56" i="54" s="1"/>
  <c r="D21" i="54"/>
  <c r="D49" i="54" s="1"/>
  <c r="D74" i="54" s="1"/>
  <c r="B11" i="54"/>
  <c r="A11" i="54"/>
  <c r="Q4" i="54"/>
  <c r="P4" i="54"/>
  <c r="O23" i="54" s="1"/>
  <c r="O4" i="54"/>
  <c r="O37" i="54" s="1"/>
  <c r="A2" i="54"/>
  <c r="AF6" i="6"/>
  <c r="AF7" i="6"/>
  <c r="AF8" i="6"/>
  <c r="AF9" i="6"/>
  <c r="AF10" i="6"/>
  <c r="AF11" i="6"/>
  <c r="AF12" i="6"/>
  <c r="AF13" i="6"/>
  <c r="AF14" i="6"/>
  <c r="AF15" i="6"/>
  <c r="AF16" i="6"/>
  <c r="AF17" i="6"/>
  <c r="AF18" i="6"/>
  <c r="AF19" i="6"/>
  <c r="AF20" i="6"/>
  <c r="B62" i="6"/>
  <c r="P12" i="36"/>
  <c r="Q12" i="36" s="1"/>
  <c r="B2" i="15"/>
  <c r="D42" i="54" s="1"/>
  <c r="F4" i="12"/>
  <c r="A23" i="12" s="1"/>
  <c r="F4" i="15"/>
  <c r="F4" i="14"/>
  <c r="A5" i="14" s="1"/>
  <c r="F4" i="13"/>
  <c r="A21" i="13" s="1"/>
  <c r="F4" i="11"/>
  <c r="A71" i="11" s="1"/>
  <c r="F4" i="10"/>
  <c r="A5" i="10" s="1"/>
  <c r="Q48" i="53"/>
  <c r="F74" i="54" s="1"/>
  <c r="D26" i="24"/>
  <c r="D61" i="24" s="1"/>
  <c r="C93" i="24" s="1"/>
  <c r="M44" i="53"/>
  <c r="I44" i="53"/>
  <c r="L73" i="53"/>
  <c r="M85" i="53" s="1"/>
  <c r="E4" i="53"/>
  <c r="B103" i="53" s="1"/>
  <c r="B98" i="53" s="1"/>
  <c r="H73" i="53"/>
  <c r="I85" i="53" s="1"/>
  <c r="N34" i="53"/>
  <c r="L38" i="53" s="1"/>
  <c r="N38" i="53" s="1"/>
  <c r="J34" i="53"/>
  <c r="F34" i="53"/>
  <c r="I31" i="53"/>
  <c r="M24" i="53"/>
  <c r="N24" i="53" s="1"/>
  <c r="M25" i="53"/>
  <c r="N25" i="53" s="1"/>
  <c r="I24" i="53"/>
  <c r="J24" i="53" s="1"/>
  <c r="I25" i="53"/>
  <c r="J25" i="53"/>
  <c r="M23" i="53"/>
  <c r="N23" i="53" s="1"/>
  <c r="I23" i="53"/>
  <c r="J23" i="53" s="1"/>
  <c r="J15" i="53"/>
  <c r="M14" i="53"/>
  <c r="I14" i="53"/>
  <c r="A76" i="38"/>
  <c r="E42" i="38"/>
  <c r="B76" i="38" s="1"/>
  <c r="P5" i="53"/>
  <c r="T8" i="53" s="1"/>
  <c r="M9" i="53"/>
  <c r="N9" i="53" s="1"/>
  <c r="I9" i="53"/>
  <c r="M8" i="53"/>
  <c r="N8" i="53" s="1"/>
  <c r="I8" i="53"/>
  <c r="J8" i="53" s="1"/>
  <c r="N32" i="53"/>
  <c r="N16" i="53"/>
  <c r="P16" i="53" s="1"/>
  <c r="N13" i="53"/>
  <c r="N11" i="53"/>
  <c r="N10" i="53"/>
  <c r="P10" i="53" s="1"/>
  <c r="L9" i="53"/>
  <c r="I48" i="53"/>
  <c r="J35" i="53"/>
  <c r="J33" i="53"/>
  <c r="J32" i="53"/>
  <c r="J29" i="53"/>
  <c r="J28" i="53"/>
  <c r="J16" i="53"/>
  <c r="J13" i="53"/>
  <c r="J11" i="53"/>
  <c r="J10" i="53"/>
  <c r="H9" i="53"/>
  <c r="C102" i="53"/>
  <c r="B82" i="53"/>
  <c r="D73" i="53"/>
  <c r="E85" i="53" s="1"/>
  <c r="A113" i="53" s="1"/>
  <c r="A114" i="53" s="1"/>
  <c r="A115" i="53" s="1"/>
  <c r="A116" i="53" s="1"/>
  <c r="A117" i="53" s="1"/>
  <c r="A118" i="53" s="1"/>
  <c r="F48" i="53"/>
  <c r="F35" i="53"/>
  <c r="F33" i="53"/>
  <c r="F32" i="53"/>
  <c r="F31" i="53"/>
  <c r="F30" i="53"/>
  <c r="F29" i="53"/>
  <c r="F28" i="53"/>
  <c r="F27" i="53"/>
  <c r="F26" i="53"/>
  <c r="F25" i="53"/>
  <c r="F24" i="53"/>
  <c r="P24" i="53" s="1"/>
  <c r="F23" i="53"/>
  <c r="F18" i="53"/>
  <c r="F17" i="53"/>
  <c r="F16" i="53"/>
  <c r="F15" i="53"/>
  <c r="F14" i="53"/>
  <c r="F13" i="53"/>
  <c r="F12" i="53"/>
  <c r="F11" i="53"/>
  <c r="F10" i="53"/>
  <c r="D9" i="53"/>
  <c r="F9" i="53" s="1"/>
  <c r="F8" i="53"/>
  <c r="F66" i="53" s="1"/>
  <c r="E3" i="53"/>
  <c r="E2" i="53"/>
  <c r="B2" i="53"/>
  <c r="E3" i="52"/>
  <c r="D15" i="52"/>
  <c r="A28" i="54" s="1"/>
  <c r="F51" i="52"/>
  <c r="F41" i="52"/>
  <c r="H41" i="52" s="1"/>
  <c r="F40" i="52"/>
  <c r="H40" i="52" s="1"/>
  <c r="F39" i="52"/>
  <c r="H39" i="52" s="1"/>
  <c r="F37" i="52"/>
  <c r="F36" i="52"/>
  <c r="H36" i="52" s="1"/>
  <c r="J77" i="54" s="1"/>
  <c r="F30" i="52"/>
  <c r="H30" i="52" s="1"/>
  <c r="F29" i="52"/>
  <c r="G29" i="52" s="1"/>
  <c r="F28" i="52"/>
  <c r="H28" i="52" s="1"/>
  <c r="F27" i="52"/>
  <c r="F26" i="52"/>
  <c r="H26" i="52" s="1"/>
  <c r="F25" i="52"/>
  <c r="F24" i="52"/>
  <c r="F23" i="52"/>
  <c r="F21" i="52"/>
  <c r="F20" i="52"/>
  <c r="G20" i="52" s="1"/>
  <c r="F19" i="52"/>
  <c r="F18" i="52"/>
  <c r="G18" i="52"/>
  <c r="F14" i="52"/>
  <c r="H14" i="52" s="1"/>
  <c r="F13" i="52"/>
  <c r="H13" i="52" s="1"/>
  <c r="F12" i="52"/>
  <c r="F11" i="52"/>
  <c r="H11" i="52" s="1"/>
  <c r="F10" i="52"/>
  <c r="H10" i="52" s="1"/>
  <c r="F9" i="52"/>
  <c r="H9" i="52" s="1"/>
  <c r="F8" i="52"/>
  <c r="H8" i="52" s="1"/>
  <c r="F7" i="52"/>
  <c r="H7" i="52" s="1"/>
  <c r="T34" i="28"/>
  <c r="T28" i="28"/>
  <c r="T27" i="28"/>
  <c r="T26" i="28"/>
  <c r="T25" i="28"/>
  <c r="T23" i="28"/>
  <c r="T18" i="28"/>
  <c r="T17" i="28"/>
  <c r="T16" i="28"/>
  <c r="T3" i="28"/>
  <c r="Q24" i="28"/>
  <c r="M24" i="28"/>
  <c r="I24" i="28"/>
  <c r="J24" i="28" s="1"/>
  <c r="J29" i="28" s="1"/>
  <c r="F24" i="28"/>
  <c r="F29" i="28" s="1"/>
  <c r="G29" i="28" s="1"/>
  <c r="I36" i="28"/>
  <c r="M36" i="28"/>
  <c r="Q36" i="28"/>
  <c r="R24" i="28"/>
  <c r="R29" i="28" s="1"/>
  <c r="S29" i="28" s="1"/>
  <c r="R20" i="28"/>
  <c r="R21" i="28" s="1"/>
  <c r="R13" i="28"/>
  <c r="R7" i="28"/>
  <c r="R8" i="28" s="1"/>
  <c r="N24" i="28"/>
  <c r="N29" i="28"/>
  <c r="O29" i="28" s="1"/>
  <c r="N20" i="28"/>
  <c r="N14" i="28"/>
  <c r="N13" i="28"/>
  <c r="N7" i="28"/>
  <c r="N8" i="28" s="1"/>
  <c r="J7" i="28"/>
  <c r="J8" i="28" s="1"/>
  <c r="N21" i="28"/>
  <c r="O21" i="28" s="1"/>
  <c r="N12" i="28"/>
  <c r="R14" i="28"/>
  <c r="R12" i="28"/>
  <c r="F92" i="24"/>
  <c r="F91" i="24"/>
  <c r="E4" i="49"/>
  <c r="B2" i="49"/>
  <c r="D25" i="24" s="1"/>
  <c r="D60" i="24" s="1"/>
  <c r="C92" i="24" s="1"/>
  <c r="E4" i="48"/>
  <c r="H24" i="48" s="1"/>
  <c r="B2" i="48"/>
  <c r="D19" i="54" s="1"/>
  <c r="D47" i="54" s="1"/>
  <c r="D72" i="54" s="1"/>
  <c r="C101" i="49"/>
  <c r="B81" i="49"/>
  <c r="C72" i="49"/>
  <c r="E84" i="49" s="1"/>
  <c r="A112" i="49" s="1"/>
  <c r="F47" i="49"/>
  <c r="E81" i="49" s="1"/>
  <c r="F34" i="49"/>
  <c r="F32" i="49"/>
  <c r="F31" i="49"/>
  <c r="F30" i="49"/>
  <c r="F29" i="49"/>
  <c r="F28" i="49"/>
  <c r="F27" i="49"/>
  <c r="F26" i="49"/>
  <c r="F25" i="49"/>
  <c r="F24" i="49"/>
  <c r="F23" i="49"/>
  <c r="F22" i="49"/>
  <c r="F17" i="49"/>
  <c r="F16" i="49"/>
  <c r="F15" i="49"/>
  <c r="F14" i="49"/>
  <c r="F13" i="49"/>
  <c r="F12" i="49"/>
  <c r="F11" i="49"/>
  <c r="F10" i="49"/>
  <c r="F9" i="49"/>
  <c r="D8" i="49"/>
  <c r="F8" i="49" s="1"/>
  <c r="F7" i="49"/>
  <c r="E3" i="49"/>
  <c r="E2" i="49"/>
  <c r="A74" i="38"/>
  <c r="A75" i="38"/>
  <c r="E40" i="38"/>
  <c r="B74" i="38" s="1"/>
  <c r="E41" i="38"/>
  <c r="B75" i="38" s="1"/>
  <c r="C101" i="48"/>
  <c r="B81" i="48"/>
  <c r="C72" i="48"/>
  <c r="E84" i="48" s="1"/>
  <c r="A112" i="48" s="1"/>
  <c r="F47" i="48"/>
  <c r="E81" i="48" s="1"/>
  <c r="F34" i="48"/>
  <c r="F32" i="48"/>
  <c r="F31" i="48"/>
  <c r="F30" i="48"/>
  <c r="F29" i="48"/>
  <c r="F28" i="48"/>
  <c r="F27" i="48"/>
  <c r="F26" i="48"/>
  <c r="F25" i="48"/>
  <c r="F24" i="48"/>
  <c r="F23" i="48"/>
  <c r="F22" i="48"/>
  <c r="F17" i="48"/>
  <c r="F16" i="48"/>
  <c r="F15" i="48"/>
  <c r="F14" i="48"/>
  <c r="F13" i="48"/>
  <c r="F65" i="48" s="1"/>
  <c r="F12" i="48"/>
  <c r="F11" i="48"/>
  <c r="F10" i="48"/>
  <c r="F9" i="48"/>
  <c r="D8" i="48"/>
  <c r="F8" i="48" s="1"/>
  <c r="F7" i="48"/>
  <c r="E3" i="48"/>
  <c r="E2" i="48"/>
  <c r="G3" i="38"/>
  <c r="B82" i="13"/>
  <c r="D7" i="26"/>
  <c r="U43" i="6"/>
  <c r="F25" i="12"/>
  <c r="F24" i="12"/>
  <c r="U12" i="6"/>
  <c r="U13" i="6"/>
  <c r="U14" i="6"/>
  <c r="U15" i="6"/>
  <c r="U16" i="6"/>
  <c r="U17" i="6"/>
  <c r="U18" i="6"/>
  <c r="U19" i="6"/>
  <c r="U20" i="6"/>
  <c r="S6" i="6"/>
  <c r="S8" i="6"/>
  <c r="S9" i="6"/>
  <c r="S10" i="6"/>
  <c r="S11" i="6"/>
  <c r="S12" i="6"/>
  <c r="S13" i="6"/>
  <c r="S14" i="6"/>
  <c r="S15" i="6"/>
  <c r="S16" i="6"/>
  <c r="S17" i="6"/>
  <c r="S18" i="6"/>
  <c r="S19" i="6"/>
  <c r="S20" i="6"/>
  <c r="B7" i="26"/>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L50" i="26"/>
  <c r="D51" i="26"/>
  <c r="N91" i="26"/>
  <c r="C51" i="26"/>
  <c r="C52" i="26" s="1"/>
  <c r="C7" i="26"/>
  <c r="C8" i="26" s="1"/>
  <c r="C9" i="26" s="1"/>
  <c r="C10" i="26" s="1"/>
  <c r="C11" i="26" s="1"/>
  <c r="C12" i="26" s="1"/>
  <c r="C14" i="26"/>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3" i="28"/>
  <c r="C8" i="38"/>
  <c r="E12" i="38" s="1"/>
  <c r="B48" i="6"/>
  <c r="B50" i="6" s="1"/>
  <c r="B52" i="6" s="1"/>
  <c r="B44" i="6"/>
  <c r="D43" i="6" s="1"/>
  <c r="D47" i="6"/>
  <c r="E4" i="22"/>
  <c r="E5" i="5"/>
  <c r="W5" i="5" s="1"/>
  <c r="W8" i="5"/>
  <c r="W10" i="5"/>
  <c r="W11" i="5"/>
  <c r="W14" i="5"/>
  <c r="W16" i="5"/>
  <c r="W18" i="5"/>
  <c r="W22" i="5"/>
  <c r="W24" i="5"/>
  <c r="G6" i="5"/>
  <c r="G7" i="5"/>
  <c r="G8" i="5"/>
  <c r="G9" i="5"/>
  <c r="G10" i="5"/>
  <c r="G11" i="5"/>
  <c r="G12" i="5"/>
  <c r="G13" i="5"/>
  <c r="G14" i="5"/>
  <c r="G15" i="5"/>
  <c r="G16" i="5"/>
  <c r="G17" i="5"/>
  <c r="G18" i="5"/>
  <c r="G19" i="5"/>
  <c r="G20" i="5"/>
  <c r="G21" i="5"/>
  <c r="G22" i="5"/>
  <c r="G23" i="5"/>
  <c r="G24" i="5"/>
  <c r="G25" i="5"/>
  <c r="L10" i="5"/>
  <c r="L11" i="5"/>
  <c r="L12" i="5"/>
  <c r="L13" i="5"/>
  <c r="L14" i="5"/>
  <c r="L15" i="5"/>
  <c r="L16" i="5"/>
  <c r="L17" i="5"/>
  <c r="F22" i="15"/>
  <c r="E4" i="15"/>
  <c r="L35" i="15" s="1"/>
  <c r="I8" i="40"/>
  <c r="D22" i="40"/>
  <c r="G22" i="40" s="1"/>
  <c r="D23" i="40"/>
  <c r="G23" i="40" s="1"/>
  <c r="D24" i="40"/>
  <c r="G24" i="40" s="1"/>
  <c r="D25" i="40"/>
  <c r="G25" i="40" s="1"/>
  <c r="D26" i="40"/>
  <c r="G26" i="40" s="1"/>
  <c r="D27" i="40"/>
  <c r="G27" i="40" s="1"/>
  <c r="D28" i="40"/>
  <c r="G28" i="40" s="1"/>
  <c r="D29" i="40"/>
  <c r="G29" i="40" s="1"/>
  <c r="D30" i="40"/>
  <c r="G30" i="40" s="1"/>
  <c r="T11" i="36"/>
  <c r="D21" i="40" s="1"/>
  <c r="G21" i="40" s="1"/>
  <c r="T12" i="36"/>
  <c r="H12" i="36"/>
  <c r="T13" i="36"/>
  <c r="T14" i="36"/>
  <c r="T15" i="36"/>
  <c r="T16" i="36"/>
  <c r="H11"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J53" i="36"/>
  <c r="J54" i="36"/>
  <c r="A3" i="10"/>
  <c r="B50" i="10" s="1"/>
  <c r="C56" i="10" s="1"/>
  <c r="E4" i="17"/>
  <c r="H14" i="17" s="1"/>
  <c r="F7" i="17"/>
  <c r="F13" i="17"/>
  <c r="F14" i="17"/>
  <c r="F15" i="17"/>
  <c r="F16" i="17"/>
  <c r="F17" i="17"/>
  <c r="L3" i="24"/>
  <c r="E4" i="10"/>
  <c r="F35" i="10" s="1"/>
  <c r="E4" i="11"/>
  <c r="E4" i="12"/>
  <c r="E4" i="13"/>
  <c r="H27" i="13" s="1"/>
  <c r="E4" i="14"/>
  <c r="H30" i="14" s="1"/>
  <c r="E4" i="20"/>
  <c r="F7" i="22"/>
  <c r="F8" i="22"/>
  <c r="K3" i="24"/>
  <c r="F26" i="17"/>
  <c r="F25" i="17"/>
  <c r="F23" i="17"/>
  <c r="F24" i="17"/>
  <c r="F27" i="17"/>
  <c r="F28" i="17"/>
  <c r="F29" i="17"/>
  <c r="F30" i="17"/>
  <c r="F31" i="17"/>
  <c r="F32" i="17"/>
  <c r="F34" i="17"/>
  <c r="F47" i="17"/>
  <c r="E81" i="17" s="1"/>
  <c r="E115" i="17" s="1"/>
  <c r="F2" i="44"/>
  <c r="C16" i="24"/>
  <c r="C16" i="70" s="1"/>
  <c r="D8" i="12"/>
  <c r="F7" i="10"/>
  <c r="R2" i="6"/>
  <c r="G2" i="25"/>
  <c r="H44" i="25"/>
  <c r="H26" i="25"/>
  <c r="B43" i="47" s="1"/>
  <c r="H13" i="25"/>
  <c r="B42" i="47" s="1"/>
  <c r="F77" i="24"/>
  <c r="F78" i="24"/>
  <c r="F79" i="24"/>
  <c r="F80" i="24"/>
  <c r="F81" i="24"/>
  <c r="F88" i="24"/>
  <c r="F90" i="24"/>
  <c r="F94" i="24"/>
  <c r="F96" i="24"/>
  <c r="E99" i="24"/>
  <c r="F99" i="24"/>
  <c r="L26" i="25"/>
  <c r="F43" i="47" s="1"/>
  <c r="M26" i="25"/>
  <c r="G43" i="47" s="1"/>
  <c r="N13" i="25"/>
  <c r="S13" i="25"/>
  <c r="H31" i="25"/>
  <c r="H40" i="25"/>
  <c r="H41" i="25" s="1"/>
  <c r="A3" i="12"/>
  <c r="B52" i="12" s="1"/>
  <c r="C56" i="12" s="1"/>
  <c r="C93" i="12"/>
  <c r="A3" i="14"/>
  <c r="B50" i="14" s="1"/>
  <c r="C55" i="14" s="1"/>
  <c r="A3" i="13"/>
  <c r="B50" i="13" s="1"/>
  <c r="C55" i="13" s="1"/>
  <c r="A3" i="11"/>
  <c r="B50" i="11" s="1"/>
  <c r="C54" i="11" s="1"/>
  <c r="E39" i="38"/>
  <c r="B73" i="38" s="1"/>
  <c r="E45" i="38"/>
  <c r="B79" i="38" s="1"/>
  <c r="E43" i="38"/>
  <c r="B77" i="38" s="1"/>
  <c r="F36" i="43"/>
  <c r="F37" i="43"/>
  <c r="F38" i="43"/>
  <c r="H38" i="43"/>
  <c r="F36" i="44"/>
  <c r="H36" i="44" s="1"/>
  <c r="F37" i="44"/>
  <c r="H37" i="44" s="1"/>
  <c r="F41" i="44"/>
  <c r="H41" i="44" s="1"/>
  <c r="F38" i="44"/>
  <c r="H38" i="44" s="1"/>
  <c r="F40" i="44"/>
  <c r="F39" i="44"/>
  <c r="H39" i="44" s="1"/>
  <c r="F39" i="43"/>
  <c r="F40" i="43"/>
  <c r="H40" i="43" s="1"/>
  <c r="F41" i="43"/>
  <c r="H41" i="43" s="1"/>
  <c r="F15" i="10"/>
  <c r="F16" i="10"/>
  <c r="F17" i="10"/>
  <c r="F7" i="11"/>
  <c r="F17" i="12"/>
  <c r="F18" i="12"/>
  <c r="F19" i="12"/>
  <c r="F7" i="13"/>
  <c r="F15" i="13"/>
  <c r="F16" i="13"/>
  <c r="F17" i="13"/>
  <c r="F7" i="14"/>
  <c r="F8" i="10"/>
  <c r="F9" i="10"/>
  <c r="F10" i="10"/>
  <c r="F11" i="10"/>
  <c r="F12" i="10"/>
  <c r="F13" i="10"/>
  <c r="F14" i="10"/>
  <c r="F10" i="12"/>
  <c r="F11" i="12"/>
  <c r="F12" i="12"/>
  <c r="F13" i="12"/>
  <c r="F14" i="12"/>
  <c r="F15" i="12"/>
  <c r="F16" i="12"/>
  <c r="F8" i="13"/>
  <c r="F9" i="13"/>
  <c r="F10" i="13"/>
  <c r="F11" i="13"/>
  <c r="F12" i="13"/>
  <c r="F13" i="13"/>
  <c r="F14" i="13"/>
  <c r="D8" i="17"/>
  <c r="F9" i="17"/>
  <c r="F10" i="17"/>
  <c r="F11" i="17"/>
  <c r="F12" i="17"/>
  <c r="F7" i="43"/>
  <c r="F22" i="10"/>
  <c r="F46" i="10"/>
  <c r="E83" i="10" s="1"/>
  <c r="E102" i="10" s="1"/>
  <c r="F23" i="10"/>
  <c r="F24" i="10"/>
  <c r="F25" i="10"/>
  <c r="F26" i="10"/>
  <c r="F27" i="10"/>
  <c r="F28" i="10"/>
  <c r="F31" i="10"/>
  <c r="F7" i="20"/>
  <c r="H7" i="20" s="1"/>
  <c r="F8" i="20"/>
  <c r="F9" i="20"/>
  <c r="F26" i="22"/>
  <c r="F9" i="22"/>
  <c r="C72" i="15"/>
  <c r="E84" i="15" s="1"/>
  <c r="F7" i="15"/>
  <c r="F15" i="15"/>
  <c r="F16" i="15"/>
  <c r="F63" i="15" s="1"/>
  <c r="F17" i="15"/>
  <c r="C263" i="24"/>
  <c r="F25" i="22"/>
  <c r="F48" i="22"/>
  <c r="F47" i="20"/>
  <c r="F26" i="12"/>
  <c r="F27" i="12"/>
  <c r="F28" i="12"/>
  <c r="F29" i="12"/>
  <c r="F30" i="12"/>
  <c r="F31" i="12"/>
  <c r="F33" i="12"/>
  <c r="F48" i="12"/>
  <c r="F22" i="13"/>
  <c r="F23" i="13"/>
  <c r="F24" i="13"/>
  <c r="F25" i="13"/>
  <c r="F26" i="13"/>
  <c r="F27" i="13"/>
  <c r="F28" i="13"/>
  <c r="F29" i="13"/>
  <c r="F30" i="13"/>
  <c r="F31" i="13"/>
  <c r="F35" i="13"/>
  <c r="F46" i="13"/>
  <c r="F24" i="20"/>
  <c r="F18" i="44"/>
  <c r="K5" i="33"/>
  <c r="F7" i="44"/>
  <c r="H7" i="44"/>
  <c r="F19" i="44"/>
  <c r="H19" i="44" s="1"/>
  <c r="F20" i="44"/>
  <c r="F21" i="44"/>
  <c r="F22" i="44"/>
  <c r="H22" i="44" s="1"/>
  <c r="F23" i="44"/>
  <c r="H23" i="44" s="1"/>
  <c r="F24" i="44"/>
  <c r="G24" i="44" s="1"/>
  <c r="F25" i="44"/>
  <c r="F26" i="44"/>
  <c r="H26" i="44" s="1"/>
  <c r="F27" i="44"/>
  <c r="H27" i="44" s="1"/>
  <c r="F28" i="44"/>
  <c r="H28" i="44" s="1"/>
  <c r="F29" i="44"/>
  <c r="H29" i="44" s="1"/>
  <c r="F9" i="44"/>
  <c r="H9" i="44" s="1"/>
  <c r="F10" i="44"/>
  <c r="H10" i="44" s="1"/>
  <c r="F11" i="44"/>
  <c r="H11" i="44" s="1"/>
  <c r="F8" i="44"/>
  <c r="H8" i="44" s="1"/>
  <c r="F8" i="43"/>
  <c r="H8" i="43" s="1"/>
  <c r="F12" i="43"/>
  <c r="H12" i="43" s="1"/>
  <c r="L23" i="33"/>
  <c r="F122" i="54" s="1"/>
  <c r="L25" i="33"/>
  <c r="L29" i="33" s="1"/>
  <c r="F18" i="43"/>
  <c r="F23" i="43"/>
  <c r="H23" i="43" s="1"/>
  <c r="F19" i="43"/>
  <c r="H19" i="43" s="1"/>
  <c r="F20" i="43"/>
  <c r="F21" i="43"/>
  <c r="F22" i="43"/>
  <c r="F24" i="43"/>
  <c r="G24" i="43" s="1"/>
  <c r="F25" i="43"/>
  <c r="H25" i="43" s="1"/>
  <c r="F26" i="43"/>
  <c r="F27" i="43"/>
  <c r="F28" i="43"/>
  <c r="F29" i="43"/>
  <c r="J6" i="33"/>
  <c r="K6" i="33"/>
  <c r="L24" i="33"/>
  <c r="J7" i="33"/>
  <c r="K7" i="33"/>
  <c r="K24" i="33" s="1"/>
  <c r="M53" i="36"/>
  <c r="M60" i="36" s="1"/>
  <c r="F78" i="54" s="1"/>
  <c r="B2" i="41"/>
  <c r="B2" i="22"/>
  <c r="D23" i="54" s="1"/>
  <c r="D51" i="54" s="1"/>
  <c r="D76" i="54" s="1"/>
  <c r="B2" i="20"/>
  <c r="B2" i="17"/>
  <c r="D18" i="54" s="1"/>
  <c r="D46" i="54" s="1"/>
  <c r="D71" i="54" s="1"/>
  <c r="B2" i="14"/>
  <c r="D10" i="54" s="1"/>
  <c r="D41" i="54" s="1"/>
  <c r="D68" i="54" s="1"/>
  <c r="B2" i="13"/>
  <c r="D9" i="54" s="1"/>
  <c r="D40" i="54" s="1"/>
  <c r="D67" i="54" s="1"/>
  <c r="B2" i="12"/>
  <c r="B2" i="11"/>
  <c r="D7" i="54" s="1"/>
  <c r="D38" i="54" s="1"/>
  <c r="D65" i="54" s="1"/>
  <c r="B2" i="10"/>
  <c r="F12" i="44"/>
  <c r="H12" i="44" s="1"/>
  <c r="F13" i="43"/>
  <c r="H13" i="43" s="1"/>
  <c r="F14" i="43"/>
  <c r="H14" i="43" s="1"/>
  <c r="K8" i="33"/>
  <c r="K9" i="33"/>
  <c r="K10" i="33"/>
  <c r="K11" i="33"/>
  <c r="J11" i="33"/>
  <c r="M23" i="33"/>
  <c r="M27" i="33" s="1"/>
  <c r="M25" i="33"/>
  <c r="D72" i="24"/>
  <c r="C72" i="24"/>
  <c r="D38" i="24"/>
  <c r="D37" i="24"/>
  <c r="F31" i="44"/>
  <c r="F13" i="44"/>
  <c r="H13" i="44" s="1"/>
  <c r="F14" i="44"/>
  <c r="H14" i="44" s="1"/>
  <c r="D71" i="24"/>
  <c r="C71" i="24"/>
  <c r="I37" i="24"/>
  <c r="F9" i="43"/>
  <c r="H9" i="43" s="1"/>
  <c r="F10" i="43"/>
  <c r="F11" i="43"/>
  <c r="F31" i="43"/>
  <c r="H7" i="40"/>
  <c r="H12" i="40" s="1"/>
  <c r="C50" i="40" s="1"/>
  <c r="K7" i="40"/>
  <c r="K8" i="40"/>
  <c r="K6" i="40"/>
  <c r="E22" i="40"/>
  <c r="H22" i="40"/>
  <c r="I22" i="40"/>
  <c r="E23" i="40"/>
  <c r="H23" i="40"/>
  <c r="I23" i="40"/>
  <c r="E24" i="40"/>
  <c r="H24" i="40"/>
  <c r="I24" i="40"/>
  <c r="E25" i="40"/>
  <c r="H25" i="40"/>
  <c r="I25" i="40"/>
  <c r="H26" i="40"/>
  <c r="I26" i="40"/>
  <c r="H27" i="40"/>
  <c r="I27" i="40"/>
  <c r="H28" i="40"/>
  <c r="I28" i="40"/>
  <c r="H29" i="40"/>
  <c r="I29" i="40"/>
  <c r="H30" i="40"/>
  <c r="I30" i="40"/>
  <c r="E21" i="40"/>
  <c r="N47" i="26"/>
  <c r="J12" i="33"/>
  <c r="K12" i="33"/>
  <c r="J13" i="33"/>
  <c r="K13" i="33"/>
  <c r="K14" i="33"/>
  <c r="G14" i="33" s="1"/>
  <c r="J8" i="33"/>
  <c r="J9" i="33"/>
  <c r="J10" i="33"/>
  <c r="J15" i="33"/>
  <c r="K15" i="33"/>
  <c r="J16" i="33"/>
  <c r="K16" i="33"/>
  <c r="J17" i="33"/>
  <c r="K17" i="33"/>
  <c r="J18" i="33"/>
  <c r="K18" i="33"/>
  <c r="J19" i="33"/>
  <c r="K19" i="33"/>
  <c r="J20" i="33"/>
  <c r="K20" i="33"/>
  <c r="M24" i="33"/>
  <c r="F60" i="12"/>
  <c r="C30" i="42"/>
  <c r="D63" i="42"/>
  <c r="E72" i="42"/>
  <c r="F72" i="42"/>
  <c r="E71" i="42"/>
  <c r="F71" i="42"/>
  <c r="A63" i="42"/>
  <c r="A64" i="42" s="1"/>
  <c r="E70" i="42"/>
  <c r="F70" i="42"/>
  <c r="E69" i="42"/>
  <c r="F69" i="42"/>
  <c r="E68" i="42"/>
  <c r="F68" i="42"/>
  <c r="E67" i="42"/>
  <c r="F67" i="42"/>
  <c r="E66" i="42"/>
  <c r="F66" i="42"/>
  <c r="E65" i="42"/>
  <c r="F65" i="42"/>
  <c r="E64" i="42"/>
  <c r="F64" i="42"/>
  <c r="E63" i="42"/>
  <c r="F63" i="42"/>
  <c r="D62" i="42"/>
  <c r="E62" i="42"/>
  <c r="F62" i="42"/>
  <c r="D61" i="42"/>
  <c r="E61" i="42"/>
  <c r="F61" i="42"/>
  <c r="D60" i="42"/>
  <c r="E60" i="42"/>
  <c r="F60" i="42"/>
  <c r="B48" i="42"/>
  <c r="I6" i="33"/>
  <c r="I7" i="33"/>
  <c r="I8" i="33"/>
  <c r="I9" i="33"/>
  <c r="I10" i="33"/>
  <c r="I11" i="33"/>
  <c r="I12" i="33"/>
  <c r="I13" i="33"/>
  <c r="I14" i="33"/>
  <c r="I15" i="33"/>
  <c r="I16" i="33"/>
  <c r="I17" i="33"/>
  <c r="I18" i="33"/>
  <c r="I19" i="33"/>
  <c r="I20" i="33"/>
  <c r="I5" i="33"/>
  <c r="I40" i="25"/>
  <c r="I41" i="25" s="1"/>
  <c r="I26" i="25"/>
  <c r="C43" i="47" s="1"/>
  <c r="I13" i="25"/>
  <c r="J40" i="25"/>
  <c r="J41" i="25" s="1"/>
  <c r="J26" i="25"/>
  <c r="J13" i="25"/>
  <c r="K40" i="25"/>
  <c r="K41" i="25" s="1"/>
  <c r="K26" i="25"/>
  <c r="K13" i="25"/>
  <c r="L40" i="25"/>
  <c r="L13" i="25"/>
  <c r="M40" i="25"/>
  <c r="M13" i="25"/>
  <c r="N40" i="25"/>
  <c r="N41" i="25" s="1"/>
  <c r="N26" i="25"/>
  <c r="O40" i="25"/>
  <c r="O41" i="25" s="1"/>
  <c r="O26" i="25"/>
  <c r="O13" i="25"/>
  <c r="P40" i="25"/>
  <c r="P41" i="25" s="1"/>
  <c r="P26" i="25"/>
  <c r="P13" i="25"/>
  <c r="Q40" i="25"/>
  <c r="Q41" i="25" s="1"/>
  <c r="Q26" i="25"/>
  <c r="Q13" i="25"/>
  <c r="R40" i="25"/>
  <c r="R41" i="25" s="1"/>
  <c r="R26" i="25"/>
  <c r="R13" i="25"/>
  <c r="S40" i="25"/>
  <c r="S26" i="25"/>
  <c r="M43" i="47" s="1"/>
  <c r="H70" i="25"/>
  <c r="F7" i="41"/>
  <c r="H7" i="41" s="1"/>
  <c r="F8" i="41"/>
  <c r="H8" i="41" s="1"/>
  <c r="F9" i="41"/>
  <c r="H9" i="41" s="1"/>
  <c r="F10" i="41"/>
  <c r="H10" i="41" s="1"/>
  <c r="F11" i="41"/>
  <c r="H11" i="41" s="1"/>
  <c r="D32" i="38"/>
  <c r="D35" i="38" s="1"/>
  <c r="G70" i="38" s="1"/>
  <c r="D50" i="38"/>
  <c r="D56" i="38"/>
  <c r="H115" i="54" s="1"/>
  <c r="F25" i="41"/>
  <c r="H25" i="41" s="1"/>
  <c r="F22" i="41"/>
  <c r="H22" i="41" s="1"/>
  <c r="F26" i="41"/>
  <c r="H26" i="41" s="1"/>
  <c r="F29" i="41"/>
  <c r="H29" i="41" s="1"/>
  <c r="F35" i="41"/>
  <c r="H35" i="41" s="1"/>
  <c r="F27" i="41"/>
  <c r="H27" i="41" s="1"/>
  <c r="F45" i="41"/>
  <c r="H45" i="41" s="1"/>
  <c r="F24" i="41"/>
  <c r="H24" i="41" s="1"/>
  <c r="C72" i="41"/>
  <c r="E84" i="41" s="1"/>
  <c r="F12" i="41"/>
  <c r="H12" i="41" s="1"/>
  <c r="B36" i="24"/>
  <c r="E120" i="24"/>
  <c r="E134" i="24" s="1"/>
  <c r="D120" i="24"/>
  <c r="D134" i="24" s="1"/>
  <c r="D50" i="41"/>
  <c r="F13" i="41"/>
  <c r="H13" i="41" s="1"/>
  <c r="F14" i="41"/>
  <c r="F15" i="41"/>
  <c r="H15" i="41" s="1"/>
  <c r="F16" i="41"/>
  <c r="H16" i="41" s="1"/>
  <c r="F17" i="41"/>
  <c r="H17" i="41" s="1"/>
  <c r="F23" i="41"/>
  <c r="H23" i="41" s="1"/>
  <c r="F28" i="41"/>
  <c r="H28" i="41" s="1"/>
  <c r="F30" i="41"/>
  <c r="H30" i="41" s="1"/>
  <c r="F31" i="41"/>
  <c r="H31" i="41" s="1"/>
  <c r="F32" i="41"/>
  <c r="H32" i="41" s="1"/>
  <c r="F33" i="41"/>
  <c r="H33" i="41" s="1"/>
  <c r="E4" i="41"/>
  <c r="A96" i="41"/>
  <c r="B81" i="41"/>
  <c r="E3" i="41"/>
  <c r="L21" i="33"/>
  <c r="M21" i="33"/>
  <c r="E85" i="22"/>
  <c r="C73" i="22"/>
  <c r="L53" i="36"/>
  <c r="D192" i="24"/>
  <c r="D193" i="24"/>
  <c r="D191" i="24"/>
  <c r="G5" i="5"/>
  <c r="O6" i="6"/>
  <c r="O7" i="6"/>
  <c r="O8" i="6"/>
  <c r="O9" i="6"/>
  <c r="O10" i="6"/>
  <c r="O11" i="6"/>
  <c r="O12" i="6"/>
  <c r="O13" i="6"/>
  <c r="O14" i="6"/>
  <c r="O15" i="6"/>
  <c r="O16" i="6"/>
  <c r="O17" i="6"/>
  <c r="O18" i="6"/>
  <c r="O5" i="6"/>
  <c r="O19" i="6"/>
  <c r="O20" i="6"/>
  <c r="E26" i="40"/>
  <c r="E27" i="40"/>
  <c r="E28" i="40"/>
  <c r="E29" i="40"/>
  <c r="E30" i="40"/>
  <c r="B22" i="40"/>
  <c r="B23" i="40"/>
  <c r="B24" i="40"/>
  <c r="B25" i="40"/>
  <c r="B26" i="40"/>
  <c r="B27" i="40"/>
  <c r="B28" i="40"/>
  <c r="B29" i="40"/>
  <c r="B30" i="40"/>
  <c r="B21" i="40"/>
  <c r="C48" i="40"/>
  <c r="C47" i="40"/>
  <c r="C46" i="40"/>
  <c r="C44" i="40"/>
  <c r="H43" i="40"/>
  <c r="C43" i="40"/>
  <c r="H42" i="40"/>
  <c r="C42" i="40"/>
  <c r="C31" i="40"/>
  <c r="C98" i="24"/>
  <c r="D35" i="24"/>
  <c r="D69" i="24" s="1"/>
  <c r="AG52" i="36"/>
  <c r="F53" i="36"/>
  <c r="F32" i="38"/>
  <c r="B237" i="24"/>
  <c r="C237" i="24"/>
  <c r="B238" i="24"/>
  <c r="C238" i="24"/>
  <c r="B233" i="24"/>
  <c r="M3" i="24"/>
  <c r="E3" i="22"/>
  <c r="E2" i="22"/>
  <c r="E2" i="20"/>
  <c r="E2" i="17"/>
  <c r="E2" i="15"/>
  <c r="E2" i="14"/>
  <c r="E2" i="13"/>
  <c r="E2" i="12"/>
  <c r="E2" i="11"/>
  <c r="E2" i="10"/>
  <c r="E3" i="20"/>
  <c r="E3" i="17"/>
  <c r="E3" i="15"/>
  <c r="E3" i="14"/>
  <c r="E3" i="13"/>
  <c r="E3" i="12"/>
  <c r="E3" i="11"/>
  <c r="E3" i="10"/>
  <c r="A77" i="38"/>
  <c r="A79" i="38"/>
  <c r="A73" i="38"/>
  <c r="L6" i="26"/>
  <c r="O53" i="36"/>
  <c r="A97" i="14"/>
  <c r="A98" i="14" s="1"/>
  <c r="A99" i="14" s="1"/>
  <c r="T54" i="25"/>
  <c r="T55" i="25"/>
  <c r="H55" i="55" s="1"/>
  <c r="D36" i="33"/>
  <c r="D35" i="33"/>
  <c r="D34" i="33"/>
  <c r="D33" i="33"/>
  <c r="D32" i="33"/>
  <c r="D31" i="33"/>
  <c r="D37" i="33"/>
  <c r="H22" i="33"/>
  <c r="D22" i="33"/>
  <c r="C22" i="33"/>
  <c r="B22" i="33"/>
  <c r="F21" i="33"/>
  <c r="C5" i="4"/>
  <c r="D5" i="4"/>
  <c r="E5" i="4"/>
  <c r="F5" i="4"/>
  <c r="G5" i="4"/>
  <c r="H5" i="4"/>
  <c r="I5" i="4"/>
  <c r="J5" i="4"/>
  <c r="K5" i="4"/>
  <c r="L5" i="4"/>
  <c r="M5" i="4"/>
  <c r="N5" i="4"/>
  <c r="O5" i="4"/>
  <c r="C6" i="4"/>
  <c r="D6" i="4"/>
  <c r="E6" i="4"/>
  <c r="F6" i="4"/>
  <c r="G6" i="4"/>
  <c r="H6" i="4"/>
  <c r="I6" i="4"/>
  <c r="J6" i="4"/>
  <c r="K6" i="4"/>
  <c r="L6" i="4"/>
  <c r="M6" i="4"/>
  <c r="N6" i="4"/>
  <c r="O6" i="4"/>
  <c r="C7" i="4"/>
  <c r="D7" i="4"/>
  <c r="E7" i="4"/>
  <c r="F7" i="4"/>
  <c r="G7" i="4"/>
  <c r="H7" i="4"/>
  <c r="I7" i="4"/>
  <c r="J7" i="4"/>
  <c r="K7" i="4"/>
  <c r="L7" i="4"/>
  <c r="M7" i="4"/>
  <c r="N7" i="4"/>
  <c r="O7" i="4"/>
  <c r="C8" i="4"/>
  <c r="D8" i="4"/>
  <c r="E8" i="4"/>
  <c r="F8" i="4"/>
  <c r="G8" i="4"/>
  <c r="H8" i="4"/>
  <c r="I8" i="4"/>
  <c r="J8" i="4"/>
  <c r="K8" i="4"/>
  <c r="L8" i="4"/>
  <c r="M8" i="4"/>
  <c r="N8" i="4"/>
  <c r="O8" i="4"/>
  <c r="C9" i="4"/>
  <c r="D9" i="4"/>
  <c r="E9" i="4"/>
  <c r="F9" i="4"/>
  <c r="G9" i="4"/>
  <c r="H9" i="4"/>
  <c r="I9" i="4"/>
  <c r="J9" i="4"/>
  <c r="K9" i="4"/>
  <c r="L9" i="4"/>
  <c r="M9" i="4"/>
  <c r="N9" i="4"/>
  <c r="O9" i="4"/>
  <c r="C10" i="4"/>
  <c r="D10" i="4"/>
  <c r="E10" i="4"/>
  <c r="F10" i="4"/>
  <c r="G10" i="4"/>
  <c r="H10" i="4"/>
  <c r="I10" i="4"/>
  <c r="J10" i="4"/>
  <c r="K10" i="4"/>
  <c r="L10" i="4"/>
  <c r="M10" i="4"/>
  <c r="N10" i="4"/>
  <c r="O10" i="4"/>
  <c r="C11" i="4"/>
  <c r="D11" i="4"/>
  <c r="E11" i="4"/>
  <c r="F11" i="4"/>
  <c r="G11" i="4"/>
  <c r="H11" i="4"/>
  <c r="I11" i="4"/>
  <c r="J11" i="4"/>
  <c r="K11" i="4"/>
  <c r="L11" i="4"/>
  <c r="M11" i="4"/>
  <c r="N11" i="4"/>
  <c r="O11" i="4"/>
  <c r="C12" i="4"/>
  <c r="D12" i="4"/>
  <c r="E12" i="4"/>
  <c r="F12" i="4"/>
  <c r="G12" i="4"/>
  <c r="H12" i="4"/>
  <c r="I12" i="4"/>
  <c r="J12" i="4"/>
  <c r="K12" i="4"/>
  <c r="L12" i="4"/>
  <c r="M12" i="4"/>
  <c r="N12" i="4"/>
  <c r="O12" i="4"/>
  <c r="C13" i="4"/>
  <c r="D13" i="4"/>
  <c r="E13" i="4"/>
  <c r="F13" i="4"/>
  <c r="G13" i="4"/>
  <c r="H13" i="4"/>
  <c r="I13" i="4"/>
  <c r="J13" i="4"/>
  <c r="K13" i="4"/>
  <c r="L13" i="4"/>
  <c r="M13" i="4"/>
  <c r="N13" i="4"/>
  <c r="O13" i="4"/>
  <c r="C14" i="4"/>
  <c r="D14" i="4"/>
  <c r="E14" i="4"/>
  <c r="F14" i="4"/>
  <c r="G14" i="4"/>
  <c r="H14" i="4"/>
  <c r="I14" i="4"/>
  <c r="J14" i="4"/>
  <c r="K14" i="4"/>
  <c r="L14" i="4"/>
  <c r="M14" i="4"/>
  <c r="N14" i="4"/>
  <c r="O14" i="4"/>
  <c r="C15" i="4"/>
  <c r="D15" i="4"/>
  <c r="E15" i="4"/>
  <c r="F15" i="4"/>
  <c r="G15" i="4"/>
  <c r="H15" i="4"/>
  <c r="I15" i="4"/>
  <c r="J15" i="4"/>
  <c r="K15" i="4"/>
  <c r="L15" i="4"/>
  <c r="M15" i="4"/>
  <c r="N15" i="4"/>
  <c r="O15" i="4"/>
  <c r="C16" i="4"/>
  <c r="D16" i="4"/>
  <c r="E16" i="4"/>
  <c r="F16" i="4"/>
  <c r="G16" i="4"/>
  <c r="H16" i="4"/>
  <c r="I16" i="4"/>
  <c r="J16" i="4"/>
  <c r="K16" i="4"/>
  <c r="L16" i="4"/>
  <c r="M16" i="4"/>
  <c r="N16" i="4"/>
  <c r="O16" i="4"/>
  <c r="C17" i="4"/>
  <c r="D17" i="4"/>
  <c r="E17" i="4"/>
  <c r="F17" i="4"/>
  <c r="G17" i="4"/>
  <c r="H17" i="4"/>
  <c r="I17" i="4"/>
  <c r="J17" i="4"/>
  <c r="K17" i="4"/>
  <c r="L17" i="4"/>
  <c r="M17" i="4"/>
  <c r="N17" i="4"/>
  <c r="O17" i="4"/>
  <c r="C18" i="4"/>
  <c r="D18" i="4"/>
  <c r="E18" i="4"/>
  <c r="F18" i="4"/>
  <c r="G18" i="4"/>
  <c r="H18" i="4"/>
  <c r="I18" i="4"/>
  <c r="J18" i="4"/>
  <c r="K18" i="4"/>
  <c r="L18" i="4"/>
  <c r="M18" i="4"/>
  <c r="N18" i="4"/>
  <c r="O18" i="4"/>
  <c r="C19" i="4"/>
  <c r="D19" i="4"/>
  <c r="E19" i="4"/>
  <c r="F19" i="4"/>
  <c r="G19" i="4"/>
  <c r="H19" i="4"/>
  <c r="I19" i="4"/>
  <c r="J19" i="4"/>
  <c r="K19" i="4"/>
  <c r="L19" i="4"/>
  <c r="M19" i="4"/>
  <c r="N19" i="4"/>
  <c r="O19" i="4"/>
  <c r="C20" i="4"/>
  <c r="D20" i="4"/>
  <c r="E20" i="4"/>
  <c r="F20" i="4"/>
  <c r="G20" i="4"/>
  <c r="H20" i="4"/>
  <c r="I20" i="4"/>
  <c r="J20" i="4"/>
  <c r="K20" i="4"/>
  <c r="L20" i="4"/>
  <c r="M20" i="4"/>
  <c r="N20" i="4"/>
  <c r="O20" i="4"/>
  <c r="C21" i="4"/>
  <c r="D21" i="4"/>
  <c r="E21" i="4"/>
  <c r="F21" i="4"/>
  <c r="G21" i="4"/>
  <c r="H21" i="4"/>
  <c r="I21" i="4"/>
  <c r="J21" i="4"/>
  <c r="K21" i="4"/>
  <c r="L21" i="4"/>
  <c r="M21" i="4"/>
  <c r="N21" i="4"/>
  <c r="O21" i="4"/>
  <c r="C22" i="4"/>
  <c r="D22" i="4"/>
  <c r="E22" i="4"/>
  <c r="F22" i="4"/>
  <c r="G22" i="4"/>
  <c r="H22" i="4"/>
  <c r="I22" i="4"/>
  <c r="J22" i="4"/>
  <c r="K22" i="4"/>
  <c r="L22" i="4"/>
  <c r="M22" i="4"/>
  <c r="N22" i="4"/>
  <c r="O22" i="4"/>
  <c r="C23" i="4"/>
  <c r="D23" i="4"/>
  <c r="E23" i="4"/>
  <c r="F23" i="4"/>
  <c r="G23" i="4"/>
  <c r="H23" i="4"/>
  <c r="I23" i="4"/>
  <c r="J23" i="4"/>
  <c r="K23" i="4"/>
  <c r="L23" i="4"/>
  <c r="M23" i="4"/>
  <c r="N23" i="4"/>
  <c r="O23" i="4"/>
  <c r="C24" i="4"/>
  <c r="D24" i="4"/>
  <c r="E24" i="4"/>
  <c r="F24" i="4"/>
  <c r="G24" i="4"/>
  <c r="H24" i="4"/>
  <c r="I24" i="4"/>
  <c r="J24" i="4"/>
  <c r="K24" i="4"/>
  <c r="L24" i="4"/>
  <c r="M24" i="4"/>
  <c r="N24" i="4"/>
  <c r="O24" i="4"/>
  <c r="C25" i="4"/>
  <c r="D25" i="4"/>
  <c r="E25" i="4"/>
  <c r="F25" i="4"/>
  <c r="G25" i="4"/>
  <c r="H25" i="4"/>
  <c r="I25" i="4"/>
  <c r="J25" i="4"/>
  <c r="K25" i="4"/>
  <c r="L25" i="4"/>
  <c r="M25" i="4"/>
  <c r="N25" i="4"/>
  <c r="O25" i="4"/>
  <c r="C26" i="4"/>
  <c r="D26" i="4"/>
  <c r="E26" i="4"/>
  <c r="F26" i="4"/>
  <c r="G26" i="4"/>
  <c r="H26" i="4"/>
  <c r="I26" i="4"/>
  <c r="J26" i="4"/>
  <c r="K26" i="4"/>
  <c r="L26" i="4"/>
  <c r="M26" i="4"/>
  <c r="N26" i="4"/>
  <c r="O26" i="4"/>
  <c r="C27" i="4"/>
  <c r="D27" i="4"/>
  <c r="E27" i="4"/>
  <c r="F27" i="4"/>
  <c r="G27" i="4"/>
  <c r="H27" i="4"/>
  <c r="I27" i="4"/>
  <c r="J27" i="4"/>
  <c r="K27" i="4"/>
  <c r="L27" i="4"/>
  <c r="M27" i="4"/>
  <c r="N27" i="4"/>
  <c r="O27" i="4"/>
  <c r="C28" i="4"/>
  <c r="D28" i="4"/>
  <c r="E28" i="4"/>
  <c r="F28" i="4"/>
  <c r="G28" i="4"/>
  <c r="H28" i="4"/>
  <c r="I28" i="4"/>
  <c r="J28" i="4"/>
  <c r="K28" i="4"/>
  <c r="L28" i="4"/>
  <c r="M28" i="4"/>
  <c r="N28" i="4"/>
  <c r="O28" i="4"/>
  <c r="C29" i="4"/>
  <c r="D29" i="4"/>
  <c r="E29" i="4"/>
  <c r="F29" i="4"/>
  <c r="G29" i="4"/>
  <c r="H29" i="4"/>
  <c r="I29" i="4"/>
  <c r="J29" i="4"/>
  <c r="K29" i="4"/>
  <c r="L29" i="4"/>
  <c r="M29" i="4"/>
  <c r="N29" i="4"/>
  <c r="O29" i="4"/>
  <c r="C30" i="4"/>
  <c r="D30" i="4"/>
  <c r="E30" i="4"/>
  <c r="F30" i="4"/>
  <c r="G30" i="4"/>
  <c r="H30" i="4"/>
  <c r="I30" i="4"/>
  <c r="J30" i="4"/>
  <c r="K30" i="4"/>
  <c r="L30" i="4"/>
  <c r="M30" i="4"/>
  <c r="N30" i="4"/>
  <c r="O30" i="4"/>
  <c r="C31" i="4"/>
  <c r="D31" i="4"/>
  <c r="E31" i="4"/>
  <c r="F31" i="4"/>
  <c r="G31" i="4"/>
  <c r="H31" i="4"/>
  <c r="I31" i="4"/>
  <c r="J31" i="4"/>
  <c r="K31" i="4"/>
  <c r="L31" i="4"/>
  <c r="M31" i="4"/>
  <c r="N31" i="4"/>
  <c r="O31" i="4"/>
  <c r="C32" i="4"/>
  <c r="D32" i="4"/>
  <c r="E32" i="4"/>
  <c r="F32" i="4"/>
  <c r="G32" i="4"/>
  <c r="H32" i="4"/>
  <c r="I32" i="4"/>
  <c r="J32" i="4"/>
  <c r="K32" i="4"/>
  <c r="L32" i="4"/>
  <c r="M32" i="4"/>
  <c r="N32" i="4"/>
  <c r="O32" i="4"/>
  <c r="C33" i="4"/>
  <c r="D33" i="4"/>
  <c r="E33" i="4"/>
  <c r="F33" i="4"/>
  <c r="G33" i="4"/>
  <c r="H33" i="4"/>
  <c r="I33" i="4"/>
  <c r="J33" i="4"/>
  <c r="K33" i="4"/>
  <c r="L33" i="4"/>
  <c r="M33" i="4"/>
  <c r="N33" i="4"/>
  <c r="O33" i="4"/>
  <c r="C34" i="4"/>
  <c r="D34" i="4"/>
  <c r="E34" i="4"/>
  <c r="F34" i="4"/>
  <c r="G34" i="4"/>
  <c r="H34" i="4"/>
  <c r="I34" i="4"/>
  <c r="J34" i="4"/>
  <c r="K34" i="4"/>
  <c r="L34" i="4"/>
  <c r="M34" i="4"/>
  <c r="N34" i="4"/>
  <c r="O34" i="4"/>
  <c r="C35" i="4"/>
  <c r="D35" i="4"/>
  <c r="E35" i="4"/>
  <c r="F35" i="4"/>
  <c r="G35" i="4"/>
  <c r="H35" i="4"/>
  <c r="I35" i="4"/>
  <c r="J35" i="4"/>
  <c r="K35" i="4"/>
  <c r="L35" i="4"/>
  <c r="M35" i="4"/>
  <c r="N35" i="4"/>
  <c r="O35" i="4"/>
  <c r="C36" i="4"/>
  <c r="D36" i="4"/>
  <c r="E36" i="4"/>
  <c r="F36" i="4"/>
  <c r="G36" i="4"/>
  <c r="H36" i="4"/>
  <c r="I36" i="4"/>
  <c r="J36" i="4"/>
  <c r="K36" i="4"/>
  <c r="L36" i="4"/>
  <c r="M36" i="4"/>
  <c r="N36" i="4"/>
  <c r="O36" i="4"/>
  <c r="C37" i="4"/>
  <c r="D37" i="4"/>
  <c r="E37" i="4"/>
  <c r="F37" i="4"/>
  <c r="G37" i="4"/>
  <c r="H37" i="4"/>
  <c r="I37" i="4"/>
  <c r="J37" i="4"/>
  <c r="K37" i="4"/>
  <c r="L37" i="4"/>
  <c r="M37" i="4"/>
  <c r="N37" i="4"/>
  <c r="O37" i="4"/>
  <c r="F8" i="14"/>
  <c r="F9" i="14"/>
  <c r="F10" i="14"/>
  <c r="F11" i="14"/>
  <c r="F12" i="14"/>
  <c r="F13" i="14"/>
  <c r="F14" i="14"/>
  <c r="F15" i="14"/>
  <c r="F16" i="14"/>
  <c r="F17" i="14"/>
  <c r="F22" i="14"/>
  <c r="F23" i="14"/>
  <c r="F24" i="14"/>
  <c r="F25" i="14"/>
  <c r="F26" i="14"/>
  <c r="F27" i="14"/>
  <c r="F28" i="14"/>
  <c r="F29" i="14"/>
  <c r="F30" i="14"/>
  <c r="F31" i="14"/>
  <c r="F46" i="14"/>
  <c r="E82" i="14" s="1"/>
  <c r="C74" i="14"/>
  <c r="E85" i="14"/>
  <c r="B82" i="14"/>
  <c r="T6" i="25"/>
  <c r="H6" i="55" s="1"/>
  <c r="I6" i="55" s="1"/>
  <c r="J6" i="55" s="1"/>
  <c r="T7" i="25"/>
  <c r="H7" i="55" s="1"/>
  <c r="I7" i="55" s="1"/>
  <c r="J7" i="55" s="1"/>
  <c r="K7" i="55" s="1"/>
  <c r="L7" i="55" s="1"/>
  <c r="M7" i="55" s="1"/>
  <c r="N7" i="55" s="1"/>
  <c r="O7" i="55" s="1"/>
  <c r="T8" i="25"/>
  <c r="H8" i="55" s="1"/>
  <c r="T9" i="25"/>
  <c r="H9" i="55" s="1"/>
  <c r="I9" i="55" s="1"/>
  <c r="J9" i="55" s="1"/>
  <c r="K9" i="55" s="1"/>
  <c r="L9" i="55" s="1"/>
  <c r="T10" i="25"/>
  <c r="H10" i="55" s="1"/>
  <c r="I10" i="55" s="1"/>
  <c r="J10" i="55" s="1"/>
  <c r="T11" i="25"/>
  <c r="H11" i="55" s="1"/>
  <c r="I11" i="55" s="1"/>
  <c r="T12" i="25"/>
  <c r="H12" i="55" s="1"/>
  <c r="I12" i="55" s="1"/>
  <c r="J12" i="55" s="1"/>
  <c r="K12" i="55" s="1"/>
  <c r="L12" i="55" s="1"/>
  <c r="M12" i="55" s="1"/>
  <c r="N12" i="55" s="1"/>
  <c r="O12" i="55" s="1"/>
  <c r="P12" i="55" s="1"/>
  <c r="Q12" i="55" s="1"/>
  <c r="R12" i="55" s="1"/>
  <c r="S12" i="55" s="1"/>
  <c r="T29" i="25"/>
  <c r="H29" i="55" s="1"/>
  <c r="I29" i="55" s="1"/>
  <c r="J29" i="55" s="1"/>
  <c r="T45" i="25"/>
  <c r="H45" i="55" s="1"/>
  <c r="I45" i="55" s="1"/>
  <c r="J45" i="55" s="1"/>
  <c r="K45" i="55" s="1"/>
  <c r="L45" i="55" s="1"/>
  <c r="M45" i="55" s="1"/>
  <c r="N45" i="55" s="1"/>
  <c r="O45" i="55" s="1"/>
  <c r="P45" i="55" s="1"/>
  <c r="Q45" i="55" s="1"/>
  <c r="R45" i="55" s="1"/>
  <c r="S45" i="55" s="1"/>
  <c r="M9" i="55"/>
  <c r="N9" i="55" s="1"/>
  <c r="O9" i="55" s="1"/>
  <c r="P9" i="55" s="1"/>
  <c r="Q9" i="55" s="1"/>
  <c r="L31" i="25"/>
  <c r="M31" i="25"/>
  <c r="T15" i="25"/>
  <c r="H15" i="55" s="1"/>
  <c r="T16" i="25"/>
  <c r="H16" i="55" s="1"/>
  <c r="I16" i="55" s="1"/>
  <c r="J16" i="55" s="1"/>
  <c r="K16" i="55" s="1"/>
  <c r="L16" i="55" s="1"/>
  <c r="M16" i="55" s="1"/>
  <c r="N16" i="55" s="1"/>
  <c r="O16" i="55" s="1"/>
  <c r="P16" i="55" s="1"/>
  <c r="Q16" i="55" s="1"/>
  <c r="R16" i="55" s="1"/>
  <c r="S16" i="55" s="1"/>
  <c r="T17" i="25"/>
  <c r="H17" i="55" s="1"/>
  <c r="I17" i="55" s="1"/>
  <c r="J17" i="55" s="1"/>
  <c r="K17" i="55" s="1"/>
  <c r="T18" i="25"/>
  <c r="T19" i="25"/>
  <c r="H19" i="55" s="1"/>
  <c r="T20" i="25"/>
  <c r="H20" i="55" s="1"/>
  <c r="I20" i="55" s="1"/>
  <c r="J20" i="55" s="1"/>
  <c r="K20" i="55" s="1"/>
  <c r="L20" i="55" s="1"/>
  <c r="M20" i="55" s="1"/>
  <c r="T21" i="25"/>
  <c r="H21" i="55" s="1"/>
  <c r="I21" i="55" s="1"/>
  <c r="J21" i="55" s="1"/>
  <c r="T22" i="25"/>
  <c r="H22" i="55" s="1"/>
  <c r="I22" i="55" s="1"/>
  <c r="J22" i="55" s="1"/>
  <c r="K22" i="55" s="1"/>
  <c r="L22" i="55" s="1"/>
  <c r="M22" i="55" s="1"/>
  <c r="N22" i="55" s="1"/>
  <c r="O22" i="55" s="1"/>
  <c r="T23" i="25"/>
  <c r="H23" i="55" s="1"/>
  <c r="T24" i="25"/>
  <c r="H24" i="55" s="1"/>
  <c r="I24" i="55" s="1"/>
  <c r="J24" i="55" s="1"/>
  <c r="K24" i="55" s="1"/>
  <c r="L24" i="55" s="1"/>
  <c r="M24" i="55" s="1"/>
  <c r="N24" i="55" s="1"/>
  <c r="Q31" i="25"/>
  <c r="R31" i="25"/>
  <c r="S31" i="25"/>
  <c r="T28" i="25"/>
  <c r="T30" i="25"/>
  <c r="H30" i="55" s="1"/>
  <c r="I31" i="25"/>
  <c r="J31" i="25"/>
  <c r="K31" i="25"/>
  <c r="N31" i="25"/>
  <c r="O31" i="25"/>
  <c r="P31" i="25"/>
  <c r="T34" i="25"/>
  <c r="H34" i="55" s="1"/>
  <c r="I34" i="55" s="1"/>
  <c r="J34" i="55" s="1"/>
  <c r="K34" i="55" s="1"/>
  <c r="T35" i="25"/>
  <c r="H35" i="55" s="1"/>
  <c r="I35" i="55" s="1"/>
  <c r="J35" i="55" s="1"/>
  <c r="K35" i="55" s="1"/>
  <c r="T36" i="25"/>
  <c r="H36" i="55" s="1"/>
  <c r="I36" i="55" s="1"/>
  <c r="J36" i="55" s="1"/>
  <c r="K36" i="55" s="1"/>
  <c r="L36" i="55" s="1"/>
  <c r="M36" i="55" s="1"/>
  <c r="N36" i="55" s="1"/>
  <c r="O36" i="55" s="1"/>
  <c r="P36" i="55" s="1"/>
  <c r="Q36" i="55" s="1"/>
  <c r="T37" i="25"/>
  <c r="H37" i="55" s="1"/>
  <c r="I37" i="55" s="1"/>
  <c r="J37" i="55" s="1"/>
  <c r="K37" i="55" s="1"/>
  <c r="L37" i="55" s="1"/>
  <c r="M37" i="55" s="1"/>
  <c r="N37" i="55" s="1"/>
  <c r="O37" i="55" s="1"/>
  <c r="P37" i="55" s="1"/>
  <c r="Q37" i="55" s="1"/>
  <c r="R37" i="55" s="1"/>
  <c r="T38" i="25"/>
  <c r="H38" i="55" s="1"/>
  <c r="T39" i="25"/>
  <c r="H39" i="55" s="1"/>
  <c r="I39" i="55" s="1"/>
  <c r="J39" i="55" s="1"/>
  <c r="K39" i="55" s="1"/>
  <c r="T46" i="25"/>
  <c r="T47" i="25"/>
  <c r="H47" i="55" s="1"/>
  <c r="T49" i="25"/>
  <c r="T52" i="25"/>
  <c r="T57" i="25"/>
  <c r="H57" i="55" s="1"/>
  <c r="H70" i="55" s="1"/>
  <c r="H68" i="25"/>
  <c r="I68" i="25"/>
  <c r="J68" i="25"/>
  <c r="K68" i="25"/>
  <c r="L68" i="25"/>
  <c r="M68" i="25"/>
  <c r="N68" i="25"/>
  <c r="O68" i="25"/>
  <c r="P68" i="25"/>
  <c r="Q68" i="25"/>
  <c r="R68" i="25"/>
  <c r="S68" i="25"/>
  <c r="I70" i="25"/>
  <c r="J70" i="25"/>
  <c r="K70" i="25"/>
  <c r="L70" i="25"/>
  <c r="M70" i="25"/>
  <c r="N70" i="25"/>
  <c r="O70" i="25"/>
  <c r="P70" i="25"/>
  <c r="Q70" i="25"/>
  <c r="R70" i="25"/>
  <c r="S70" i="25"/>
  <c r="H73" i="25"/>
  <c r="I73" i="25"/>
  <c r="J73" i="25"/>
  <c r="K73" i="25"/>
  <c r="L73" i="25"/>
  <c r="M73" i="25"/>
  <c r="N73" i="25"/>
  <c r="O73" i="25"/>
  <c r="P73" i="25"/>
  <c r="Q73" i="25"/>
  <c r="R73" i="25"/>
  <c r="S73" i="25"/>
  <c r="H76" i="25"/>
  <c r="I76" i="25"/>
  <c r="J76" i="25"/>
  <c r="K76" i="25"/>
  <c r="L76" i="25"/>
  <c r="M76" i="25"/>
  <c r="N76" i="25"/>
  <c r="O76" i="25"/>
  <c r="P76" i="25"/>
  <c r="Q76" i="25"/>
  <c r="R76" i="25"/>
  <c r="S76" i="25"/>
  <c r="H78" i="25"/>
  <c r="I78" i="25"/>
  <c r="J78" i="25"/>
  <c r="K78" i="25"/>
  <c r="L78" i="25"/>
  <c r="M78" i="25"/>
  <c r="N78" i="25"/>
  <c r="O78" i="25"/>
  <c r="P78" i="25"/>
  <c r="Q78" i="25"/>
  <c r="R78" i="25"/>
  <c r="S78" i="25"/>
  <c r="C74" i="13"/>
  <c r="E85" i="13" s="1"/>
  <c r="F8" i="15"/>
  <c r="F9" i="15"/>
  <c r="F10" i="15"/>
  <c r="F11" i="15"/>
  <c r="F12" i="15"/>
  <c r="F13" i="15"/>
  <c r="F14" i="15"/>
  <c r="F23" i="15"/>
  <c r="F24" i="15"/>
  <c r="F25" i="15"/>
  <c r="F26" i="15"/>
  <c r="F27" i="15"/>
  <c r="F28" i="15"/>
  <c r="F29" i="15"/>
  <c r="F30" i="15"/>
  <c r="F31" i="15"/>
  <c r="F32" i="15"/>
  <c r="F46" i="15"/>
  <c r="E81" i="15" s="1"/>
  <c r="B81" i="15"/>
  <c r="F8" i="11"/>
  <c r="F9" i="11"/>
  <c r="F10" i="11"/>
  <c r="F11" i="11"/>
  <c r="F12" i="11"/>
  <c r="F13" i="11"/>
  <c r="F14" i="11"/>
  <c r="F15" i="11"/>
  <c r="F16" i="11"/>
  <c r="F17" i="11"/>
  <c r="F22" i="11"/>
  <c r="F23" i="11"/>
  <c r="F24" i="11"/>
  <c r="F25" i="11"/>
  <c r="F26" i="11"/>
  <c r="F27" i="11"/>
  <c r="F28" i="11"/>
  <c r="F31" i="11"/>
  <c r="F46" i="11"/>
  <c r="E83" i="11" s="1"/>
  <c r="C74" i="11"/>
  <c r="E86" i="11" s="1"/>
  <c r="B83" i="11"/>
  <c r="A98" i="11"/>
  <c r="A97" i="11" s="1"/>
  <c r="A96" i="11" s="1"/>
  <c r="B27" i="5"/>
  <c r="F27" i="5"/>
  <c r="C72" i="17"/>
  <c r="E84" i="17" s="1"/>
  <c r="A112" i="17" s="1"/>
  <c r="B81" i="17"/>
  <c r="F10" i="22"/>
  <c r="F11" i="22"/>
  <c r="F12" i="22"/>
  <c r="F13" i="22"/>
  <c r="F14" i="22"/>
  <c r="F15" i="22"/>
  <c r="F16" i="22"/>
  <c r="F17" i="22"/>
  <c r="F18" i="22"/>
  <c r="F24" i="22"/>
  <c r="F27" i="22"/>
  <c r="F28" i="22"/>
  <c r="F29" i="22"/>
  <c r="F30" i="22"/>
  <c r="F31" i="22"/>
  <c r="F32" i="22"/>
  <c r="F33" i="22"/>
  <c r="F34" i="22"/>
  <c r="F35" i="22"/>
  <c r="F38" i="22"/>
  <c r="B82" i="22"/>
  <c r="F10" i="20"/>
  <c r="F11" i="20"/>
  <c r="F12" i="20"/>
  <c r="F13" i="20"/>
  <c r="F14" i="20"/>
  <c r="F15" i="20"/>
  <c r="F16" i="20"/>
  <c r="F17" i="20"/>
  <c r="F25" i="20"/>
  <c r="F26" i="20"/>
  <c r="H26" i="20" s="1"/>
  <c r="F27" i="20"/>
  <c r="F28" i="20"/>
  <c r="F29" i="20"/>
  <c r="F30" i="20"/>
  <c r="F31" i="20"/>
  <c r="F32" i="20"/>
  <c r="F33" i="20"/>
  <c r="F34" i="20"/>
  <c r="F37" i="20"/>
  <c r="E81" i="20"/>
  <c r="C72" i="20"/>
  <c r="B81" i="20"/>
  <c r="E84" i="20"/>
  <c r="C74" i="10"/>
  <c r="E86" i="10" s="1"/>
  <c r="B83" i="10"/>
  <c r="A98" i="10"/>
  <c r="A99" i="10" s="1"/>
  <c r="C4" i="2"/>
  <c r="D10" i="2"/>
  <c r="E10" i="2" s="1"/>
  <c r="E9" i="2"/>
  <c r="F9" i="2"/>
  <c r="E11" i="2"/>
  <c r="F11" i="2"/>
  <c r="D12" i="2"/>
  <c r="E12" i="2" s="1"/>
  <c r="E14" i="2"/>
  <c r="D14" i="2" s="1"/>
  <c r="E18" i="2"/>
  <c r="F18" i="2"/>
  <c r="F21" i="2"/>
  <c r="D19" i="2"/>
  <c r="E19" i="2" s="1"/>
  <c r="D21" i="2"/>
  <c r="D22" i="2" s="1"/>
  <c r="C29" i="2"/>
  <c r="C31" i="2"/>
  <c r="E37" i="2"/>
  <c r="C46" i="2"/>
  <c r="D46" i="2"/>
  <c r="C47" i="2"/>
  <c r="D47" i="2"/>
  <c r="C56" i="2"/>
  <c r="B16" i="24"/>
  <c r="B16" i="70" s="1"/>
  <c r="C97" i="24"/>
  <c r="F239" i="24"/>
  <c r="F240" i="24"/>
  <c r="F241" i="24"/>
  <c r="F242" i="24"/>
  <c r="F243" i="24"/>
  <c r="F244" i="24"/>
  <c r="F245" i="24"/>
  <c r="F246" i="24"/>
  <c r="F247" i="24"/>
  <c r="F248" i="24"/>
  <c r="F253" i="24"/>
  <c r="F254" i="24"/>
  <c r="F255" i="24"/>
  <c r="F256" i="24"/>
  <c r="F257" i="24"/>
  <c r="F258" i="24"/>
  <c r="F259" i="24"/>
  <c r="F260" i="24"/>
  <c r="F261" i="24"/>
  <c r="F262" i="24"/>
  <c r="F21" i="6"/>
  <c r="G21" i="6"/>
  <c r="R21" i="6"/>
  <c r="T21" i="6"/>
  <c r="D39" i="6"/>
  <c r="D40" i="6"/>
  <c r="D41" i="6"/>
  <c r="D42" i="6"/>
  <c r="D44" i="6"/>
  <c r="G4" i="18"/>
  <c r="G5" i="18"/>
  <c r="G6" i="18"/>
  <c r="O6" i="18" s="1"/>
  <c r="G7" i="18"/>
  <c r="R7" i="18"/>
  <c r="G8" i="18"/>
  <c r="R8" i="18"/>
  <c r="G9" i="18"/>
  <c r="O9" i="18"/>
  <c r="R9" i="18"/>
  <c r="G10" i="18"/>
  <c r="R10" i="18"/>
  <c r="G11" i="18"/>
  <c r="R11" i="18"/>
  <c r="G12" i="18"/>
  <c r="R12" i="18"/>
  <c r="G13" i="18"/>
  <c r="R13" i="18"/>
  <c r="G14" i="18"/>
  <c r="R14" i="18"/>
  <c r="G15" i="18"/>
  <c r="O15" i="18" s="1"/>
  <c r="R15" i="18"/>
  <c r="R16" i="18"/>
  <c r="R17" i="18"/>
  <c r="C18" i="18"/>
  <c r="E5" i="18" s="1"/>
  <c r="M21" i="18"/>
  <c r="G31" i="18"/>
  <c r="R31" i="18"/>
  <c r="G32" i="18"/>
  <c r="P32" i="18" s="1"/>
  <c r="R32" i="18"/>
  <c r="G33" i="18"/>
  <c r="O33" i="18" s="1"/>
  <c r="R33" i="18"/>
  <c r="G34" i="18"/>
  <c r="P34" i="18" s="1"/>
  <c r="R34" i="18"/>
  <c r="G35" i="18"/>
  <c r="R35" i="18"/>
  <c r="G36" i="18"/>
  <c r="O36" i="18" s="1"/>
  <c r="R36" i="18"/>
  <c r="G37" i="18"/>
  <c r="R37" i="18"/>
  <c r="G38" i="18"/>
  <c r="R38" i="18"/>
  <c r="G39" i="18"/>
  <c r="O39" i="18" s="1"/>
  <c r="R39" i="18"/>
  <c r="G40" i="18"/>
  <c r="R40" i="18"/>
  <c r="G41" i="18"/>
  <c r="R41" i="18"/>
  <c r="G42" i="18"/>
  <c r="R42" i="18"/>
  <c r="R43" i="18"/>
  <c r="R44" i="18"/>
  <c r="C45" i="18"/>
  <c r="E31" i="18" s="1"/>
  <c r="M49" i="18"/>
  <c r="F6" i="19"/>
  <c r="C9" i="19"/>
  <c r="G10" i="19"/>
  <c r="H10" i="19"/>
  <c r="L10" i="19"/>
  <c r="C11" i="19"/>
  <c r="M12" i="19"/>
  <c r="C16" i="19"/>
  <c r="C17" i="19"/>
  <c r="C20" i="19"/>
  <c r="M25" i="19"/>
  <c r="C29" i="19"/>
  <c r="C30" i="19"/>
  <c r="C33" i="19"/>
  <c r="M39" i="19"/>
  <c r="C42" i="19"/>
  <c r="C43" i="19"/>
  <c r="C46" i="19"/>
  <c r="M51" i="19"/>
  <c r="C54" i="19"/>
  <c r="C55" i="19"/>
  <c r="C58" i="19"/>
  <c r="M63" i="19"/>
  <c r="C66" i="19"/>
  <c r="C67" i="19"/>
  <c r="C70" i="19"/>
  <c r="F77" i="19"/>
  <c r="G77" i="19"/>
  <c r="H77" i="19"/>
  <c r="I77" i="19"/>
  <c r="J77" i="19"/>
  <c r="K77" i="19"/>
  <c r="L77" i="19"/>
  <c r="C78" i="19"/>
  <c r="B78" i="19" s="1"/>
  <c r="C79" i="19"/>
  <c r="F7" i="21"/>
  <c r="G11" i="21"/>
  <c r="H11" i="21"/>
  <c r="L11" i="21"/>
  <c r="C12" i="21"/>
  <c r="M13" i="21"/>
  <c r="C17" i="21"/>
  <c r="C19" i="21" s="1"/>
  <c r="C23" i="21"/>
  <c r="C24" i="21" s="1"/>
  <c r="M26" i="21"/>
  <c r="C30" i="21"/>
  <c r="C36" i="21"/>
  <c r="C37" i="21" s="1"/>
  <c r="M40" i="21"/>
  <c r="C43" i="21"/>
  <c r="C45" i="21" s="1"/>
  <c r="C49" i="21"/>
  <c r="M52" i="21"/>
  <c r="C55" i="21"/>
  <c r="C61" i="21"/>
  <c r="M64" i="21"/>
  <c r="C67" i="21"/>
  <c r="I67" i="21" s="1"/>
  <c r="C73" i="21"/>
  <c r="F78" i="21"/>
  <c r="G78" i="21"/>
  <c r="H78" i="21"/>
  <c r="I78" i="21"/>
  <c r="J78" i="21"/>
  <c r="K78" i="21"/>
  <c r="L78" i="21"/>
  <c r="C79" i="21"/>
  <c r="B79" i="21" s="1"/>
  <c r="C80" i="21"/>
  <c r="C91" i="21" s="1"/>
  <c r="C86" i="21"/>
  <c r="C94" i="21" s="1"/>
  <c r="D8" i="9"/>
  <c r="D9" i="9" s="1"/>
  <c r="E21" i="9"/>
  <c r="F21" i="9"/>
  <c r="I21" i="9"/>
  <c r="X21" i="9" s="1"/>
  <c r="K21" i="9"/>
  <c r="Q21" i="9" s="1"/>
  <c r="P21" i="9"/>
  <c r="W21" i="9"/>
  <c r="Z21" i="9" s="1"/>
  <c r="Y21" i="9"/>
  <c r="AB21" i="9" s="1"/>
  <c r="E22" i="9"/>
  <c r="F22" i="9"/>
  <c r="I22" i="9"/>
  <c r="X22" i="9" s="1"/>
  <c r="P22" i="9"/>
  <c r="W22" i="9"/>
  <c r="Y22" i="9"/>
  <c r="E23" i="9"/>
  <c r="G23" i="9" s="1"/>
  <c r="F23" i="9"/>
  <c r="I23" i="9"/>
  <c r="X23" i="9" s="1"/>
  <c r="P23" i="9"/>
  <c r="W23" i="9"/>
  <c r="Y23" i="9"/>
  <c r="E24" i="9"/>
  <c r="G24" i="9" s="1"/>
  <c r="F24" i="9"/>
  <c r="I24" i="9"/>
  <c r="X24" i="9" s="1"/>
  <c r="P24" i="9"/>
  <c r="W24" i="9"/>
  <c r="Y24" i="9"/>
  <c r="E25" i="9"/>
  <c r="G25" i="9" s="1"/>
  <c r="F25" i="9"/>
  <c r="I25" i="9"/>
  <c r="X25" i="9" s="1"/>
  <c r="P25" i="9"/>
  <c r="W25" i="9"/>
  <c r="Y25" i="9"/>
  <c r="E26" i="9"/>
  <c r="F26" i="9"/>
  <c r="I26" i="9"/>
  <c r="X26" i="9" s="1"/>
  <c r="P26" i="9"/>
  <c r="W26" i="9"/>
  <c r="Y26" i="9"/>
  <c r="E27" i="9"/>
  <c r="G27" i="9" s="1"/>
  <c r="F27" i="9"/>
  <c r="I27" i="9"/>
  <c r="X27" i="9" s="1"/>
  <c r="P27" i="9"/>
  <c r="W27" i="9"/>
  <c r="Y27" i="9"/>
  <c r="E28" i="9"/>
  <c r="G28" i="9" s="1"/>
  <c r="F28" i="9"/>
  <c r="I28" i="9"/>
  <c r="X28" i="9" s="1"/>
  <c r="P28" i="9"/>
  <c r="W28" i="9"/>
  <c r="Y28" i="9"/>
  <c r="E29" i="9"/>
  <c r="G29" i="9" s="1"/>
  <c r="F29" i="9"/>
  <c r="I29" i="9"/>
  <c r="X29" i="9" s="1"/>
  <c r="P29" i="9"/>
  <c r="W29" i="9"/>
  <c r="Y29" i="9"/>
  <c r="E30" i="9"/>
  <c r="G30" i="9" s="1"/>
  <c r="F30" i="9"/>
  <c r="I30" i="9"/>
  <c r="X30" i="9" s="1"/>
  <c r="P30" i="9"/>
  <c r="W30" i="9"/>
  <c r="Y30" i="9"/>
  <c r="E31" i="9"/>
  <c r="G31" i="9" s="1"/>
  <c r="F31" i="9"/>
  <c r="I31" i="9"/>
  <c r="X31" i="9" s="1"/>
  <c r="P31" i="9"/>
  <c r="W31" i="9"/>
  <c r="Y31" i="9"/>
  <c r="E32" i="9"/>
  <c r="G32" i="9" s="1"/>
  <c r="F32" i="9"/>
  <c r="I32" i="9"/>
  <c r="X32" i="9" s="1"/>
  <c r="P32" i="9"/>
  <c r="W32" i="9"/>
  <c r="Y32" i="9"/>
  <c r="E33" i="9"/>
  <c r="G33" i="9" s="1"/>
  <c r="F33" i="9"/>
  <c r="I33" i="9"/>
  <c r="X33" i="9" s="1"/>
  <c r="P33" i="9"/>
  <c r="W33" i="9"/>
  <c r="Y33" i="9"/>
  <c r="E34" i="9"/>
  <c r="G34" i="9" s="1"/>
  <c r="F34" i="9"/>
  <c r="I34" i="9"/>
  <c r="X34" i="9" s="1"/>
  <c r="P34" i="9"/>
  <c r="W34" i="9"/>
  <c r="Y34" i="9"/>
  <c r="E35" i="9"/>
  <c r="G35" i="9" s="1"/>
  <c r="F35" i="9"/>
  <c r="I35" i="9"/>
  <c r="X35" i="9" s="1"/>
  <c r="P35" i="9"/>
  <c r="W35" i="9"/>
  <c r="Y35" i="9"/>
  <c r="E36" i="9"/>
  <c r="G36" i="9" s="1"/>
  <c r="F36" i="9"/>
  <c r="I36" i="9"/>
  <c r="X36" i="9" s="1"/>
  <c r="P36" i="9"/>
  <c r="W36" i="9"/>
  <c r="Y36" i="9"/>
  <c r="E37" i="9"/>
  <c r="G37" i="9" s="1"/>
  <c r="F37" i="9"/>
  <c r="I37" i="9"/>
  <c r="X37" i="9" s="1"/>
  <c r="P37" i="9"/>
  <c r="W37" i="9"/>
  <c r="Y37" i="9"/>
  <c r="E38" i="9"/>
  <c r="G38" i="9" s="1"/>
  <c r="F38" i="9"/>
  <c r="I38" i="9"/>
  <c r="X38" i="9" s="1"/>
  <c r="P38" i="9"/>
  <c r="W38" i="9"/>
  <c r="Y38" i="9"/>
  <c r="E39" i="9"/>
  <c r="G39" i="9" s="1"/>
  <c r="F39" i="9"/>
  <c r="I39" i="9"/>
  <c r="X39" i="9" s="1"/>
  <c r="P39" i="9"/>
  <c r="W39" i="9"/>
  <c r="Y39" i="9"/>
  <c r="E40" i="9"/>
  <c r="G40" i="9" s="1"/>
  <c r="F40" i="9"/>
  <c r="I40" i="9"/>
  <c r="X40" i="9" s="1"/>
  <c r="P40" i="9"/>
  <c r="W40" i="9"/>
  <c r="Y40" i="9"/>
  <c r="E41" i="9"/>
  <c r="G41" i="9" s="1"/>
  <c r="F41" i="9"/>
  <c r="I41" i="9"/>
  <c r="X41" i="9" s="1"/>
  <c r="P41" i="9"/>
  <c r="W41" i="9"/>
  <c r="Y41" i="9"/>
  <c r="E42" i="9"/>
  <c r="G42" i="9" s="1"/>
  <c r="F42" i="9"/>
  <c r="I42" i="9"/>
  <c r="X42" i="9" s="1"/>
  <c r="P42" i="9"/>
  <c r="W42" i="9"/>
  <c r="Y42" i="9"/>
  <c r="Y43" i="9"/>
  <c r="Y44" i="9"/>
  <c r="Y45" i="9"/>
  <c r="E43" i="9"/>
  <c r="G43" i="9" s="1"/>
  <c r="F43" i="9"/>
  <c r="I43" i="9"/>
  <c r="X43" i="9" s="1"/>
  <c r="P43" i="9"/>
  <c r="W43" i="9"/>
  <c r="E44" i="9"/>
  <c r="G44" i="9" s="1"/>
  <c r="F44" i="9"/>
  <c r="I44" i="9"/>
  <c r="X44" i="9" s="1"/>
  <c r="P44" i="9"/>
  <c r="W44" i="9"/>
  <c r="E45" i="9"/>
  <c r="G45" i="9" s="1"/>
  <c r="F45" i="9"/>
  <c r="I45" i="9"/>
  <c r="X45" i="9" s="1"/>
  <c r="P45" i="9"/>
  <c r="W45" i="9"/>
  <c r="D46" i="9"/>
  <c r="H46" i="9"/>
  <c r="B85" i="12"/>
  <c r="F7" i="28"/>
  <c r="F8" i="28" s="1"/>
  <c r="F20" i="28" s="1"/>
  <c r="F35" i="14"/>
  <c r="F23" i="20"/>
  <c r="G23" i="43"/>
  <c r="G25" i="43"/>
  <c r="G26" i="44"/>
  <c r="G29" i="44"/>
  <c r="G19" i="44"/>
  <c r="G27" i="44"/>
  <c r="C101" i="17"/>
  <c r="F30" i="21"/>
  <c r="P9" i="18"/>
  <c r="L36" i="5"/>
  <c r="G19" i="33"/>
  <c r="L43" i="47"/>
  <c r="O63" i="25"/>
  <c r="I42" i="47"/>
  <c r="P63" i="25"/>
  <c r="G22" i="44"/>
  <c r="AK5" i="6"/>
  <c r="AL5" i="6" s="1"/>
  <c r="AK19" i="6"/>
  <c r="AL19" i="6" s="1"/>
  <c r="AI19" i="6"/>
  <c r="AJ19" i="6" s="1"/>
  <c r="AO15" i="6"/>
  <c r="AP15" i="6" s="1"/>
  <c r="AM11" i="6"/>
  <c r="AN11" i="6" s="1"/>
  <c r="AO18" i="6"/>
  <c r="AP18" i="6" s="1"/>
  <c r="AI18" i="6"/>
  <c r="AJ18" i="6" s="1"/>
  <c r="AQ18" i="6"/>
  <c r="AM18" i="6"/>
  <c r="AN18" i="6" s="1"/>
  <c r="AK18" i="6"/>
  <c r="AL18" i="6" s="1"/>
  <c r="AO14" i="6"/>
  <c r="AP14" i="6" s="1"/>
  <c r="AI14" i="6"/>
  <c r="AJ14" i="6" s="1"/>
  <c r="AQ14" i="6"/>
  <c r="AK14" i="6"/>
  <c r="AL14" i="6" s="1"/>
  <c r="AM14" i="6"/>
  <c r="AN14" i="6" s="1"/>
  <c r="AO6" i="6"/>
  <c r="AP6" i="6" s="1"/>
  <c r="AM17" i="6"/>
  <c r="AN17" i="6" s="1"/>
  <c r="AK13" i="6"/>
  <c r="AL13" i="6" s="1"/>
  <c r="AI13" i="6"/>
  <c r="AJ13" i="6" s="1"/>
  <c r="AQ13" i="6"/>
  <c r="AM13" i="6"/>
  <c r="AN13" i="6" s="1"/>
  <c r="AO13" i="6"/>
  <c r="AP13" i="6" s="1"/>
  <c r="AK9" i="6"/>
  <c r="AL9" i="6" s="1"/>
  <c r="AI9" i="6"/>
  <c r="AJ9" i="6" s="1"/>
  <c r="AQ9" i="6"/>
  <c r="AM9" i="6"/>
  <c r="AN9" i="6" s="1"/>
  <c r="AO9" i="6"/>
  <c r="AP9" i="6" s="1"/>
  <c r="I17" i="21"/>
  <c r="I18" i="21" s="1"/>
  <c r="P39" i="18"/>
  <c r="A99" i="11"/>
  <c r="A100" i="11" s="1"/>
  <c r="A101" i="11" s="1"/>
  <c r="A102" i="11" s="1"/>
  <c r="A103" i="11" s="1"/>
  <c r="A104" i="11" s="1"/>
  <c r="E82" i="13"/>
  <c r="W36" i="5"/>
  <c r="AQ5" i="6"/>
  <c r="AO5" i="6"/>
  <c r="F37" i="2"/>
  <c r="P7" i="18"/>
  <c r="O7" i="18"/>
  <c r="J55" i="21"/>
  <c r="J56" i="21" s="1"/>
  <c r="K25" i="33"/>
  <c r="K29" i="33" s="1"/>
  <c r="B63" i="40"/>
  <c r="B59" i="40"/>
  <c r="B58" i="40"/>
  <c r="H39" i="43"/>
  <c r="H63" i="25"/>
  <c r="I12" i="6"/>
  <c r="I18" i="6"/>
  <c r="I20" i="6"/>
  <c r="I14" i="6"/>
  <c r="I10" i="6"/>
  <c r="I16" i="6"/>
  <c r="I8" i="6"/>
  <c r="I19" i="6"/>
  <c r="I17" i="6"/>
  <c r="I15" i="6"/>
  <c r="I13" i="6"/>
  <c r="I11" i="6"/>
  <c r="I7" i="6"/>
  <c r="A96" i="14"/>
  <c r="A95" i="14" s="1"/>
  <c r="A94" i="14" s="1"/>
  <c r="A62" i="42"/>
  <c r="B63" i="42"/>
  <c r="B56" i="6"/>
  <c r="F32" i="12"/>
  <c r="K32" i="5"/>
  <c r="F28" i="61"/>
  <c r="J32" i="5"/>
  <c r="M32" i="5"/>
  <c r="K29" i="55"/>
  <c r="L29" i="55" s="1"/>
  <c r="F22" i="20"/>
  <c r="F23" i="22"/>
  <c r="F22" i="17"/>
  <c r="V42" i="58"/>
  <c r="E31" i="52" s="1"/>
  <c r="F31" i="52" s="1"/>
  <c r="G31" i="52" s="1"/>
  <c r="M26" i="58"/>
  <c r="M28" i="58"/>
  <c r="M31" i="58"/>
  <c r="M33" i="58"/>
  <c r="V26" i="58"/>
  <c r="V31" i="58"/>
  <c r="Q31" i="58"/>
  <c r="Q42" i="58"/>
  <c r="M42" i="58"/>
  <c r="V30" i="58"/>
  <c r="Q27" i="58"/>
  <c r="M27" i="58"/>
  <c r="M30" i="58"/>
  <c r="Q30" i="58"/>
  <c r="M5" i="6"/>
  <c r="Z5" i="6" s="1"/>
  <c r="Q122" i="64"/>
  <c r="R122" i="64" s="1"/>
  <c r="U122" i="64"/>
  <c r="S122" i="64"/>
  <c r="P122" i="64"/>
  <c r="Q118" i="64"/>
  <c r="R118" i="64" s="1"/>
  <c r="S118" i="64"/>
  <c r="U118" i="64"/>
  <c r="P118" i="64"/>
  <c r="Q117" i="64"/>
  <c r="R117" i="64" s="1"/>
  <c r="U117" i="64"/>
  <c r="S117" i="64"/>
  <c r="P117" i="64"/>
  <c r="Q119" i="64"/>
  <c r="R119" i="64" s="1"/>
  <c r="P119" i="64"/>
  <c r="S119" i="64"/>
  <c r="U119" i="64"/>
  <c r="P116" i="64"/>
  <c r="S116" i="64"/>
  <c r="Q116" i="64"/>
  <c r="R116" i="64" s="1"/>
  <c r="P125" i="64"/>
  <c r="S125" i="64"/>
  <c r="Q125" i="64"/>
  <c r="R125" i="64" s="1"/>
  <c r="U125" i="64"/>
  <c r="P124" i="64"/>
  <c r="Q124" i="64"/>
  <c r="R124" i="64" s="1"/>
  <c r="S124" i="64"/>
  <c r="U124" i="64"/>
  <c r="P114" i="64"/>
  <c r="Q114" i="64"/>
  <c r="R114" i="64" s="1"/>
  <c r="P126" i="64"/>
  <c r="S126" i="64"/>
  <c r="Q126" i="64"/>
  <c r="R126" i="64" s="1"/>
  <c r="U126" i="64"/>
  <c r="U123" i="64"/>
  <c r="S123" i="64"/>
  <c r="Q123" i="64"/>
  <c r="R123" i="64" s="1"/>
  <c r="P123" i="64"/>
  <c r="P121" i="64"/>
  <c r="U121" i="64"/>
  <c r="S121" i="64"/>
  <c r="Q121" i="64"/>
  <c r="R121" i="64" s="1"/>
  <c r="S120" i="64"/>
  <c r="U120" i="64"/>
  <c r="P120" i="64"/>
  <c r="Q120" i="64"/>
  <c r="R120" i="64" s="1"/>
  <c r="Q115" i="64"/>
  <c r="R115" i="64" s="1"/>
  <c r="S115" i="64"/>
  <c r="P115" i="64"/>
  <c r="A93" i="61"/>
  <c r="A92" i="61" s="1"/>
  <c r="A91" i="61" s="1"/>
  <c r="G13" i="60"/>
  <c r="G33" i="60"/>
  <c r="AA21" i="9"/>
  <c r="I30" i="55"/>
  <c r="H31" i="55"/>
  <c r="I23" i="55"/>
  <c r="J23" i="55" s="1"/>
  <c r="K23" i="55" s="1"/>
  <c r="P36" i="18"/>
  <c r="O34" i="18"/>
  <c r="J17" i="21"/>
  <c r="J18" i="21" s="1"/>
  <c r="J19" i="21" s="1"/>
  <c r="J21" i="21" s="1"/>
  <c r="E11" i="18"/>
  <c r="N11" i="18" s="1"/>
  <c r="E35" i="18"/>
  <c r="E34" i="18"/>
  <c r="N34" i="18" s="1"/>
  <c r="A113" i="49"/>
  <c r="A114" i="49" s="1"/>
  <c r="A112" i="53"/>
  <c r="E120" i="48"/>
  <c r="E115" i="49"/>
  <c r="E110" i="49"/>
  <c r="E117" i="49"/>
  <c r="H20" i="52"/>
  <c r="H18" i="52"/>
  <c r="B26" i="24"/>
  <c r="A21" i="54"/>
  <c r="E109" i="49"/>
  <c r="E118" i="49"/>
  <c r="E111" i="49"/>
  <c r="H29" i="52"/>
  <c r="B21" i="54"/>
  <c r="T49" i="55"/>
  <c r="AD8" i="6"/>
  <c r="AH8" i="6" s="1"/>
  <c r="AN8" i="58"/>
  <c r="AO8" i="58" s="1"/>
  <c r="AP8" i="58"/>
  <c r="AQ8" i="58" s="1"/>
  <c r="AR8" i="58"/>
  <c r="V44" i="58"/>
  <c r="AA44" i="58" s="1"/>
  <c r="T39" i="58"/>
  <c r="R39" i="58"/>
  <c r="AN16" i="58"/>
  <c r="AO16" i="58" s="1"/>
  <c r="AJ16" i="58"/>
  <c r="AP14" i="58"/>
  <c r="AQ14" i="58" s="1"/>
  <c r="U44" i="58"/>
  <c r="U39" i="58"/>
  <c r="R43" i="58"/>
  <c r="U43" i="58"/>
  <c r="R40" i="58"/>
  <c r="U40" i="58"/>
  <c r="E59" i="47"/>
  <c r="M27" i="6"/>
  <c r="R27" i="6"/>
  <c r="AF27" i="6"/>
  <c r="F101" i="54" s="1"/>
  <c r="AH27" i="6"/>
  <c r="AL7" i="58"/>
  <c r="AM7" i="58" s="1"/>
  <c r="AP7" i="58"/>
  <c r="AQ7" i="58" s="1"/>
  <c r="AP12" i="58"/>
  <c r="AQ12" i="58" s="1"/>
  <c r="AR12" i="58"/>
  <c r="AL13" i="58"/>
  <c r="AM13" i="58" s="1"/>
  <c r="U27" i="6"/>
  <c r="W32" i="5"/>
  <c r="AJ27" i="6"/>
  <c r="AP27" i="6"/>
  <c r="L10" i="60"/>
  <c r="G30" i="60"/>
  <c r="H23" i="61"/>
  <c r="N23" i="61" s="1"/>
  <c r="T23" i="61" s="1"/>
  <c r="C10" i="63"/>
  <c r="H10" i="63" s="1"/>
  <c r="N10" i="63" s="1"/>
  <c r="T10" i="63" s="1"/>
  <c r="H30" i="63"/>
  <c r="N30" i="63" s="1"/>
  <c r="T30" i="63" s="1"/>
  <c r="C70" i="63"/>
  <c r="D82" i="63" s="1"/>
  <c r="D72" i="63"/>
  <c r="E94" i="63"/>
  <c r="E98" i="63"/>
  <c r="E96" i="63"/>
  <c r="E92" i="63"/>
  <c r="E97" i="63"/>
  <c r="E103" i="63"/>
  <c r="E101" i="63"/>
  <c r="N70" i="61"/>
  <c r="P82" i="61" s="1"/>
  <c r="F40" i="38"/>
  <c r="F41" i="38"/>
  <c r="B35" i="49"/>
  <c r="E35" i="49" s="1"/>
  <c r="F35" i="49" s="1"/>
  <c r="AK16" i="58"/>
  <c r="C53" i="26"/>
  <c r="C54" i="26" s="1"/>
  <c r="C55" i="26" s="1"/>
  <c r="C56" i="26" s="1"/>
  <c r="C57" i="26" s="1"/>
  <c r="C58" i="26" s="1"/>
  <c r="C59" i="26" s="1"/>
  <c r="C60" i="26" s="1"/>
  <c r="C61" i="26" s="1"/>
  <c r="C62" i="26" s="1"/>
  <c r="C63" i="26" s="1"/>
  <c r="C64" i="26" s="1"/>
  <c r="J56" i="54"/>
  <c r="K18" i="58"/>
  <c r="AN18" i="58"/>
  <c r="AP18" i="58"/>
  <c r="AL18" i="58"/>
  <c r="AJ18" i="58"/>
  <c r="AK18" i="58" s="1"/>
  <c r="AR18" i="58"/>
  <c r="K10" i="58"/>
  <c r="AJ10" i="58"/>
  <c r="AK10" i="58" s="1"/>
  <c r="AL10" i="58"/>
  <c r="AM10" i="58" s="1"/>
  <c r="AP10" i="58"/>
  <c r="AQ10" i="58" s="1"/>
  <c r="AR10" i="58"/>
  <c r="AN14" i="58"/>
  <c r="AO14" i="58" s="1"/>
  <c r="M43" i="58"/>
  <c r="T43" i="58"/>
  <c r="B69" i="38"/>
  <c r="AO30" i="6"/>
  <c r="B112" i="49"/>
  <c r="K20" i="6"/>
  <c r="AO20" i="6"/>
  <c r="AP20" i="6" s="1"/>
  <c r="AM20" i="6"/>
  <c r="AN20" i="6" s="1"/>
  <c r="AI20" i="6"/>
  <c r="AJ20" i="6" s="1"/>
  <c r="AQ20" i="6"/>
  <c r="AK20" i="6"/>
  <c r="AL20" i="6" s="1"/>
  <c r="K12" i="6"/>
  <c r="AM12" i="6"/>
  <c r="AK12" i="6"/>
  <c r="AI12" i="6"/>
  <c r="AJ12" i="6" s="1"/>
  <c r="AO12" i="6"/>
  <c r="AP12" i="6" s="1"/>
  <c r="AQ12" i="6"/>
  <c r="H24" i="44"/>
  <c r="B45" i="6"/>
  <c r="A111" i="49"/>
  <c r="F72" i="54"/>
  <c r="J72" i="54" s="1"/>
  <c r="K16" i="6"/>
  <c r="AI16" i="6"/>
  <c r="AQ16" i="6"/>
  <c r="AO16" i="6"/>
  <c r="AP16" i="6" s="1"/>
  <c r="AK16" i="6"/>
  <c r="AL16" i="6" s="1"/>
  <c r="K8" i="6"/>
  <c r="AQ8" i="6"/>
  <c r="AO8" i="6"/>
  <c r="AP8" i="6" s="1"/>
  <c r="AK8" i="6"/>
  <c r="AM8" i="6"/>
  <c r="AI8" i="6"/>
  <c r="AJ8" i="6" s="1"/>
  <c r="K14" i="58"/>
  <c r="AJ14" i="58"/>
  <c r="AK14" i="58" s="1"/>
  <c r="AR14" i="58"/>
  <c r="E103" i="10"/>
  <c r="AM16" i="6"/>
  <c r="AN16" i="6" s="1"/>
  <c r="E21" i="2"/>
  <c r="P33" i="18"/>
  <c r="D74" i="15"/>
  <c r="E74" i="15" s="1"/>
  <c r="L41" i="25"/>
  <c r="H36" i="43"/>
  <c r="B60" i="40"/>
  <c r="B61" i="40"/>
  <c r="B62" i="40"/>
  <c r="H6" i="53"/>
  <c r="L6" i="53"/>
  <c r="H11" i="43"/>
  <c r="E100" i="11"/>
  <c r="E102" i="11"/>
  <c r="G67" i="38"/>
  <c r="K42" i="47"/>
  <c r="J63" i="25"/>
  <c r="D42" i="47"/>
  <c r="M28" i="33"/>
  <c r="H18" i="44"/>
  <c r="G18" i="44"/>
  <c r="E85" i="12"/>
  <c r="F8" i="17"/>
  <c r="I8" i="17"/>
  <c r="H20" i="58"/>
  <c r="H17" i="21"/>
  <c r="H18" i="21" s="1"/>
  <c r="G26" i="52"/>
  <c r="AJ6" i="58"/>
  <c r="AK6" i="58" s="1"/>
  <c r="D7" i="58"/>
  <c r="R64" i="25"/>
  <c r="G13" i="33"/>
  <c r="AL6" i="58"/>
  <c r="AM6" i="58" s="1"/>
  <c r="H68" i="47"/>
  <c r="P11" i="53"/>
  <c r="AR6" i="58"/>
  <c r="AP6" i="58"/>
  <c r="AQ6" i="58" s="1"/>
  <c r="V33" i="58"/>
  <c r="AA33" i="58" s="1"/>
  <c r="D5" i="58"/>
  <c r="H58" i="47"/>
  <c r="E61" i="47"/>
  <c r="H60" i="47"/>
  <c r="AD24" i="58"/>
  <c r="D38" i="53"/>
  <c r="F38" i="53" s="1"/>
  <c r="R48" i="36"/>
  <c r="V48" i="36" s="1"/>
  <c r="AC12" i="5"/>
  <c r="J34" i="18"/>
  <c r="G26" i="9"/>
  <c r="K22" i="9"/>
  <c r="M21" i="9"/>
  <c r="U21" i="9" s="1"/>
  <c r="G30" i="52"/>
  <c r="H14" i="41"/>
  <c r="F18" i="41"/>
  <c r="H24" i="43"/>
  <c r="G19" i="43"/>
  <c r="L27" i="33"/>
  <c r="G28" i="44"/>
  <c r="C76" i="12"/>
  <c r="E88" i="12" s="1"/>
  <c r="H55" i="21"/>
  <c r="H56" i="21" s="1"/>
  <c r="F55" i="21"/>
  <c r="L55" i="21"/>
  <c r="L56" i="21" s="1"/>
  <c r="K55" i="21"/>
  <c r="K56" i="21" s="1"/>
  <c r="K60" i="21" s="1"/>
  <c r="C57" i="21"/>
  <c r="E37" i="18"/>
  <c r="L37" i="18" s="1"/>
  <c r="D50" i="18"/>
  <c r="D51" i="18" s="1"/>
  <c r="E42" i="18"/>
  <c r="L42" i="18" s="1"/>
  <c r="P42" i="18"/>
  <c r="O42" i="18"/>
  <c r="P40" i="18"/>
  <c r="O5" i="18"/>
  <c r="C40" i="2"/>
  <c r="C42" i="2"/>
  <c r="C38" i="2"/>
  <c r="L66" i="19"/>
  <c r="L67" i="19" s="1"/>
  <c r="H27" i="43"/>
  <c r="G27" i="43"/>
  <c r="I10" i="5"/>
  <c r="J42" i="19"/>
  <c r="J43" i="19" s="1"/>
  <c r="J47" i="19" s="1"/>
  <c r="P11" i="18"/>
  <c r="O11" i="18"/>
  <c r="M64" i="25"/>
  <c r="M41" i="25"/>
  <c r="G21" i="52"/>
  <c r="L21" i="9"/>
  <c r="N21" i="9" s="1"/>
  <c r="V21" i="9" s="1"/>
  <c r="G21" i="9"/>
  <c r="T47" i="55"/>
  <c r="H78" i="55"/>
  <c r="H7" i="43"/>
  <c r="H40" i="44"/>
  <c r="F42" i="44"/>
  <c r="H42" i="44" s="1"/>
  <c r="F65" i="49"/>
  <c r="AK29" i="6"/>
  <c r="Y32" i="5"/>
  <c r="E63" i="47"/>
  <c r="AE7" i="61"/>
  <c r="H62" i="47"/>
  <c r="E93" i="63"/>
  <c r="E99" i="63"/>
  <c r="I15" i="24"/>
  <c r="K13" i="24"/>
  <c r="K14" i="24"/>
  <c r="U32" i="5"/>
  <c r="AF36" i="5"/>
  <c r="AB32" i="5"/>
  <c r="AL29" i="6"/>
  <c r="K6" i="24"/>
  <c r="AF32" i="5"/>
  <c r="AE36" i="5"/>
  <c r="K27" i="24"/>
  <c r="AG32" i="5"/>
  <c r="T36" i="5"/>
  <c r="T32" i="5"/>
  <c r="D90" i="54" s="1"/>
  <c r="AC36" i="5"/>
  <c r="AQ29" i="6"/>
  <c r="K5" i="24"/>
  <c r="K24" i="24"/>
  <c r="AB36" i="5"/>
  <c r="AE32" i="5"/>
  <c r="AH32" i="5"/>
  <c r="U36" i="5"/>
  <c r="AC29" i="6"/>
  <c r="F92" i="54" s="1"/>
  <c r="K9" i="24"/>
  <c r="K23" i="24"/>
  <c r="AA32" i="5"/>
  <c r="AD32" i="5"/>
  <c r="AC32" i="5"/>
  <c r="AD36" i="5"/>
  <c r="AG36" i="5"/>
  <c r="Z32" i="5"/>
  <c r="AA36" i="5"/>
  <c r="K11" i="24"/>
  <c r="AB22" i="9"/>
  <c r="AB23" i="9"/>
  <c r="AB24" i="9" s="1"/>
  <c r="AB25" i="9" s="1"/>
  <c r="AB26" i="9" s="1"/>
  <c r="AB27" i="9" s="1"/>
  <c r="AB28" i="9" s="1"/>
  <c r="AB29" i="9" s="1"/>
  <c r="AB30" i="9" s="1"/>
  <c r="AB31" i="9" s="1"/>
  <c r="AB32" i="9" s="1"/>
  <c r="AB33" i="9" s="1"/>
  <c r="AB34" i="9" s="1"/>
  <c r="AB35" i="9" s="1"/>
  <c r="AB36" i="9" s="1"/>
  <c r="AB37" i="9" s="1"/>
  <c r="AB38" i="9" s="1"/>
  <c r="AB39" i="9" s="1"/>
  <c r="AB40" i="9" s="1"/>
  <c r="AB41" i="9" s="1"/>
  <c r="AB42" i="9" s="1"/>
  <c r="AB43" i="9" s="1"/>
  <c r="AB44" i="9" s="1"/>
  <c r="AB45" i="9" s="1"/>
  <c r="J58" i="21"/>
  <c r="K43" i="21"/>
  <c r="K44" i="21" s="1"/>
  <c r="K48" i="21" s="1"/>
  <c r="F43" i="21"/>
  <c r="F44" i="21" s="1"/>
  <c r="D23" i="18"/>
  <c r="D24" i="18" s="1"/>
  <c r="E9" i="18"/>
  <c r="E15" i="18"/>
  <c r="H15" i="18" s="1"/>
  <c r="P15" i="18"/>
  <c r="D75" i="22"/>
  <c r="E75" i="22" s="1"/>
  <c r="H58" i="21"/>
  <c r="D5" i="2"/>
  <c r="C6" i="2"/>
  <c r="C71" i="19"/>
  <c r="C72" i="19" s="1"/>
  <c r="O12" i="18"/>
  <c r="E104" i="10"/>
  <c r="H30" i="21"/>
  <c r="H31" i="21" s="1"/>
  <c r="L30" i="21"/>
  <c r="L31" i="21" s="1"/>
  <c r="C68" i="19"/>
  <c r="J66" i="19"/>
  <c r="J67" i="19" s="1"/>
  <c r="E4" i="18"/>
  <c r="R6" i="18"/>
  <c r="P6" i="18"/>
  <c r="F263" i="24"/>
  <c r="F266" i="24" s="1"/>
  <c r="H27" i="52"/>
  <c r="G27" i="52"/>
  <c r="G25" i="52"/>
  <c r="H25" i="52"/>
  <c r="AA30" i="5"/>
  <c r="D6" i="58"/>
  <c r="J10" i="60"/>
  <c r="F22" i="67"/>
  <c r="P12" i="53"/>
  <c r="Q43" i="58"/>
  <c r="E39" i="5"/>
  <c r="J39" i="5" s="1"/>
  <c r="H61" i="47"/>
  <c r="H66" i="47"/>
  <c r="H65" i="47"/>
  <c r="N34" i="63"/>
  <c r="T34" i="63" s="1"/>
  <c r="E17" i="38"/>
  <c r="E19" i="38"/>
  <c r="E18" i="38"/>
  <c r="H7" i="5"/>
  <c r="S29" i="6"/>
  <c r="H34" i="20"/>
  <c r="H15" i="20"/>
  <c r="G32" i="6"/>
  <c r="E37" i="5"/>
  <c r="AO29" i="6"/>
  <c r="D11" i="58"/>
  <c r="G235" i="24"/>
  <c r="K14" i="5"/>
  <c r="H17" i="20"/>
  <c r="H23" i="20"/>
  <c r="H25" i="20"/>
  <c r="H28" i="20"/>
  <c r="H29" i="20"/>
  <c r="I14" i="5"/>
  <c r="AM27" i="6"/>
  <c r="K18" i="5"/>
  <c r="H34" i="49"/>
  <c r="W35" i="5"/>
  <c r="D104" i="54" s="1"/>
  <c r="O116" i="54"/>
  <c r="D24" i="24"/>
  <c r="D59" i="24" s="1"/>
  <c r="C91" i="24" s="1"/>
  <c r="H32" i="49"/>
  <c r="K12" i="5"/>
  <c r="B25" i="24"/>
  <c r="I20" i="5"/>
  <c r="H26" i="49"/>
  <c r="O42" i="54"/>
  <c r="K135" i="24"/>
  <c r="K49" i="24"/>
  <c r="Q14" i="5"/>
  <c r="AJ14" i="5" s="1"/>
  <c r="AK14" i="5" s="1"/>
  <c r="K151" i="24"/>
  <c r="A72" i="10"/>
  <c r="M35" i="5"/>
  <c r="N35" i="5" s="1"/>
  <c r="K22" i="5"/>
  <c r="K61" i="24"/>
  <c r="I6" i="5"/>
  <c r="K48" i="24"/>
  <c r="E20" i="38"/>
  <c r="K10" i="5"/>
  <c r="K136" i="24"/>
  <c r="K54" i="24"/>
  <c r="C55" i="10"/>
  <c r="AE34" i="58"/>
  <c r="O114" i="54"/>
  <c r="AI27" i="6"/>
  <c r="AI6" i="6"/>
  <c r="J31" i="53"/>
  <c r="M31" i="53"/>
  <c r="N31" i="53" s="1"/>
  <c r="P35" i="53"/>
  <c r="P29" i="53"/>
  <c r="P23" i="53"/>
  <c r="C26" i="24"/>
  <c r="P72" i="63"/>
  <c r="Q72" i="63" s="1"/>
  <c r="AA16" i="63"/>
  <c r="AA11" i="63"/>
  <c r="J72" i="63"/>
  <c r="K72" i="63" s="1"/>
  <c r="T70" i="63"/>
  <c r="V82" i="63" s="1"/>
  <c r="X31" i="63"/>
  <c r="X23" i="63"/>
  <c r="X25" i="63"/>
  <c r="R31" i="63"/>
  <c r="L31" i="61"/>
  <c r="H70" i="63"/>
  <c r="J82" i="63" s="1"/>
  <c r="D25" i="63"/>
  <c r="F25" i="63"/>
  <c r="F23" i="63"/>
  <c r="F24" i="63"/>
  <c r="F31" i="61"/>
  <c r="H70" i="61"/>
  <c r="J82" i="61" s="1"/>
  <c r="J20" i="21"/>
  <c r="K10" i="55"/>
  <c r="L23" i="55"/>
  <c r="M23" i="55" s="1"/>
  <c r="N23" i="55" s="1"/>
  <c r="R36" i="55"/>
  <c r="P22" i="55"/>
  <c r="Q22" i="55" s="1"/>
  <c r="R22" i="55" s="1"/>
  <c r="P7" i="55"/>
  <c r="Q7" i="55"/>
  <c r="R7" i="55" s="1"/>
  <c r="O24" i="55"/>
  <c r="P24" i="55" s="1"/>
  <c r="Q24" i="55" s="1"/>
  <c r="Z22" i="9"/>
  <c r="Z23" i="9" s="1"/>
  <c r="Z24" i="9" s="1"/>
  <c r="Z25" i="9" s="1"/>
  <c r="Z26" i="9" s="1"/>
  <c r="Z27" i="9" s="1"/>
  <c r="Z28" i="9" s="1"/>
  <c r="Z29" i="9" s="1"/>
  <c r="Z30" i="9" s="1"/>
  <c r="Z31" i="9" s="1"/>
  <c r="Z32" i="9" s="1"/>
  <c r="Z33" i="9" s="1"/>
  <c r="Z34" i="9" s="1"/>
  <c r="Z35" i="9" s="1"/>
  <c r="Z36" i="9" s="1"/>
  <c r="Z37" i="9" s="1"/>
  <c r="Z38" i="9" s="1"/>
  <c r="Z39" i="9" s="1"/>
  <c r="Z40" i="9" s="1"/>
  <c r="Z41" i="9" s="1"/>
  <c r="E104" i="11"/>
  <c r="E96" i="11"/>
  <c r="E107" i="11"/>
  <c r="E106" i="11"/>
  <c r="K45" i="21"/>
  <c r="K47" i="21" s="1"/>
  <c r="G66" i="19"/>
  <c r="G67" i="19" s="1"/>
  <c r="G68" i="19" s="1"/>
  <c r="G70" i="19" s="1"/>
  <c r="L16" i="19"/>
  <c r="L17" i="19" s="1"/>
  <c r="L18" i="19" s="1"/>
  <c r="L20" i="19" s="1"/>
  <c r="E38" i="18"/>
  <c r="E7" i="18"/>
  <c r="H7" i="18" s="1"/>
  <c r="E8" i="18"/>
  <c r="H8" i="18" s="1"/>
  <c r="F16" i="19"/>
  <c r="F17" i="19" s="1"/>
  <c r="F22" i="19" s="1"/>
  <c r="G30" i="21"/>
  <c r="I16" i="19"/>
  <c r="R9" i="28"/>
  <c r="R10" i="28" s="1"/>
  <c r="E121" i="48"/>
  <c r="E114" i="48"/>
  <c r="E111" i="48"/>
  <c r="E117" i="48"/>
  <c r="E118" i="48"/>
  <c r="N9" i="28"/>
  <c r="N10" i="28" s="1"/>
  <c r="C32" i="21"/>
  <c r="E121" i="49"/>
  <c r="E113" i="49"/>
  <c r="E114" i="49"/>
  <c r="E119" i="49"/>
  <c r="E112" i="49"/>
  <c r="E120" i="49"/>
  <c r="E116" i="49"/>
  <c r="E81" i="41"/>
  <c r="O40" i="54"/>
  <c r="J12" i="6"/>
  <c r="Q12" i="6" s="1"/>
  <c r="M12" i="6"/>
  <c r="Z12" i="6" s="1"/>
  <c r="AS12" i="6" s="1"/>
  <c r="P12" i="6"/>
  <c r="P8" i="6"/>
  <c r="O19" i="54"/>
  <c r="M20" i="6"/>
  <c r="Z20" i="6" s="1"/>
  <c r="J20" i="6"/>
  <c r="Q20" i="6" s="1"/>
  <c r="P20" i="6"/>
  <c r="J17" i="6"/>
  <c r="Q17" i="6" s="1"/>
  <c r="M16" i="6"/>
  <c r="Z16" i="6" s="1"/>
  <c r="J16" i="6"/>
  <c r="Q16" i="6" s="1"/>
  <c r="P16" i="6"/>
  <c r="M13" i="6"/>
  <c r="Z13" i="6" s="1"/>
  <c r="BD13" i="6" s="1"/>
  <c r="M18" i="6"/>
  <c r="Z18" i="6" s="1"/>
  <c r="BD18" i="6" s="1"/>
  <c r="M29" i="6"/>
  <c r="AD33" i="58"/>
  <c r="Q40" i="58"/>
  <c r="S33" i="58"/>
  <c r="T38" i="58"/>
  <c r="B68" i="38"/>
  <c r="AI13" i="58"/>
  <c r="AI24" i="58"/>
  <c r="AE24" i="58"/>
  <c r="M16" i="58"/>
  <c r="AA16" i="58" s="1"/>
  <c r="AT16" i="58" s="1"/>
  <c r="AU16" i="58" s="1"/>
  <c r="H63" i="47"/>
  <c r="M14" i="6"/>
  <c r="Z14" i="6" s="1"/>
  <c r="BD14" i="6" s="1"/>
  <c r="J14" i="6"/>
  <c r="Q14" i="6" s="1"/>
  <c r="J6" i="58"/>
  <c r="Q6" i="58" s="1"/>
  <c r="M9" i="58"/>
  <c r="AA9" i="58" s="1"/>
  <c r="BE9" i="58" s="1"/>
  <c r="V43" i="58"/>
  <c r="AA43" i="58" s="1"/>
  <c r="S43" i="58"/>
  <c r="AQ34" i="58"/>
  <c r="C115" i="24"/>
  <c r="C129" i="24" s="1"/>
  <c r="Z36" i="5"/>
  <c r="U38" i="58"/>
  <c r="S38" i="58"/>
  <c r="U33" i="58"/>
  <c r="AN33" i="58"/>
  <c r="D7" i="6"/>
  <c r="E95" i="63"/>
  <c r="E102" i="63"/>
  <c r="E91" i="63"/>
  <c r="J14" i="58"/>
  <c r="Q14" i="58" s="1"/>
  <c r="H9" i="61"/>
  <c r="N9" i="61"/>
  <c r="T9" i="61" s="1"/>
  <c r="AA9" i="63"/>
  <c r="AF8" i="63"/>
  <c r="AD6" i="6"/>
  <c r="M7" i="64"/>
  <c r="P12" i="64"/>
  <c r="P17" i="64"/>
  <c r="H25" i="22"/>
  <c r="H32" i="22"/>
  <c r="AC31" i="6"/>
  <c r="AD31" i="6"/>
  <c r="Y36" i="5"/>
  <c r="AP31" i="6"/>
  <c r="AF31" i="6"/>
  <c r="AH31" i="6"/>
  <c r="AN31" i="6"/>
  <c r="Y35" i="5"/>
  <c r="AE35" i="5"/>
  <c r="AH35" i="5"/>
  <c r="I19" i="55"/>
  <c r="J19" i="55" s="1"/>
  <c r="K19" i="55" s="1"/>
  <c r="L19" i="55" s="1"/>
  <c r="M19" i="55" s="1"/>
  <c r="N19" i="55" s="1"/>
  <c r="O19" i="55" s="1"/>
  <c r="P19" i="55" s="1"/>
  <c r="Q19" i="55" s="1"/>
  <c r="R19" i="55" s="1"/>
  <c r="S19" i="55" s="1"/>
  <c r="I64" i="25"/>
  <c r="J64" i="25"/>
  <c r="J65" i="25" s="1"/>
  <c r="I27" i="25"/>
  <c r="I42" i="25" s="1"/>
  <c r="H18" i="55"/>
  <c r="H64" i="25"/>
  <c r="H27" i="25"/>
  <c r="T26" i="25"/>
  <c r="F114" i="54"/>
  <c r="E22" i="2"/>
  <c r="C25" i="2"/>
  <c r="H23" i="21"/>
  <c r="AL8" i="6"/>
  <c r="AQ18" i="58"/>
  <c r="L75" i="53"/>
  <c r="M75" i="53" s="1"/>
  <c r="B111" i="49"/>
  <c r="L111" i="49" s="1"/>
  <c r="A110" i="49"/>
  <c r="B110" i="49" s="1"/>
  <c r="AN8" i="6"/>
  <c r="AM18" i="58"/>
  <c r="AF12" i="36"/>
  <c r="AF16" i="36"/>
  <c r="S21" i="9"/>
  <c r="U12" i="36"/>
  <c r="X12" i="36" s="1"/>
  <c r="AG12" i="36"/>
  <c r="W12" i="36"/>
  <c r="R12" i="36"/>
  <c r="V12" i="36" s="1"/>
  <c r="J37" i="18"/>
  <c r="F56" i="21"/>
  <c r="F58" i="21" s="1"/>
  <c r="G9" i="41"/>
  <c r="G17" i="41"/>
  <c r="K23" i="9"/>
  <c r="Q23" i="9" s="1"/>
  <c r="M22" i="9"/>
  <c r="U22" i="9" s="1"/>
  <c r="Q22" i="9"/>
  <c r="S22" i="9" s="1"/>
  <c r="H37" i="18"/>
  <c r="N37" i="18"/>
  <c r="T45" i="55"/>
  <c r="H4" i="18"/>
  <c r="N4" i="18"/>
  <c r="J4" i="18"/>
  <c r="L4" i="18"/>
  <c r="AH39" i="5"/>
  <c r="X22" i="68"/>
  <c r="H33" i="21"/>
  <c r="N15" i="18"/>
  <c r="J15" i="18"/>
  <c r="L15" i="18"/>
  <c r="J9" i="18"/>
  <c r="X22" i="66"/>
  <c r="L22" i="69"/>
  <c r="F31" i="63"/>
  <c r="R31" i="61"/>
  <c r="X31" i="61"/>
  <c r="F29" i="61"/>
  <c r="L38" i="18"/>
  <c r="J38" i="18"/>
  <c r="E95" i="41"/>
  <c r="E96" i="41"/>
  <c r="E103" i="41"/>
  <c r="M40" i="58"/>
  <c r="V40" i="58"/>
  <c r="AA40" i="58" s="1"/>
  <c r="J7" i="18"/>
  <c r="L10" i="55"/>
  <c r="M10" i="55" s="1"/>
  <c r="N10" i="55" s="1"/>
  <c r="O10" i="55" s="1"/>
  <c r="P10" i="55" s="1"/>
  <c r="H24" i="63"/>
  <c r="N24" i="63" s="1"/>
  <c r="T24" i="63" s="1"/>
  <c r="G31" i="21"/>
  <c r="G32" i="21" s="1"/>
  <c r="AG16" i="36"/>
  <c r="V32" i="6"/>
  <c r="V27" i="58"/>
  <c r="AA27" i="58" s="1"/>
  <c r="C112" i="49"/>
  <c r="K24" i="9"/>
  <c r="Q24" i="9" s="1"/>
  <c r="F46" i="21"/>
  <c r="F48" i="21"/>
  <c r="X53" i="68"/>
  <c r="X53" i="66"/>
  <c r="L53" i="68"/>
  <c r="R53" i="68"/>
  <c r="L53" i="69"/>
  <c r="H25" i="63"/>
  <c r="N25" i="63" s="1"/>
  <c r="T25" i="63" s="1"/>
  <c r="W16" i="36"/>
  <c r="F53" i="67"/>
  <c r="F52" i="67"/>
  <c r="F53" i="68"/>
  <c r="F52" i="68"/>
  <c r="L33" i="69"/>
  <c r="G34" i="21"/>
  <c r="H26" i="63"/>
  <c r="N26" i="63" s="1"/>
  <c r="T26" i="63" s="1"/>
  <c r="H27" i="63"/>
  <c r="N27" i="63" s="1"/>
  <c r="T27" i="63" s="1"/>
  <c r="X52" i="66"/>
  <c r="L52" i="68"/>
  <c r="X52" i="68"/>
  <c r="L52" i="69"/>
  <c r="X50" i="66"/>
  <c r="F50" i="68"/>
  <c r="X50" i="68"/>
  <c r="L50" i="69"/>
  <c r="F50" i="67"/>
  <c r="L50" i="68"/>
  <c r="R50" i="68"/>
  <c r="X51" i="68"/>
  <c r="F51" i="67"/>
  <c r="L51" i="69"/>
  <c r="L35" i="69"/>
  <c r="X51" i="66"/>
  <c r="E33" i="68"/>
  <c r="F33" i="68"/>
  <c r="X33" i="68"/>
  <c r="L33" i="68"/>
  <c r="R33" i="68"/>
  <c r="K33" i="67"/>
  <c r="L33" i="67"/>
  <c r="W33" i="67"/>
  <c r="Q33" i="67"/>
  <c r="E33" i="67"/>
  <c r="F33" i="67"/>
  <c r="X35" i="68"/>
  <c r="L35" i="67"/>
  <c r="F35" i="67"/>
  <c r="R35" i="68"/>
  <c r="L35" i="68"/>
  <c r="F35" i="68"/>
  <c r="D20" i="54" l="1"/>
  <c r="D48" i="54" s="1"/>
  <c r="D73" i="54" s="1"/>
  <c r="B8" i="26"/>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M6" i="68"/>
  <c r="Y6" i="68"/>
  <c r="G6" i="68"/>
  <c r="S6" i="68"/>
  <c r="Y6" i="69"/>
  <c r="S6" i="69"/>
  <c r="M6" i="69"/>
  <c r="G6" i="69"/>
  <c r="Q33" i="68"/>
  <c r="W33" i="68"/>
  <c r="AC31" i="63"/>
  <c r="AH31" i="63" s="1"/>
  <c r="AI31" i="63" s="1"/>
  <c r="Y6" i="63"/>
  <c r="G6" i="63"/>
  <c r="M6" i="63"/>
  <c r="S6" i="63"/>
  <c r="R5" i="67"/>
  <c r="S6" i="67"/>
  <c r="G6" i="67"/>
  <c r="Y6" i="67"/>
  <c r="M6" i="67"/>
  <c r="H25" i="13"/>
  <c r="B9" i="54"/>
  <c r="C116" i="24"/>
  <c r="G69" i="38"/>
  <c r="T32" i="58"/>
  <c r="G33" i="6"/>
  <c r="AO33" i="6" s="1"/>
  <c r="G6" i="66"/>
  <c r="Y6" i="66"/>
  <c r="S6" i="66"/>
  <c r="M6" i="66"/>
  <c r="Q9" i="61"/>
  <c r="W9" i="61" s="1"/>
  <c r="X9" i="61" s="1"/>
  <c r="AA12" i="69"/>
  <c r="AA13" i="61"/>
  <c r="I10" i="24"/>
  <c r="S6" i="61"/>
  <c r="G6" i="61"/>
  <c r="M6" i="61"/>
  <c r="AA29" i="61"/>
  <c r="R9" i="61"/>
  <c r="R61" i="61" s="1"/>
  <c r="R8" i="61"/>
  <c r="L8" i="61"/>
  <c r="L61" i="61" s="1"/>
  <c r="P23" i="61"/>
  <c r="R23" i="61" s="1"/>
  <c r="P24" i="61"/>
  <c r="J23" i="61"/>
  <c r="J24" i="61"/>
  <c r="L24" i="61" s="1"/>
  <c r="D23" i="61"/>
  <c r="F23" i="61" s="1"/>
  <c r="D24" i="61"/>
  <c r="V23" i="61"/>
  <c r="X23" i="61" s="1"/>
  <c r="M6" i="54"/>
  <c r="H11" i="14"/>
  <c r="H13" i="14"/>
  <c r="F5" i="63"/>
  <c r="F68" i="54"/>
  <c r="J68" i="54" s="1"/>
  <c r="H29" i="14"/>
  <c r="AA5" i="63"/>
  <c r="P2" i="63" s="1"/>
  <c r="H35" i="14"/>
  <c r="E16" i="38"/>
  <c r="E15" i="38"/>
  <c r="D72" i="61"/>
  <c r="K39" i="5"/>
  <c r="D50" i="43"/>
  <c r="F50" i="43" s="1"/>
  <c r="G50" i="43" s="1"/>
  <c r="AI34" i="6"/>
  <c r="C117" i="24"/>
  <c r="C131" i="24" s="1"/>
  <c r="C145" i="24" s="1"/>
  <c r="B70" i="38"/>
  <c r="B71" i="38" s="1"/>
  <c r="M34" i="6"/>
  <c r="Z39" i="5"/>
  <c r="R5" i="63"/>
  <c r="L5" i="61"/>
  <c r="H14" i="15"/>
  <c r="C51" i="63"/>
  <c r="H51" i="63" s="1"/>
  <c r="D8" i="24"/>
  <c r="D8" i="70" s="1"/>
  <c r="C54" i="10"/>
  <c r="A5" i="12"/>
  <c r="A20" i="63"/>
  <c r="H30" i="13"/>
  <c r="M9" i="54"/>
  <c r="H35" i="13"/>
  <c r="H14" i="13"/>
  <c r="H14" i="48"/>
  <c r="C24" i="24"/>
  <c r="H16" i="48"/>
  <c r="F33" i="48"/>
  <c r="D37" i="48" s="1"/>
  <c r="F37" i="48" s="1"/>
  <c r="H8" i="48"/>
  <c r="H22" i="48"/>
  <c r="H30" i="48"/>
  <c r="B19" i="54"/>
  <c r="H32" i="48"/>
  <c r="I4" i="64"/>
  <c r="C50" i="61"/>
  <c r="N50" i="61" s="1"/>
  <c r="C51" i="61"/>
  <c r="T51" i="61" s="1"/>
  <c r="AR5" i="58"/>
  <c r="AJ5" i="58"/>
  <c r="AK5" i="58" s="1"/>
  <c r="AA9" i="61"/>
  <c r="AA27" i="61"/>
  <c r="Y55" i="36"/>
  <c r="H21" i="40"/>
  <c r="C35" i="40" s="1"/>
  <c r="E98" i="24"/>
  <c r="G31" i="40"/>
  <c r="R11" i="36"/>
  <c r="V11" i="36" s="1"/>
  <c r="H53" i="36"/>
  <c r="I39" i="36" s="1"/>
  <c r="Z31" i="5"/>
  <c r="AM5" i="6"/>
  <c r="AN5" i="6" s="1"/>
  <c r="AI5" i="6"/>
  <c r="AJ5" i="6" s="1"/>
  <c r="AA34" i="5"/>
  <c r="K36" i="5"/>
  <c r="D105" i="54" s="1"/>
  <c r="J23" i="21"/>
  <c r="Y38" i="5"/>
  <c r="W38" i="5"/>
  <c r="J30" i="55"/>
  <c r="I31" i="55"/>
  <c r="AG34" i="58"/>
  <c r="R34" i="58"/>
  <c r="AD20" i="58"/>
  <c r="AE20" i="58" s="1"/>
  <c r="AI20" i="58" s="1"/>
  <c r="AG20" i="58"/>
  <c r="M30" i="53"/>
  <c r="J30" i="53"/>
  <c r="L27" i="53"/>
  <c r="N27" i="53" s="1"/>
  <c r="J27" i="53"/>
  <c r="L18" i="53"/>
  <c r="N18" i="53" s="1"/>
  <c r="J18" i="53"/>
  <c r="P18" i="53" s="1"/>
  <c r="J31" i="18"/>
  <c r="L31" i="18"/>
  <c r="H24" i="68"/>
  <c r="N24" i="68" s="1"/>
  <c r="T24" i="68" s="1"/>
  <c r="C25" i="68"/>
  <c r="C26" i="68" s="1"/>
  <c r="A20" i="69"/>
  <c r="A68" i="69"/>
  <c r="G36" i="21"/>
  <c r="AC38" i="5"/>
  <c r="N31" i="18"/>
  <c r="J42" i="47"/>
  <c r="P27" i="25"/>
  <c r="P42" i="25" s="1"/>
  <c r="I43" i="47"/>
  <c r="O64" i="25"/>
  <c r="O65" i="25" s="1"/>
  <c r="M63" i="25"/>
  <c r="M65" i="25" s="1"/>
  <c r="G42" i="47"/>
  <c r="E42" i="47"/>
  <c r="K63" i="25"/>
  <c r="H31" i="43"/>
  <c r="G31" i="43"/>
  <c r="D57" i="54"/>
  <c r="D79" i="54" s="1"/>
  <c r="B30" i="54"/>
  <c r="L28" i="33"/>
  <c r="E160" i="24" s="1"/>
  <c r="C192" i="24" s="1"/>
  <c r="B163" i="54" s="1"/>
  <c r="D163" i="54" s="1"/>
  <c r="F163" i="54" s="1"/>
  <c r="H163" i="54" s="1"/>
  <c r="J163" i="54" s="1"/>
  <c r="L163" i="54" s="1"/>
  <c r="F131" i="54"/>
  <c r="H28" i="43"/>
  <c r="G28" i="43"/>
  <c r="K23" i="33"/>
  <c r="E82" i="22"/>
  <c r="H48" i="22"/>
  <c r="D78" i="12"/>
  <c r="E78" i="12" s="1"/>
  <c r="S27" i="25"/>
  <c r="K137" i="24"/>
  <c r="K62" i="24"/>
  <c r="K141" i="24"/>
  <c r="E36" i="14"/>
  <c r="J36" i="14" s="1"/>
  <c r="H27" i="14"/>
  <c r="D74" i="49"/>
  <c r="E74" i="49" s="1"/>
  <c r="F18" i="49"/>
  <c r="H21" i="52"/>
  <c r="E22" i="52"/>
  <c r="F22" i="52" s="1"/>
  <c r="F32" i="52" s="1"/>
  <c r="H32" i="52" s="1"/>
  <c r="K19" i="6"/>
  <c r="AQ19" i="6"/>
  <c r="AM19" i="6"/>
  <c r="AN19" i="6" s="1"/>
  <c r="AO19" i="6"/>
  <c r="AP19" i="6" s="1"/>
  <c r="K15" i="6"/>
  <c r="AK15" i="6"/>
  <c r="AL15" i="6" s="1"/>
  <c r="AQ15" i="6"/>
  <c r="AI15" i="6"/>
  <c r="AJ15" i="6" s="1"/>
  <c r="AM15" i="6"/>
  <c r="AN15" i="6" s="1"/>
  <c r="K11" i="6"/>
  <c r="AO11" i="6"/>
  <c r="AP11" i="6" s="1"/>
  <c r="AK11" i="6"/>
  <c r="AL11" i="6" s="1"/>
  <c r="AQ11" i="6"/>
  <c r="AI11" i="6"/>
  <c r="AJ11" i="6" s="1"/>
  <c r="K7" i="6"/>
  <c r="AM7" i="6"/>
  <c r="AN7" i="6" s="1"/>
  <c r="AN21" i="6" s="1"/>
  <c r="K17" i="58"/>
  <c r="AR17" i="58"/>
  <c r="AL17" i="58"/>
  <c r="AN17" i="58"/>
  <c r="AO17" i="58" s="1"/>
  <c r="AP17" i="58"/>
  <c r="K13" i="58"/>
  <c r="AJ13" i="58"/>
  <c r="AK13" i="58" s="1"/>
  <c r="AR13" i="58"/>
  <c r="AN13" i="58"/>
  <c r="AO13" i="58" s="1"/>
  <c r="K9" i="58"/>
  <c r="AL9" i="58"/>
  <c r="AM9" i="58" s="1"/>
  <c r="AR9" i="58"/>
  <c r="AN9" i="58"/>
  <c r="AO9" i="58" s="1"/>
  <c r="AP9" i="58"/>
  <c r="AQ9" i="58" s="1"/>
  <c r="AJ53" i="36"/>
  <c r="AE53" i="36"/>
  <c r="F60" i="36" s="1"/>
  <c r="J78" i="54" s="1"/>
  <c r="AB17" i="36"/>
  <c r="AA50" i="36"/>
  <c r="AB50" i="36"/>
  <c r="C12" i="24"/>
  <c r="C12" i="70" s="1"/>
  <c r="B12" i="24"/>
  <c r="B12" i="70" s="1"/>
  <c r="G33" i="21"/>
  <c r="F233" i="24"/>
  <c r="N13" i="33"/>
  <c r="P13" i="33"/>
  <c r="AR24" i="58"/>
  <c r="I66" i="19"/>
  <c r="I67" i="19" s="1"/>
  <c r="I69" i="19" s="1"/>
  <c r="H66" i="19"/>
  <c r="H67" i="19" s="1"/>
  <c r="G54" i="19"/>
  <c r="G55" i="19" s="1"/>
  <c r="G57" i="19" s="1"/>
  <c r="C56" i="19"/>
  <c r="H54" i="19"/>
  <c r="H55" i="19" s="1"/>
  <c r="H57" i="19" s="1"/>
  <c r="F54" i="19"/>
  <c r="C44" i="19"/>
  <c r="I42" i="19"/>
  <c r="F29" i="19"/>
  <c r="M29" i="19" s="1"/>
  <c r="I29" i="19"/>
  <c r="G16" i="19"/>
  <c r="J16" i="19"/>
  <c r="J17" i="19" s="1"/>
  <c r="J18" i="19" s="1"/>
  <c r="J20" i="19" s="1"/>
  <c r="C18" i="19"/>
  <c r="C80" i="19" s="1"/>
  <c r="P8" i="18"/>
  <c r="O8" i="18"/>
  <c r="E97" i="11"/>
  <c r="E103" i="11"/>
  <c r="E101" i="11"/>
  <c r="E105" i="11"/>
  <c r="E95" i="11"/>
  <c r="U21" i="6"/>
  <c r="J6" i="5"/>
  <c r="K6" i="5"/>
  <c r="K31" i="5" s="1"/>
  <c r="G8" i="63"/>
  <c r="G10" i="63"/>
  <c r="A93" i="63"/>
  <c r="A95" i="63"/>
  <c r="A96" i="63" s="1"/>
  <c r="B96" i="63" s="1"/>
  <c r="A69" i="64"/>
  <c r="A68" i="64"/>
  <c r="H77" i="64"/>
  <c r="I89" i="64" s="1"/>
  <c r="R24" i="64"/>
  <c r="H24" i="61"/>
  <c r="N24" i="61" s="1"/>
  <c r="T24" i="61" s="1"/>
  <c r="C25" i="61"/>
  <c r="C24" i="67"/>
  <c r="C25" i="67" s="1"/>
  <c r="F62" i="38"/>
  <c r="T31" i="25"/>
  <c r="G65" i="38"/>
  <c r="G63" i="38"/>
  <c r="D56" i="15" s="1"/>
  <c r="AA10" i="68"/>
  <c r="F17" i="68"/>
  <c r="G14" i="68" s="1"/>
  <c r="L61" i="69"/>
  <c r="Q51" i="36"/>
  <c r="U51" i="36" s="1"/>
  <c r="X51" i="36" s="1"/>
  <c r="D74" i="17"/>
  <c r="E74" i="17" s="1"/>
  <c r="E40" i="18"/>
  <c r="E41" i="18"/>
  <c r="J41" i="18" s="1"/>
  <c r="F18" i="15"/>
  <c r="G10" i="33"/>
  <c r="G6" i="33"/>
  <c r="M19" i="6"/>
  <c r="Z19" i="6" s="1"/>
  <c r="BD19" i="6" s="1"/>
  <c r="BE19" i="6" s="1"/>
  <c r="J15" i="6"/>
  <c r="M11" i="6"/>
  <c r="J7" i="6"/>
  <c r="Q7" i="6" s="1"/>
  <c r="AA24" i="69"/>
  <c r="Q49" i="36"/>
  <c r="Q31" i="36"/>
  <c r="M10" i="5"/>
  <c r="C43" i="2"/>
  <c r="C48" i="2" s="1"/>
  <c r="B114" i="49"/>
  <c r="P6" i="64"/>
  <c r="P7" i="64" s="1"/>
  <c r="N33" i="53"/>
  <c r="P33" i="53" s="1"/>
  <c r="N15" i="53"/>
  <c r="P15" i="53" s="1"/>
  <c r="AB47" i="36"/>
  <c r="AB35" i="36"/>
  <c r="AB31" i="36"/>
  <c r="Q28" i="36"/>
  <c r="E96" i="24"/>
  <c r="G96" i="24" s="1"/>
  <c r="F75" i="54"/>
  <c r="J75" i="54" s="1"/>
  <c r="E94" i="24"/>
  <c r="G94" i="24" s="1"/>
  <c r="H79" i="64"/>
  <c r="I79" i="64" s="1"/>
  <c r="E82" i="53"/>
  <c r="J26" i="53"/>
  <c r="P26" i="53" s="1"/>
  <c r="P29" i="64"/>
  <c r="P19" i="64"/>
  <c r="P14" i="64"/>
  <c r="P13" i="64"/>
  <c r="P21" i="64"/>
  <c r="H111" i="54"/>
  <c r="G62" i="38"/>
  <c r="B80" i="38"/>
  <c r="B82" i="38" s="1"/>
  <c r="H15" i="17"/>
  <c r="AQ7" i="6"/>
  <c r="AI7" i="6"/>
  <c r="AJ7" i="6" s="1"/>
  <c r="AO7" i="6"/>
  <c r="AP7" i="6" s="1"/>
  <c r="AK7" i="6"/>
  <c r="AL7" i="6" s="1"/>
  <c r="AF27" i="5"/>
  <c r="AF31" i="5"/>
  <c r="U26" i="6"/>
  <c r="J23" i="64"/>
  <c r="J69" i="64" s="1"/>
  <c r="J70" i="64"/>
  <c r="P37" i="64"/>
  <c r="P33" i="64"/>
  <c r="T9" i="64"/>
  <c r="F70" i="64"/>
  <c r="E86" i="64"/>
  <c r="P52" i="64"/>
  <c r="S52" i="64" s="1"/>
  <c r="F95" i="24" s="1"/>
  <c r="G95" i="24" s="1"/>
  <c r="E79" i="64"/>
  <c r="F79" i="64" s="1"/>
  <c r="P11" i="64"/>
  <c r="C207" i="24"/>
  <c r="B178" i="54" s="1"/>
  <c r="B1" i="24"/>
  <c r="E204" i="24"/>
  <c r="B140" i="54"/>
  <c r="D140" i="54" s="1"/>
  <c r="E153" i="24"/>
  <c r="B1" i="25"/>
  <c r="E203" i="24"/>
  <c r="G99" i="24"/>
  <c r="C203" i="24"/>
  <c r="B174" i="54" s="1"/>
  <c r="D174" i="54" s="1"/>
  <c r="F174" i="54" s="1"/>
  <c r="H174" i="54" s="1"/>
  <c r="J174" i="54" s="1"/>
  <c r="L174" i="54" s="1"/>
  <c r="E207" i="24"/>
  <c r="E206" i="24"/>
  <c r="G27" i="24"/>
  <c r="L27" i="24" s="1"/>
  <c r="E205" i="24"/>
  <c r="P18" i="64"/>
  <c r="L79" i="64"/>
  <c r="M79" i="64" s="1"/>
  <c r="P30" i="64"/>
  <c r="P10" i="64"/>
  <c r="R10" i="64" s="1"/>
  <c r="N70" i="64"/>
  <c r="N23" i="64"/>
  <c r="L25" i="64" s="1"/>
  <c r="P16" i="64"/>
  <c r="P15" i="64"/>
  <c r="P20" i="64"/>
  <c r="P38" i="64"/>
  <c r="F23" i="64"/>
  <c r="G14" i="64" s="1"/>
  <c r="P22" i="64"/>
  <c r="AF37" i="5"/>
  <c r="L166" i="54"/>
  <c r="AM10" i="6"/>
  <c r="AN10" i="6" s="1"/>
  <c r="AO10" i="6"/>
  <c r="AP10" i="6" s="1"/>
  <c r="AQ10" i="6"/>
  <c r="AK10" i="6"/>
  <c r="AL10" i="6" s="1"/>
  <c r="AI10" i="6"/>
  <c r="AJ10" i="6" s="1"/>
  <c r="P8" i="53"/>
  <c r="AC11" i="36"/>
  <c r="AD11" i="36" s="1"/>
  <c r="AI11" i="36"/>
  <c r="U45" i="58"/>
  <c r="S45" i="58"/>
  <c r="M45" i="58"/>
  <c r="V45" i="58"/>
  <c r="AA45" i="58" s="1"/>
  <c r="Q45" i="58"/>
  <c r="F18" i="19"/>
  <c r="F20" i="19" s="1"/>
  <c r="I21" i="40"/>
  <c r="I31" i="40" s="1"/>
  <c r="H50" i="40" s="1"/>
  <c r="T16" i="55"/>
  <c r="S23" i="9"/>
  <c r="I31" i="36"/>
  <c r="I35" i="36"/>
  <c r="AO18" i="58"/>
  <c r="AH30" i="6"/>
  <c r="AQ30" i="6"/>
  <c r="AL34" i="58"/>
  <c r="AD34" i="58"/>
  <c r="J12" i="58"/>
  <c r="Q12" i="58" s="1"/>
  <c r="L12" i="58" s="1"/>
  <c r="R21" i="9"/>
  <c r="T21" i="9" s="1"/>
  <c r="AM34" i="58"/>
  <c r="V34" i="58"/>
  <c r="AA34" i="58" s="1"/>
  <c r="I23" i="5"/>
  <c r="Q34" i="58"/>
  <c r="F131" i="24" s="1"/>
  <c r="T45" i="58"/>
  <c r="AG5" i="5"/>
  <c r="AG27" i="5" s="1"/>
  <c r="J29" i="19"/>
  <c r="J30" i="19" s="1"/>
  <c r="I86" i="64"/>
  <c r="R63" i="25"/>
  <c r="L42" i="47"/>
  <c r="C42" i="47"/>
  <c r="I63" i="25"/>
  <c r="I65" i="25" s="1"/>
  <c r="H10" i="43"/>
  <c r="F15" i="43"/>
  <c r="G8" i="43" s="1"/>
  <c r="M29" i="33"/>
  <c r="E151" i="24" s="1"/>
  <c r="L151" i="24" s="1"/>
  <c r="F124" i="54"/>
  <c r="H21" i="43"/>
  <c r="G21" i="43"/>
  <c r="J9" i="28"/>
  <c r="J10" i="28" s="1"/>
  <c r="J14" i="28" s="1"/>
  <c r="J20" i="28"/>
  <c r="T20" i="28" s="1"/>
  <c r="AF24" i="6"/>
  <c r="F98" i="54" s="1"/>
  <c r="K35" i="5"/>
  <c r="D127" i="24" s="1"/>
  <c r="J35" i="5"/>
  <c r="D113" i="24" s="1"/>
  <c r="AK30" i="6"/>
  <c r="AI30" i="6"/>
  <c r="V41" i="58"/>
  <c r="AA41" i="58" s="1"/>
  <c r="I40" i="36"/>
  <c r="I48" i="36"/>
  <c r="I12" i="36"/>
  <c r="AC30" i="6"/>
  <c r="F93" i="54" s="1"/>
  <c r="AM30" i="6"/>
  <c r="AF30" i="6"/>
  <c r="F104" i="54" s="1"/>
  <c r="AD21" i="6"/>
  <c r="U34" i="58"/>
  <c r="Q41" i="58"/>
  <c r="S34" i="58"/>
  <c r="M9" i="6"/>
  <c r="V9" i="6" s="1"/>
  <c r="Z42" i="9"/>
  <c r="Z43" i="9" s="1"/>
  <c r="Z44" i="9" s="1"/>
  <c r="Z45" i="9" s="1"/>
  <c r="AI26" i="6"/>
  <c r="T34" i="58"/>
  <c r="AK34" i="58"/>
  <c r="AA31" i="5"/>
  <c r="G43" i="21"/>
  <c r="G44" i="21" s="1"/>
  <c r="T46" i="55"/>
  <c r="F56" i="6"/>
  <c r="B55" i="6"/>
  <c r="Q50" i="6" s="1"/>
  <c r="O35" i="18"/>
  <c r="P35" i="18"/>
  <c r="P14" i="18"/>
  <c r="O14" i="18"/>
  <c r="P12" i="18"/>
  <c r="O10" i="18"/>
  <c r="P10" i="18"/>
  <c r="I6" i="6"/>
  <c r="I5" i="6"/>
  <c r="I9" i="6"/>
  <c r="M32" i="54"/>
  <c r="I38" i="24"/>
  <c r="W31" i="5"/>
  <c r="E51" i="26"/>
  <c r="F51" i="26"/>
  <c r="S26" i="6"/>
  <c r="E119" i="48"/>
  <c r="E113" i="48"/>
  <c r="E116" i="48"/>
  <c r="E109" i="48"/>
  <c r="E112" i="48"/>
  <c r="E115" i="48"/>
  <c r="E110" i="48"/>
  <c r="U31" i="36"/>
  <c r="R31" i="36"/>
  <c r="V31" i="36" s="1"/>
  <c r="U24" i="36"/>
  <c r="X24" i="36" s="1"/>
  <c r="AI24" i="36" s="1"/>
  <c r="R24" i="36"/>
  <c r="V24" i="36" s="1"/>
  <c r="AO34" i="58"/>
  <c r="AP34" i="58"/>
  <c r="AN34" i="58"/>
  <c r="R26" i="6"/>
  <c r="AF26" i="6"/>
  <c r="F100" i="54" s="1"/>
  <c r="N8" i="18"/>
  <c r="I29" i="36"/>
  <c r="I38" i="36"/>
  <c r="I32" i="36"/>
  <c r="AP30" i="6"/>
  <c r="AJ30" i="6"/>
  <c r="AL30" i="6"/>
  <c r="H48" i="58"/>
  <c r="T48" i="58" s="1"/>
  <c r="M41" i="58"/>
  <c r="J7" i="58"/>
  <c r="P13" i="6"/>
  <c r="J9" i="6"/>
  <c r="Q9" i="6" s="1"/>
  <c r="K46" i="21"/>
  <c r="T26" i="6"/>
  <c r="L35" i="5"/>
  <c r="D115" i="54" s="1"/>
  <c r="AJ34" i="58"/>
  <c r="AI34" i="58"/>
  <c r="AR34" i="58"/>
  <c r="L31" i="5"/>
  <c r="D111" i="54" s="1"/>
  <c r="F9" i="28"/>
  <c r="F10" i="28" s="1"/>
  <c r="F14" i="28" s="1"/>
  <c r="F15" i="44"/>
  <c r="R41" i="58"/>
  <c r="AN30" i="6"/>
  <c r="J57" i="21"/>
  <c r="J59" i="21" s="1"/>
  <c r="J60" i="21"/>
  <c r="W46" i="9"/>
  <c r="H43" i="21"/>
  <c r="J43" i="21"/>
  <c r="J44" i="21" s="1"/>
  <c r="J45" i="21" s="1"/>
  <c r="J47" i="21" s="1"/>
  <c r="F66" i="19"/>
  <c r="K66" i="19"/>
  <c r="K67" i="19" s="1"/>
  <c r="K54" i="19"/>
  <c r="K55" i="19" s="1"/>
  <c r="J54" i="19"/>
  <c r="J55" i="19" s="1"/>
  <c r="J56" i="19" s="1"/>
  <c r="J58" i="19" s="1"/>
  <c r="I54" i="19"/>
  <c r="I55" i="19" s="1"/>
  <c r="I57" i="19" s="1"/>
  <c r="L54" i="19"/>
  <c r="L55" i="19" s="1"/>
  <c r="K42" i="19"/>
  <c r="L42" i="19"/>
  <c r="L43" i="19" s="1"/>
  <c r="F42" i="19"/>
  <c r="M42" i="19" s="1"/>
  <c r="G42" i="19"/>
  <c r="G43" i="19" s="1"/>
  <c r="G44" i="19" s="1"/>
  <c r="G46" i="19" s="1"/>
  <c r="H42" i="19"/>
  <c r="H29" i="19"/>
  <c r="H30" i="19" s="1"/>
  <c r="H32" i="19" s="1"/>
  <c r="L29" i="19"/>
  <c r="L30" i="19" s="1"/>
  <c r="L32" i="19" s="1"/>
  <c r="K29" i="19"/>
  <c r="K30" i="19" s="1"/>
  <c r="G29" i="19"/>
  <c r="G30" i="19" s="1"/>
  <c r="C31" i="19"/>
  <c r="H16" i="19"/>
  <c r="H17" i="19" s="1"/>
  <c r="K16" i="19"/>
  <c r="K17" i="19" s="1"/>
  <c r="K18" i="19" s="1"/>
  <c r="K20" i="19" s="1"/>
  <c r="I8" i="55"/>
  <c r="J8" i="55" s="1"/>
  <c r="K8" i="55" s="1"/>
  <c r="L8" i="55" s="1"/>
  <c r="M8" i="55" s="1"/>
  <c r="N8" i="55" s="1"/>
  <c r="O8" i="55" s="1"/>
  <c r="P8" i="55" s="1"/>
  <c r="Q8" i="55" s="1"/>
  <c r="H13" i="55"/>
  <c r="A97" i="41"/>
  <c r="A95" i="41"/>
  <c r="B96" i="41"/>
  <c r="F19" i="22"/>
  <c r="F18" i="20"/>
  <c r="G15" i="20" s="1"/>
  <c r="F65" i="20"/>
  <c r="E98" i="10"/>
  <c r="E95" i="10"/>
  <c r="H37" i="43"/>
  <c r="F42" i="43"/>
  <c r="H42" i="43" s="1"/>
  <c r="E38" i="52"/>
  <c r="F38" i="52" s="1"/>
  <c r="H38" i="52" s="1"/>
  <c r="F42" i="52"/>
  <c r="H42" i="52" s="1"/>
  <c r="H37" i="52"/>
  <c r="AC26" i="6"/>
  <c r="F89" i="54" s="1"/>
  <c r="M5" i="58"/>
  <c r="AA5" i="58" s="1"/>
  <c r="N28" i="53"/>
  <c r="P28" i="53" s="1"/>
  <c r="N30" i="53"/>
  <c r="P30" i="53" s="1"/>
  <c r="X17" i="67"/>
  <c r="AA15" i="67"/>
  <c r="X61" i="69"/>
  <c r="AA9" i="69"/>
  <c r="R65" i="25"/>
  <c r="B56" i="47"/>
  <c r="G17" i="21"/>
  <c r="G18" i="21" s="1"/>
  <c r="D116" i="54"/>
  <c r="E14" i="18"/>
  <c r="N14" i="18" s="1"/>
  <c r="D74" i="20"/>
  <c r="E74" i="20" s="1"/>
  <c r="H32" i="17"/>
  <c r="H23" i="49"/>
  <c r="B34" i="24"/>
  <c r="V72" i="66"/>
  <c r="W72" i="66" s="1"/>
  <c r="F61" i="68"/>
  <c r="AA49" i="36"/>
  <c r="AB39" i="5"/>
  <c r="E12" i="18"/>
  <c r="H12" i="18" s="1"/>
  <c r="H29" i="68"/>
  <c r="N29" i="68" s="1"/>
  <c r="T29" i="68" s="1"/>
  <c r="H9" i="66"/>
  <c r="N9" i="66" s="1"/>
  <c r="T9" i="66" s="1"/>
  <c r="D72" i="67"/>
  <c r="AA5" i="69"/>
  <c r="P2" i="69" s="1"/>
  <c r="Q36" i="36"/>
  <c r="E14" i="38"/>
  <c r="T24" i="28"/>
  <c r="F13" i="28"/>
  <c r="AB31" i="5"/>
  <c r="AO32" i="6"/>
  <c r="AJ28" i="6"/>
  <c r="B101" i="53"/>
  <c r="H8" i="17"/>
  <c r="C23" i="24"/>
  <c r="J5" i="64"/>
  <c r="P4" i="64"/>
  <c r="O18" i="54"/>
  <c r="C53" i="61"/>
  <c r="T53" i="61" s="1"/>
  <c r="K143" i="24"/>
  <c r="K68" i="24"/>
  <c r="K43" i="24"/>
  <c r="K60" i="24"/>
  <c r="K72" i="24"/>
  <c r="O6" i="54"/>
  <c r="H46" i="14"/>
  <c r="H31" i="14"/>
  <c r="I9" i="24"/>
  <c r="H17" i="14"/>
  <c r="B10" i="54"/>
  <c r="O56" i="54"/>
  <c r="P56" i="54" s="1"/>
  <c r="H17" i="10"/>
  <c r="A10" i="54"/>
  <c r="K63" i="24"/>
  <c r="K51" i="24"/>
  <c r="N5" i="64"/>
  <c r="H28" i="10"/>
  <c r="H14" i="10"/>
  <c r="H10" i="10"/>
  <c r="AN27" i="6"/>
  <c r="T30" i="5"/>
  <c r="D88" i="54" s="1"/>
  <c r="A68" i="67"/>
  <c r="H7" i="10"/>
  <c r="H25" i="17"/>
  <c r="O8" i="54"/>
  <c r="K59" i="24"/>
  <c r="K142" i="24"/>
  <c r="K145" i="24"/>
  <c r="K37" i="24"/>
  <c r="K153" i="24"/>
  <c r="K45" i="24"/>
  <c r="K71" i="24"/>
  <c r="K38" i="24"/>
  <c r="O9" i="54"/>
  <c r="O20" i="54"/>
  <c r="O7" i="54"/>
  <c r="H22" i="14"/>
  <c r="H25" i="14"/>
  <c r="O21" i="54"/>
  <c r="H10" i="14"/>
  <c r="F64" i="54"/>
  <c r="J64" i="54" s="1"/>
  <c r="H7" i="14"/>
  <c r="O10" i="54"/>
  <c r="H9" i="14"/>
  <c r="O11" i="54"/>
  <c r="K64" i="24"/>
  <c r="Y33" i="5"/>
  <c r="K53" i="24"/>
  <c r="I2" i="64"/>
  <c r="U33" i="5"/>
  <c r="M33" i="5"/>
  <c r="N33" i="5" s="1"/>
  <c r="H15" i="14"/>
  <c r="J31" i="5"/>
  <c r="D109" i="24" s="1"/>
  <c r="L5" i="67"/>
  <c r="H11" i="17"/>
  <c r="A67" i="63"/>
  <c r="A70" i="63"/>
  <c r="O46" i="54"/>
  <c r="D29" i="24"/>
  <c r="D64" i="24" s="1"/>
  <c r="C96" i="24" s="1"/>
  <c r="K58" i="24"/>
  <c r="K70" i="24"/>
  <c r="K47" i="24"/>
  <c r="K140" i="24"/>
  <c r="K138" i="24"/>
  <c r="O22" i="54"/>
  <c r="K34" i="24"/>
  <c r="K139" i="24"/>
  <c r="H24" i="17"/>
  <c r="D47" i="14"/>
  <c r="E81" i="24" s="1"/>
  <c r="G81" i="24" s="1"/>
  <c r="H23" i="14"/>
  <c r="H24" i="10"/>
  <c r="H8" i="14"/>
  <c r="C9" i="24"/>
  <c r="C9" i="70" s="1"/>
  <c r="H14" i="14"/>
  <c r="M10" i="54"/>
  <c r="AA33" i="5"/>
  <c r="U34" i="6"/>
  <c r="L33" i="5"/>
  <c r="D139" i="24" s="1"/>
  <c r="H26" i="14"/>
  <c r="AF21" i="6"/>
  <c r="AN5" i="58"/>
  <c r="AO5" i="58" s="1"/>
  <c r="AP5" i="58"/>
  <c r="AQ5" i="58" s="1"/>
  <c r="AL5" i="58"/>
  <c r="AM5" i="58" s="1"/>
  <c r="AC24" i="6"/>
  <c r="F87" i="54" s="1"/>
  <c r="E13" i="38"/>
  <c r="E11" i="38"/>
  <c r="H28" i="17"/>
  <c r="H26" i="17"/>
  <c r="B102" i="17"/>
  <c r="H30" i="17"/>
  <c r="H47" i="17"/>
  <c r="H10" i="17"/>
  <c r="H16" i="17"/>
  <c r="H29" i="17"/>
  <c r="A18" i="54"/>
  <c r="D48" i="17"/>
  <c r="E90" i="24" s="1"/>
  <c r="G90" i="24" s="1"/>
  <c r="F71" i="54"/>
  <c r="J71" i="54" s="1"/>
  <c r="H27" i="17"/>
  <c r="H31" i="17"/>
  <c r="B18" i="54"/>
  <c r="B23" i="24"/>
  <c r="H13" i="17"/>
  <c r="H9" i="17"/>
  <c r="H12" i="17"/>
  <c r="F33" i="17"/>
  <c r="H33" i="17" s="1"/>
  <c r="H23" i="17"/>
  <c r="H17" i="17"/>
  <c r="E46" i="38"/>
  <c r="F45" i="38" s="1"/>
  <c r="H34" i="17"/>
  <c r="H22" i="17"/>
  <c r="M6" i="58"/>
  <c r="AA6" i="58" s="1"/>
  <c r="AT6" i="58" s="1"/>
  <c r="M15" i="58"/>
  <c r="AA15" i="58" s="1"/>
  <c r="AT15" i="58" s="1"/>
  <c r="M32" i="58"/>
  <c r="F115" i="24" s="1"/>
  <c r="J5" i="58"/>
  <c r="Q5" i="58" s="1"/>
  <c r="Q39" i="58" s="1"/>
  <c r="M20" i="58"/>
  <c r="AA20" i="58" s="1"/>
  <c r="BE20" i="58" s="1"/>
  <c r="AK24" i="58"/>
  <c r="U41" i="58"/>
  <c r="M39" i="58"/>
  <c r="M12" i="58"/>
  <c r="AA12" i="58" s="1"/>
  <c r="BE12" i="58" s="1"/>
  <c r="BF12" i="58" s="1"/>
  <c r="M7" i="58"/>
  <c r="AA7" i="58" s="1"/>
  <c r="AT7" i="58" s="1"/>
  <c r="J8" i="58"/>
  <c r="Q8" i="58" s="1"/>
  <c r="L8" i="58" s="1"/>
  <c r="P16" i="58"/>
  <c r="M13" i="58"/>
  <c r="V13" i="58" s="1"/>
  <c r="P5" i="58"/>
  <c r="J9" i="58"/>
  <c r="Q9" i="58" s="1"/>
  <c r="V9" i="58" s="1"/>
  <c r="P13" i="58"/>
  <c r="L13" i="58" s="1"/>
  <c r="AP20" i="58"/>
  <c r="AQ20" i="58" s="1"/>
  <c r="M8" i="58"/>
  <c r="AA8" i="58" s="1"/>
  <c r="BE8" i="58" s="1"/>
  <c r="BF8" i="58" s="1"/>
  <c r="BG8" i="58" s="1"/>
  <c r="BH8" i="58" s="1"/>
  <c r="AD32" i="58"/>
  <c r="AM32" i="58"/>
  <c r="E68" i="38"/>
  <c r="AL32" i="6"/>
  <c r="AC34" i="6"/>
  <c r="AO34" i="6"/>
  <c r="U24" i="6"/>
  <c r="AS14" i="6"/>
  <c r="AT14" i="6" s="1"/>
  <c r="AJ31" i="6"/>
  <c r="AM31" i="6"/>
  <c r="AD27" i="6"/>
  <c r="J10" i="6"/>
  <c r="Q10" i="6" s="1"/>
  <c r="L10" i="6" s="1"/>
  <c r="J18" i="6"/>
  <c r="Q18" i="6" s="1"/>
  <c r="V18" i="6" s="1"/>
  <c r="AI28" i="6"/>
  <c r="R28" i="6"/>
  <c r="S24" i="6"/>
  <c r="AK28" i="6"/>
  <c r="AL34" i="6"/>
  <c r="AM34" i="6"/>
  <c r="AK31" i="6"/>
  <c r="AC27" i="6"/>
  <c r="F90" i="54" s="1"/>
  <c r="AF28" i="6"/>
  <c r="M28" i="6"/>
  <c r="E111" i="24" s="1"/>
  <c r="AC28" i="6"/>
  <c r="BE14" i="6"/>
  <c r="BF14" i="6" s="1"/>
  <c r="BG14" i="6" s="1"/>
  <c r="AO31" i="6"/>
  <c r="AI31" i="6"/>
  <c r="AQ31" i="6"/>
  <c r="AO27" i="6"/>
  <c r="P11" i="6"/>
  <c r="U28" i="6"/>
  <c r="M10" i="6"/>
  <c r="Z10" i="6" s="1"/>
  <c r="BD10" i="6" s="1"/>
  <c r="BE10" i="6" s="1"/>
  <c r="BF10" i="6" s="1"/>
  <c r="BG10" i="6" s="1"/>
  <c r="BH10" i="6" s="1"/>
  <c r="BI10" i="6" s="1"/>
  <c r="BJ10" i="6" s="1"/>
  <c r="BK10" i="6" s="1"/>
  <c r="AD29" i="6"/>
  <c r="AD34" i="6"/>
  <c r="AP34" i="6"/>
  <c r="R24" i="6"/>
  <c r="AF39" i="5"/>
  <c r="AG33" i="5"/>
  <c r="T39" i="5"/>
  <c r="Y39" i="5"/>
  <c r="AA35" i="5"/>
  <c r="AF35" i="5"/>
  <c r="AJ24" i="5"/>
  <c r="AK24" i="5" s="1"/>
  <c r="AL24" i="5" s="1"/>
  <c r="AM24" i="5" s="1"/>
  <c r="AN24" i="5" s="1"/>
  <c r="AO24" i="5" s="1"/>
  <c r="AC31" i="5"/>
  <c r="AD31" i="5"/>
  <c r="T33" i="5"/>
  <c r="D91" i="54" s="1"/>
  <c r="AB35" i="5"/>
  <c r="AF33" i="5"/>
  <c r="J33" i="5"/>
  <c r="D111" i="24" s="1"/>
  <c r="W33" i="5"/>
  <c r="D102" i="54" s="1"/>
  <c r="T35" i="5"/>
  <c r="D93" i="54" s="1"/>
  <c r="Z35" i="5"/>
  <c r="AH31" i="5"/>
  <c r="AG31" i="5"/>
  <c r="AG39" i="5"/>
  <c r="M39" i="5"/>
  <c r="D70" i="38" s="1"/>
  <c r="AD35" i="5"/>
  <c r="AG35" i="5"/>
  <c r="U35" i="5"/>
  <c r="I24" i="5"/>
  <c r="K24" i="5"/>
  <c r="M24" i="5" s="1"/>
  <c r="AC33" i="5"/>
  <c r="AD33" i="5"/>
  <c r="AE33" i="5"/>
  <c r="AB33" i="5"/>
  <c r="AH33" i="5"/>
  <c r="Z33" i="5"/>
  <c r="K30" i="55"/>
  <c r="J31" i="55"/>
  <c r="E94" i="14"/>
  <c r="E106" i="14"/>
  <c r="E97" i="14"/>
  <c r="E105" i="14"/>
  <c r="E103" i="14"/>
  <c r="E96" i="14"/>
  <c r="E100" i="14"/>
  <c r="E102" i="14"/>
  <c r="E104" i="14"/>
  <c r="E99" i="14"/>
  <c r="E98" i="14"/>
  <c r="J46" i="21"/>
  <c r="M23" i="9"/>
  <c r="U23" i="9" s="1"/>
  <c r="J8" i="18"/>
  <c r="G7" i="15"/>
  <c r="G12" i="15"/>
  <c r="G14" i="15"/>
  <c r="F62" i="15"/>
  <c r="H65" i="25"/>
  <c r="F125" i="54"/>
  <c r="G11" i="15"/>
  <c r="A115" i="49"/>
  <c r="B113" i="49"/>
  <c r="L34" i="18"/>
  <c r="H34" i="18"/>
  <c r="G55" i="21"/>
  <c r="I55" i="21"/>
  <c r="I56" i="21" s="1"/>
  <c r="C90" i="19"/>
  <c r="C7" i="19"/>
  <c r="E33" i="18"/>
  <c r="E32" i="18"/>
  <c r="H40" i="18"/>
  <c r="O40" i="18"/>
  <c r="P5" i="18"/>
  <c r="R5" i="18"/>
  <c r="S24" i="9"/>
  <c r="G45" i="19"/>
  <c r="F57" i="21"/>
  <c r="F59" i="21" s="1"/>
  <c r="A109" i="49"/>
  <c r="B109" i="49" s="1"/>
  <c r="AJ24" i="58"/>
  <c r="G13" i="15"/>
  <c r="G18" i="15"/>
  <c r="E154" i="24"/>
  <c r="E97" i="10"/>
  <c r="E105" i="10"/>
  <c r="L8" i="18"/>
  <c r="K25" i="9"/>
  <c r="F19" i="19"/>
  <c r="L22" i="19"/>
  <c r="G47" i="19"/>
  <c r="F60" i="21"/>
  <c r="G10" i="15"/>
  <c r="G8" i="15"/>
  <c r="E46" i="9"/>
  <c r="E101" i="10"/>
  <c r="G20" i="33"/>
  <c r="G16" i="33"/>
  <c r="H25" i="48"/>
  <c r="E27" i="5"/>
  <c r="AA9" i="67"/>
  <c r="P72" i="67"/>
  <c r="Q72" i="67" s="1"/>
  <c r="AA13" i="67"/>
  <c r="AC43" i="67"/>
  <c r="E86" i="24" s="1"/>
  <c r="AA16" i="68"/>
  <c r="AA34" i="68"/>
  <c r="F61" i="69"/>
  <c r="AA10" i="69"/>
  <c r="G11" i="33"/>
  <c r="E75" i="53"/>
  <c r="F75" i="53" s="1"/>
  <c r="S41" i="58"/>
  <c r="Q43" i="36"/>
  <c r="Q41" i="36"/>
  <c r="AB25" i="36"/>
  <c r="C59" i="19"/>
  <c r="C60" i="19" s="1"/>
  <c r="H15" i="43"/>
  <c r="H11" i="22"/>
  <c r="W29" i="58"/>
  <c r="W28" i="58"/>
  <c r="H29" i="63"/>
  <c r="N29" i="63" s="1"/>
  <c r="T29" i="63" s="1"/>
  <c r="H24" i="67"/>
  <c r="N24" i="67" s="1"/>
  <c r="T24" i="67" s="1"/>
  <c r="H23" i="66"/>
  <c r="N23" i="66" s="1"/>
  <c r="T23" i="66" s="1"/>
  <c r="AA25" i="67"/>
  <c r="V72" i="67"/>
  <c r="W72" i="67" s="1"/>
  <c r="E92" i="68"/>
  <c r="AA42" i="68"/>
  <c r="G85" i="24" s="1"/>
  <c r="AF8" i="68"/>
  <c r="E101" i="69"/>
  <c r="E93" i="69"/>
  <c r="E103" i="69"/>
  <c r="L17" i="69"/>
  <c r="AA28" i="68"/>
  <c r="Q19" i="36"/>
  <c r="H15" i="44"/>
  <c r="J32" i="54" s="1"/>
  <c r="E13" i="18"/>
  <c r="L17" i="21"/>
  <c r="L18" i="21" s="1"/>
  <c r="R27" i="25"/>
  <c r="L64" i="25"/>
  <c r="G17" i="33"/>
  <c r="G15" i="33"/>
  <c r="F65" i="17"/>
  <c r="H65" i="17" s="1"/>
  <c r="J9" i="53"/>
  <c r="P9" i="53" s="1"/>
  <c r="AC21" i="6"/>
  <c r="J5" i="5"/>
  <c r="AA29" i="63"/>
  <c r="E91" i="68"/>
  <c r="E95" i="68"/>
  <c r="H23" i="68"/>
  <c r="N23" i="68" s="1"/>
  <c r="T23" i="68" s="1"/>
  <c r="AC42" i="68"/>
  <c r="J72" i="69"/>
  <c r="K72" i="69" s="1"/>
  <c r="Q50" i="36"/>
  <c r="AB33" i="36"/>
  <c r="Q30" i="36"/>
  <c r="Q18" i="36"/>
  <c r="Q16" i="36"/>
  <c r="AN20" i="58"/>
  <c r="AO20" i="58" s="1"/>
  <c r="AJ20" i="58"/>
  <c r="AK20" i="58" s="1"/>
  <c r="AR20" i="58"/>
  <c r="K20" i="58"/>
  <c r="B34" i="41"/>
  <c r="E34" i="41" s="1"/>
  <c r="F34" i="41" s="1"/>
  <c r="F46" i="38"/>
  <c r="D107" i="38"/>
  <c r="W27" i="58"/>
  <c r="W43" i="58"/>
  <c r="W40" i="58"/>
  <c r="AU14" i="5"/>
  <c r="AV14" i="5" s="1"/>
  <c r="J74" i="54"/>
  <c r="H14" i="22"/>
  <c r="H7" i="22"/>
  <c r="M14" i="58"/>
  <c r="AA14" i="58" s="1"/>
  <c r="AT14" i="58" s="1"/>
  <c r="AU14" i="58" s="1"/>
  <c r="J11" i="58"/>
  <c r="Q11" i="58" s="1"/>
  <c r="M7" i="6"/>
  <c r="Z7" i="6" s="1"/>
  <c r="O50" i="54"/>
  <c r="O41" i="54"/>
  <c r="D69" i="54"/>
  <c r="H46" i="58"/>
  <c r="Q46" i="58" s="1"/>
  <c r="K17" i="5"/>
  <c r="C25" i="24"/>
  <c r="O32" i="54"/>
  <c r="H27" i="49"/>
  <c r="F33" i="49"/>
  <c r="D37" i="49" s="1"/>
  <c r="F37" i="49" s="1"/>
  <c r="H37" i="49" s="1"/>
  <c r="H47" i="49"/>
  <c r="U29" i="6"/>
  <c r="R29" i="6"/>
  <c r="A68" i="61"/>
  <c r="AF29" i="6"/>
  <c r="F103" i="54" s="1"/>
  <c r="AJ29" i="6"/>
  <c r="AH29" i="6"/>
  <c r="AH30" i="5"/>
  <c r="A5" i="61"/>
  <c r="B97" i="53"/>
  <c r="Q29" i="6"/>
  <c r="E126" i="24" s="1"/>
  <c r="A23" i="54"/>
  <c r="H17" i="22"/>
  <c r="A5" i="63"/>
  <c r="J10" i="58"/>
  <c r="Q10" i="58" s="1"/>
  <c r="L10" i="58" s="1"/>
  <c r="P7" i="6"/>
  <c r="L7" i="6" s="1"/>
  <c r="A67" i="61"/>
  <c r="A68" i="63"/>
  <c r="K5" i="5"/>
  <c r="AK32" i="58"/>
  <c r="H13" i="22"/>
  <c r="H9" i="22"/>
  <c r="H34" i="22"/>
  <c r="I13" i="5"/>
  <c r="K21" i="5"/>
  <c r="O28" i="54"/>
  <c r="H14" i="49"/>
  <c r="H9" i="49"/>
  <c r="H10" i="49"/>
  <c r="C57" i="11"/>
  <c r="AI29" i="6"/>
  <c r="AM29" i="6"/>
  <c r="AP29" i="6"/>
  <c r="AB30" i="5"/>
  <c r="W30" i="5"/>
  <c r="J21" i="5"/>
  <c r="Q21" i="5" s="1"/>
  <c r="S32" i="58"/>
  <c r="B27" i="24"/>
  <c r="BE16" i="58"/>
  <c r="BF16" i="58" s="1"/>
  <c r="BG16" i="58" s="1"/>
  <c r="BH16" i="58" s="1"/>
  <c r="V29" i="6"/>
  <c r="Z29" i="6" s="1"/>
  <c r="B91" i="53"/>
  <c r="Q32" i="58"/>
  <c r="F129" i="24" s="1"/>
  <c r="H16" i="22"/>
  <c r="H23" i="22"/>
  <c r="M10" i="58"/>
  <c r="AA10" i="58" s="1"/>
  <c r="AT10" i="58" s="1"/>
  <c r="J15" i="58"/>
  <c r="Q15" i="58" s="1"/>
  <c r="L15" i="58" s="1"/>
  <c r="P19" i="6"/>
  <c r="P11" i="58"/>
  <c r="O51" i="54"/>
  <c r="C58" i="12"/>
  <c r="I5" i="5"/>
  <c r="U32" i="58"/>
  <c r="H35" i="22"/>
  <c r="H31" i="22"/>
  <c r="AQ32" i="58"/>
  <c r="H24" i="22"/>
  <c r="D9" i="24"/>
  <c r="D9" i="70" s="1"/>
  <c r="I17" i="5"/>
  <c r="H24" i="49"/>
  <c r="O47" i="54"/>
  <c r="H29" i="49"/>
  <c r="F73" i="54"/>
  <c r="J73" i="54" s="1"/>
  <c r="AN29" i="6"/>
  <c r="AS5" i="6"/>
  <c r="AT5" i="6" s="1"/>
  <c r="AU5" i="6" s="1"/>
  <c r="BD5" i="6"/>
  <c r="BE5" i="6" s="1"/>
  <c r="BF5" i="6" s="1"/>
  <c r="BG5" i="6" s="1"/>
  <c r="BH5" i="6" s="1"/>
  <c r="AE30" i="5"/>
  <c r="U30" i="5"/>
  <c r="Y30" i="5"/>
  <c r="AF30" i="5"/>
  <c r="L30" i="5"/>
  <c r="D110" i="54" s="1"/>
  <c r="K30" i="5"/>
  <c r="D99" i="54" s="1"/>
  <c r="Z30" i="5"/>
  <c r="AG30" i="5"/>
  <c r="M34" i="5"/>
  <c r="AC34" i="5"/>
  <c r="Z34" i="5"/>
  <c r="AF34" i="5"/>
  <c r="L34" i="5"/>
  <c r="AG34" i="5"/>
  <c r="AB34" i="5"/>
  <c r="AE34" i="5"/>
  <c r="W34" i="5"/>
  <c r="D103" i="54" s="1"/>
  <c r="T34" i="5"/>
  <c r="D92" i="54" s="1"/>
  <c r="AH34" i="5"/>
  <c r="U34" i="5"/>
  <c r="AD25" i="6"/>
  <c r="AF25" i="6"/>
  <c r="F99" i="54" s="1"/>
  <c r="V25" i="6"/>
  <c r="Z25" i="6" s="1"/>
  <c r="AC25" i="6"/>
  <c r="F88" i="54" s="1"/>
  <c r="M25" i="6"/>
  <c r="E108" i="24" s="1"/>
  <c r="AH25" i="6"/>
  <c r="C53" i="69"/>
  <c r="T53" i="69" s="1"/>
  <c r="C52" i="69"/>
  <c r="T52" i="69" s="1"/>
  <c r="X5" i="68"/>
  <c r="L5" i="68"/>
  <c r="F5" i="68"/>
  <c r="AF33" i="6"/>
  <c r="AP33" i="6"/>
  <c r="R33" i="6"/>
  <c r="AC33" i="6"/>
  <c r="AN33" i="6"/>
  <c r="AI33" i="6"/>
  <c r="S33" i="6"/>
  <c r="AJ33" i="6"/>
  <c r="AL33" i="6"/>
  <c r="P5" i="6"/>
  <c r="J5" i="6"/>
  <c r="Q5" i="6" s="1"/>
  <c r="V5" i="6" s="1"/>
  <c r="C51" i="69"/>
  <c r="N51" i="69" s="1"/>
  <c r="C50" i="69"/>
  <c r="T50" i="69" s="1"/>
  <c r="AD33" i="6"/>
  <c r="K34" i="5"/>
  <c r="D126" i="24" s="1"/>
  <c r="J38" i="5"/>
  <c r="D116" i="24" s="1"/>
  <c r="L38" i="5"/>
  <c r="U38" i="5"/>
  <c r="J19" i="5"/>
  <c r="Q19" i="5" s="1"/>
  <c r="AU19" i="5" s="1"/>
  <c r="K19" i="5"/>
  <c r="I19" i="5"/>
  <c r="J15" i="5"/>
  <c r="Q15" i="5" s="1"/>
  <c r="AU15" i="5" s="1"/>
  <c r="AV15" i="5" s="1"/>
  <c r="AW15" i="5" s="1"/>
  <c r="AX15" i="5" s="1"/>
  <c r="K15" i="5"/>
  <c r="J11" i="5"/>
  <c r="Q11" i="5" s="1"/>
  <c r="AU11" i="5" s="1"/>
  <c r="AV11" i="5" s="1"/>
  <c r="I11" i="5"/>
  <c r="J7" i="5"/>
  <c r="I7" i="5"/>
  <c r="M17" i="6"/>
  <c r="Z17" i="6" s="1"/>
  <c r="BD17" i="6" s="1"/>
  <c r="P17" i="6"/>
  <c r="M17" i="58"/>
  <c r="P17" i="58"/>
  <c r="L17" i="58" s="1"/>
  <c r="P18" i="58"/>
  <c r="M18" i="58"/>
  <c r="AA18" i="58" s="1"/>
  <c r="J18" i="58"/>
  <c r="Q18" i="58" s="1"/>
  <c r="V18" i="58" s="1"/>
  <c r="V24" i="58" s="1"/>
  <c r="R33" i="58"/>
  <c r="H47" i="58"/>
  <c r="AL33" i="58"/>
  <c r="Q33" i="58"/>
  <c r="AR33" i="58"/>
  <c r="U31" i="6"/>
  <c r="M31" i="6"/>
  <c r="F94" i="54" s="1"/>
  <c r="R31" i="6"/>
  <c r="T31" i="6"/>
  <c r="R5" i="61"/>
  <c r="C53" i="63"/>
  <c r="H53" i="63" s="1"/>
  <c r="C50" i="63"/>
  <c r="T50" i="63" s="1"/>
  <c r="U39" i="5"/>
  <c r="AE39" i="5"/>
  <c r="W39" i="5"/>
  <c r="H35" i="49"/>
  <c r="J20" i="58"/>
  <c r="Q20" i="58" s="1"/>
  <c r="L20" i="58" s="1"/>
  <c r="AH33" i="6"/>
  <c r="BE14" i="58"/>
  <c r="BF14" i="58" s="1"/>
  <c r="AD39" i="5"/>
  <c r="L39" i="5"/>
  <c r="D145" i="24" s="1"/>
  <c r="AC39" i="5"/>
  <c r="AA39" i="5"/>
  <c r="U33" i="6"/>
  <c r="AL20" i="58"/>
  <c r="AM20" i="58" s="1"/>
  <c r="Q33" i="6"/>
  <c r="V33" i="6"/>
  <c r="Z33" i="6" s="1"/>
  <c r="AK33" i="6"/>
  <c r="AQ33" i="6"/>
  <c r="AD34" i="5"/>
  <c r="R25" i="6"/>
  <c r="AA30" i="58"/>
  <c r="F66" i="38"/>
  <c r="F111" i="24"/>
  <c r="F238" i="24"/>
  <c r="G238" i="24"/>
  <c r="C36" i="24"/>
  <c r="D70" i="24"/>
  <c r="C99" i="24" s="1"/>
  <c r="E38" i="12"/>
  <c r="H14" i="12"/>
  <c r="H33" i="22"/>
  <c r="F76" i="54"/>
  <c r="J76" i="54" s="1"/>
  <c r="H10" i="22"/>
  <c r="H12" i="22"/>
  <c r="B29" i="24"/>
  <c r="H26" i="22"/>
  <c r="H29" i="22"/>
  <c r="H18" i="22"/>
  <c r="H38" i="22"/>
  <c r="H8" i="22"/>
  <c r="H28" i="22"/>
  <c r="H15" i="22"/>
  <c r="H27" i="22"/>
  <c r="H30" i="22"/>
  <c r="B20" i="54"/>
  <c r="B102" i="49"/>
  <c r="B98" i="49" s="1"/>
  <c r="A20" i="54"/>
  <c r="H25" i="49"/>
  <c r="H28" i="49"/>
  <c r="E92" i="24"/>
  <c r="G92" i="24" s="1"/>
  <c r="H17" i="49"/>
  <c r="H22" i="49"/>
  <c r="H7" i="49"/>
  <c r="H31" i="49"/>
  <c r="H16" i="49"/>
  <c r="H12" i="49"/>
  <c r="H11" i="49"/>
  <c r="H15" i="49"/>
  <c r="H13" i="49"/>
  <c r="A74" i="13"/>
  <c r="A5" i="13"/>
  <c r="A72" i="13"/>
  <c r="A71" i="13"/>
  <c r="D11" i="54"/>
  <c r="C88" i="24"/>
  <c r="D54" i="24"/>
  <c r="D16" i="24"/>
  <c r="D16" i="70" s="1"/>
  <c r="O113" i="54"/>
  <c r="O58" i="54"/>
  <c r="O55" i="54"/>
  <c r="O31" i="54"/>
  <c r="O124" i="54"/>
  <c r="O38" i="54"/>
  <c r="O115" i="54"/>
  <c r="O109" i="54"/>
  <c r="O30" i="54"/>
  <c r="O111" i="54"/>
  <c r="O59" i="54"/>
  <c r="O49" i="54"/>
  <c r="O39" i="54"/>
  <c r="O122" i="54"/>
  <c r="O112" i="54"/>
  <c r="O57" i="54"/>
  <c r="O48" i="54"/>
  <c r="O110" i="54"/>
  <c r="AC30" i="5"/>
  <c r="Q28" i="6"/>
  <c r="E125" i="24" s="1"/>
  <c r="AN28" i="6"/>
  <c r="AM28" i="6"/>
  <c r="AQ28" i="6"/>
  <c r="V28" i="6"/>
  <c r="E64" i="38" s="1"/>
  <c r="AD28" i="6"/>
  <c r="AL28" i="6"/>
  <c r="AH28" i="6"/>
  <c r="T28" i="6"/>
  <c r="AP28" i="6"/>
  <c r="F127" i="24"/>
  <c r="H24" i="20"/>
  <c r="H10" i="20"/>
  <c r="S31" i="6"/>
  <c r="H16" i="20"/>
  <c r="H14" i="20"/>
  <c r="F114" i="24"/>
  <c r="H32" i="12"/>
  <c r="H47" i="20"/>
  <c r="H27" i="20"/>
  <c r="H12" i="20"/>
  <c r="AE31" i="5"/>
  <c r="L5" i="63"/>
  <c r="AA5" i="68"/>
  <c r="P2" i="68" s="1"/>
  <c r="J69" i="19"/>
  <c r="J68" i="19"/>
  <c r="J70" i="19" s="1"/>
  <c r="J71" i="19"/>
  <c r="G48" i="21"/>
  <c r="G45" i="21"/>
  <c r="G47" i="21" s="1"/>
  <c r="G46" i="21"/>
  <c r="L57" i="19"/>
  <c r="L59" i="19"/>
  <c r="L56" i="19"/>
  <c r="L58" i="19" s="1"/>
  <c r="K6" i="55"/>
  <c r="L6" i="55" s="1"/>
  <c r="H44" i="21"/>
  <c r="H69" i="19"/>
  <c r="H71" i="19"/>
  <c r="H68" i="19"/>
  <c r="H70" i="19" s="1"/>
  <c r="B118" i="53"/>
  <c r="A119" i="53"/>
  <c r="C114" i="49"/>
  <c r="L114" i="49"/>
  <c r="L39" i="55"/>
  <c r="M39" i="55" s="1"/>
  <c r="N39" i="55" s="1"/>
  <c r="O39" i="55" s="1"/>
  <c r="P39" i="55" s="1"/>
  <c r="Q39" i="55" s="1"/>
  <c r="R39" i="55" s="1"/>
  <c r="S39" i="55" s="1"/>
  <c r="G37" i="24"/>
  <c r="J31" i="54"/>
  <c r="L33" i="21"/>
  <c r="L32" i="21"/>
  <c r="L34" i="21" s="1"/>
  <c r="L36" i="21"/>
  <c r="I56" i="19"/>
  <c r="I58" i="19" s="1"/>
  <c r="J11" i="55"/>
  <c r="K11" i="55" s="1"/>
  <c r="L11" i="55" s="1"/>
  <c r="M11" i="55" s="1"/>
  <c r="N11" i="55" s="1"/>
  <c r="O11" i="55" s="1"/>
  <c r="P11" i="55" s="1"/>
  <c r="Q11" i="55" s="1"/>
  <c r="R11" i="55" s="1"/>
  <c r="S11" i="55" s="1"/>
  <c r="BE18" i="6"/>
  <c r="BF18" i="6" s="1"/>
  <c r="BG18" i="6" s="1"/>
  <c r="AH12" i="36"/>
  <c r="S36" i="55"/>
  <c r="T36" i="55" s="1"/>
  <c r="B104" i="11"/>
  <c r="J30" i="21"/>
  <c r="J31" i="21" s="1"/>
  <c r="I30" i="21"/>
  <c r="H21" i="44"/>
  <c r="G21" i="44"/>
  <c r="W38" i="58"/>
  <c r="I43" i="21"/>
  <c r="I44" i="21" s="1"/>
  <c r="L43" i="21"/>
  <c r="L44" i="21" s="1"/>
  <c r="X60" i="67"/>
  <c r="Y16" i="67"/>
  <c r="Y10" i="67"/>
  <c r="D166" i="54"/>
  <c r="H166" i="54"/>
  <c r="G13" i="44"/>
  <c r="E95" i="14"/>
  <c r="F22" i="2"/>
  <c r="J43" i="47"/>
  <c r="P64" i="25"/>
  <c r="P65" i="25" s="1"/>
  <c r="G18" i="33"/>
  <c r="H42" i="47"/>
  <c r="N63" i="25"/>
  <c r="N27" i="25"/>
  <c r="N42" i="25" s="1"/>
  <c r="BD12" i="6"/>
  <c r="AS13" i="6"/>
  <c r="AT13" i="6" s="1"/>
  <c r="AU13" i="6" s="1"/>
  <c r="M24" i="9"/>
  <c r="U24" i="9" s="1"/>
  <c r="J166" i="54"/>
  <c r="F166" i="54"/>
  <c r="V16" i="58"/>
  <c r="AA22" i="9"/>
  <c r="AA23" i="9" s="1"/>
  <c r="AA24" i="9" s="1"/>
  <c r="E101" i="14"/>
  <c r="K30" i="21"/>
  <c r="K31" i="21" s="1"/>
  <c r="O27" i="25"/>
  <c r="O42" i="25" s="1"/>
  <c r="K17" i="21"/>
  <c r="F17" i="21"/>
  <c r="E6" i="18"/>
  <c r="E18" i="18" s="1"/>
  <c r="E10" i="18"/>
  <c r="C211" i="24"/>
  <c r="B182" i="54" s="1"/>
  <c r="D182" i="54" s="1"/>
  <c r="F182" i="54" s="1"/>
  <c r="H182" i="54" s="1"/>
  <c r="J182" i="54" s="1"/>
  <c r="L182" i="54" s="1"/>
  <c r="N64" i="25"/>
  <c r="H43" i="47"/>
  <c r="G7" i="33"/>
  <c r="H11" i="20"/>
  <c r="W30" i="58"/>
  <c r="C51" i="67"/>
  <c r="N51" i="67" s="1"/>
  <c r="C52" i="67"/>
  <c r="T52" i="67" s="1"/>
  <c r="E100" i="67"/>
  <c r="E103" i="67"/>
  <c r="E93" i="67"/>
  <c r="E101" i="67"/>
  <c r="E99" i="67"/>
  <c r="E92" i="67"/>
  <c r="E97" i="67"/>
  <c r="AA12" i="68"/>
  <c r="V72" i="68"/>
  <c r="W72" i="68" s="1"/>
  <c r="AA32" i="68"/>
  <c r="AA13" i="36"/>
  <c r="AB13" i="36"/>
  <c r="H9" i="48"/>
  <c r="H13" i="48"/>
  <c r="H17" i="48"/>
  <c r="H28" i="48"/>
  <c r="G28" i="52"/>
  <c r="V30" i="6"/>
  <c r="Z30" i="6" s="1"/>
  <c r="C25" i="66"/>
  <c r="E96" i="67"/>
  <c r="E94" i="67"/>
  <c r="H29" i="67"/>
  <c r="N29" i="67" s="1"/>
  <c r="T29" i="67" s="1"/>
  <c r="A5" i="67"/>
  <c r="A67" i="67"/>
  <c r="A70" i="67"/>
  <c r="J72" i="67"/>
  <c r="K72" i="67" s="1"/>
  <c r="T70" i="67"/>
  <c r="V82" i="67" s="1"/>
  <c r="AA13" i="68"/>
  <c r="F5" i="69"/>
  <c r="X5" i="69"/>
  <c r="X5" i="66"/>
  <c r="D47" i="10"/>
  <c r="E77" i="24" s="1"/>
  <c r="G77" i="24" s="1"/>
  <c r="M27" i="25"/>
  <c r="M42" i="25" s="1"/>
  <c r="G23" i="44"/>
  <c r="H32" i="20"/>
  <c r="G60" i="42"/>
  <c r="G61" i="42"/>
  <c r="G62" i="42"/>
  <c r="G8" i="33"/>
  <c r="G9" i="33"/>
  <c r="F18" i="13"/>
  <c r="G18" i="13" s="1"/>
  <c r="J13" i="28"/>
  <c r="T13" i="28" s="1"/>
  <c r="P4" i="53"/>
  <c r="B226" i="54"/>
  <c r="T42" i="58"/>
  <c r="W42" i="58" s="1"/>
  <c r="B63" i="47"/>
  <c r="E91" i="67"/>
  <c r="E95" i="67"/>
  <c r="C10" i="67"/>
  <c r="H10" i="67" s="1"/>
  <c r="N10" i="67" s="1"/>
  <c r="T10" i="67" s="1"/>
  <c r="L5" i="69"/>
  <c r="C26" i="67"/>
  <c r="H26" i="67" s="1"/>
  <c r="N26" i="67" s="1"/>
  <c r="T26" i="67" s="1"/>
  <c r="H25" i="67"/>
  <c r="N25" i="67" s="1"/>
  <c r="T25" i="67" s="1"/>
  <c r="A20" i="66"/>
  <c r="F2" i="66"/>
  <c r="A68" i="66"/>
  <c r="A70" i="66"/>
  <c r="C70" i="69"/>
  <c r="D82" i="69" s="1"/>
  <c r="C51" i="66"/>
  <c r="N51" i="66" s="1"/>
  <c r="C50" i="66"/>
  <c r="T50" i="66" s="1"/>
  <c r="AB45" i="36"/>
  <c r="H37" i="20"/>
  <c r="H31" i="20"/>
  <c r="F66" i="22"/>
  <c r="H28" i="14"/>
  <c r="H24" i="14"/>
  <c r="F65" i="14"/>
  <c r="H12" i="14"/>
  <c r="F18" i="14"/>
  <c r="G11" i="14" s="1"/>
  <c r="G12" i="33"/>
  <c r="J69" i="54"/>
  <c r="F112" i="24"/>
  <c r="F21" i="58"/>
  <c r="G15" i="68"/>
  <c r="E98" i="67"/>
  <c r="AA42" i="67"/>
  <c r="G86" i="24" s="1"/>
  <c r="AC42" i="67"/>
  <c r="AC44" i="67" s="1"/>
  <c r="F86" i="24" s="1"/>
  <c r="A20" i="67"/>
  <c r="AA11" i="67"/>
  <c r="M10" i="69"/>
  <c r="M11" i="69"/>
  <c r="M15" i="69"/>
  <c r="L60" i="69"/>
  <c r="M9" i="69"/>
  <c r="R5" i="69"/>
  <c r="A12" i="70"/>
  <c r="K12" i="70" s="1"/>
  <c r="L12" i="70" s="1"/>
  <c r="AK38" i="69"/>
  <c r="AE8" i="69"/>
  <c r="R61" i="68"/>
  <c r="M8" i="69"/>
  <c r="H9" i="69"/>
  <c r="N9" i="69" s="1"/>
  <c r="T9" i="69" s="1"/>
  <c r="C10" i="69"/>
  <c r="H10" i="69" s="1"/>
  <c r="N10" i="69" s="1"/>
  <c r="T10" i="69" s="1"/>
  <c r="AB21" i="36"/>
  <c r="Q15" i="36"/>
  <c r="AA37" i="36"/>
  <c r="AB37" i="36"/>
  <c r="Q47" i="36"/>
  <c r="AB42" i="36"/>
  <c r="Q39" i="36"/>
  <c r="Q38" i="36"/>
  <c r="X31" i="36"/>
  <c r="AB26" i="36"/>
  <c r="Q14" i="36"/>
  <c r="V72" i="63"/>
  <c r="W72" i="63" s="1"/>
  <c r="AA26" i="63"/>
  <c r="E101" i="68"/>
  <c r="E93" i="68"/>
  <c r="E103" i="68"/>
  <c r="L17" i="68"/>
  <c r="M14" i="68" s="1"/>
  <c r="AA12" i="67"/>
  <c r="N70" i="68"/>
  <c r="P82" i="68" s="1"/>
  <c r="AA16" i="69"/>
  <c r="T70" i="69"/>
  <c r="V82" i="69" s="1"/>
  <c r="Q45" i="36"/>
  <c r="Q44" i="36"/>
  <c r="AB39" i="36"/>
  <c r="Q35" i="36"/>
  <c r="Q34" i="36"/>
  <c r="Q32" i="36"/>
  <c r="U32" i="36" s="1"/>
  <c r="X32" i="36" s="1"/>
  <c r="Q23" i="36"/>
  <c r="Q20" i="36"/>
  <c r="AB15" i="36"/>
  <c r="J72" i="61"/>
  <c r="K72" i="61" s="1"/>
  <c r="E96" i="68"/>
  <c r="E98" i="68"/>
  <c r="E94" i="68"/>
  <c r="AA42" i="69"/>
  <c r="G84" i="24" s="1"/>
  <c r="H70" i="69"/>
  <c r="J82" i="69" s="1"/>
  <c r="AC8" i="68"/>
  <c r="D72" i="66"/>
  <c r="E72" i="66" s="1"/>
  <c r="D25" i="68"/>
  <c r="P72" i="69"/>
  <c r="Q72" i="69" s="1"/>
  <c r="AA13" i="69"/>
  <c r="AC43" i="69"/>
  <c r="E84" i="24" s="1"/>
  <c r="X48" i="36"/>
  <c r="Q27" i="36"/>
  <c r="C54" i="13"/>
  <c r="H6" i="5"/>
  <c r="D142" i="24"/>
  <c r="F126" i="24"/>
  <c r="F108" i="24"/>
  <c r="U37" i="5"/>
  <c r="W37" i="5"/>
  <c r="AH37" i="5"/>
  <c r="P46" i="67"/>
  <c r="L37" i="5"/>
  <c r="AA42" i="58"/>
  <c r="R5" i="66"/>
  <c r="L5" i="66"/>
  <c r="AA5" i="66"/>
  <c r="P2" i="66" s="1"/>
  <c r="J46" i="66"/>
  <c r="J46" i="67"/>
  <c r="D46" i="69"/>
  <c r="V46" i="61"/>
  <c r="V46" i="67"/>
  <c r="V46" i="66"/>
  <c r="J46" i="63"/>
  <c r="V46" i="63"/>
  <c r="AA28" i="58"/>
  <c r="C50" i="67"/>
  <c r="N50" i="67" s="1"/>
  <c r="H27" i="12"/>
  <c r="AS18" i="6"/>
  <c r="AT18" i="6" s="1"/>
  <c r="H12" i="12"/>
  <c r="C53" i="67"/>
  <c r="H53" i="67" s="1"/>
  <c r="C53" i="68"/>
  <c r="N53" i="68" s="1"/>
  <c r="C50" i="68"/>
  <c r="H50" i="68" s="1"/>
  <c r="P46" i="68"/>
  <c r="V46" i="68"/>
  <c r="J46" i="68"/>
  <c r="V14" i="6"/>
  <c r="L14" i="6"/>
  <c r="D48" i="24"/>
  <c r="C82" i="24" s="1"/>
  <c r="D10" i="70"/>
  <c r="F36" i="49"/>
  <c r="AN26" i="6"/>
  <c r="AC31" i="69"/>
  <c r="AC34" i="69"/>
  <c r="AC36" i="69" s="1"/>
  <c r="AH34" i="69" s="1"/>
  <c r="AC31" i="66"/>
  <c r="AC34" i="66"/>
  <c r="AC36" i="66" s="1"/>
  <c r="AH34" i="66" s="1"/>
  <c r="H8" i="20"/>
  <c r="H26" i="13"/>
  <c r="E36" i="13"/>
  <c r="J36" i="13" s="1"/>
  <c r="A8" i="70"/>
  <c r="J32" i="13"/>
  <c r="J34" i="13" s="1"/>
  <c r="H32" i="13"/>
  <c r="H33" i="13"/>
  <c r="L35" i="13"/>
  <c r="M14" i="5"/>
  <c r="D50" i="24"/>
  <c r="C84" i="24" s="1"/>
  <c r="D12" i="70"/>
  <c r="I14" i="24"/>
  <c r="AK37" i="67"/>
  <c r="AC31" i="67"/>
  <c r="AC34" i="67"/>
  <c r="AC36" i="67" s="1"/>
  <c r="AH34" i="67" s="1"/>
  <c r="V10" i="6"/>
  <c r="D53" i="24"/>
  <c r="C87" i="24" s="1"/>
  <c r="D15" i="70"/>
  <c r="Q15" i="6"/>
  <c r="D51" i="24"/>
  <c r="C85" i="24" s="1"/>
  <c r="D13" i="70"/>
  <c r="V11" i="58"/>
  <c r="L9" i="6"/>
  <c r="F117" i="24"/>
  <c r="D49" i="24"/>
  <c r="C83" i="24" s="1"/>
  <c r="D11" i="70"/>
  <c r="I13" i="24"/>
  <c r="AK37" i="68"/>
  <c r="AC31" i="68"/>
  <c r="AC34" i="68"/>
  <c r="AC36" i="68" s="1"/>
  <c r="AH34" i="68" s="1"/>
  <c r="D52" i="24"/>
  <c r="C86" i="24" s="1"/>
  <c r="D14" i="70"/>
  <c r="S21" i="28"/>
  <c r="R30" i="28"/>
  <c r="R32" i="28" s="1"/>
  <c r="R33" i="28" s="1"/>
  <c r="N30" i="28"/>
  <c r="N32" i="28" s="1"/>
  <c r="T29" i="28"/>
  <c r="K29" i="28"/>
  <c r="U29" i="28" s="1"/>
  <c r="H27" i="10"/>
  <c r="H13" i="10"/>
  <c r="A6" i="54"/>
  <c r="H26" i="10"/>
  <c r="B5" i="24"/>
  <c r="B5" i="70" s="1"/>
  <c r="H25" i="10"/>
  <c r="H22" i="10"/>
  <c r="H11" i="10"/>
  <c r="B7" i="54"/>
  <c r="E36" i="11"/>
  <c r="J36" i="11" s="1"/>
  <c r="B8" i="54"/>
  <c r="I9" i="12"/>
  <c r="X61" i="61"/>
  <c r="P72" i="61"/>
  <c r="Q72" i="61" s="1"/>
  <c r="AA15" i="61"/>
  <c r="F61" i="61"/>
  <c r="D26" i="61"/>
  <c r="J26" i="61" s="1"/>
  <c r="D25" i="61"/>
  <c r="F25" i="61" s="1"/>
  <c r="F24" i="61"/>
  <c r="F25" i="66"/>
  <c r="F23" i="66"/>
  <c r="D25" i="66"/>
  <c r="F24" i="66"/>
  <c r="AA8" i="69"/>
  <c r="A13" i="70"/>
  <c r="K13" i="70" s="1"/>
  <c r="L13" i="70" s="1"/>
  <c r="AK38" i="68"/>
  <c r="AA8" i="68"/>
  <c r="X61" i="68"/>
  <c r="L61" i="68"/>
  <c r="B112" i="17"/>
  <c r="AA12" i="63"/>
  <c r="N70" i="63"/>
  <c r="P82" i="63" s="1"/>
  <c r="R23" i="63"/>
  <c r="L17" i="63"/>
  <c r="M16" i="63" s="1"/>
  <c r="L61" i="63"/>
  <c r="R61" i="63"/>
  <c r="G13" i="63"/>
  <c r="S21" i="6"/>
  <c r="D66" i="38"/>
  <c r="D53" i="41" s="1"/>
  <c r="F53" i="41" s="1"/>
  <c r="G38" i="2"/>
  <c r="H38" i="2"/>
  <c r="H7" i="17"/>
  <c r="F18" i="17"/>
  <c r="L23" i="61"/>
  <c r="J25" i="61"/>
  <c r="L25" i="61" s="1"/>
  <c r="X17" i="61"/>
  <c r="Y13" i="61" s="1"/>
  <c r="V72" i="61"/>
  <c r="W72" i="61" s="1"/>
  <c r="K6" i="6"/>
  <c r="J6" i="6"/>
  <c r="Q6" i="6" s="1"/>
  <c r="L6" i="6" s="1"/>
  <c r="AM26" i="6"/>
  <c r="M6" i="6"/>
  <c r="AQ6" i="6"/>
  <c r="AK6" i="6"/>
  <c r="H213" i="54"/>
  <c r="H226" i="54" s="1"/>
  <c r="X5" i="61"/>
  <c r="AC31" i="61"/>
  <c r="A9" i="70"/>
  <c r="K9" i="70" s="1"/>
  <c r="L9" i="70" s="1"/>
  <c r="J32" i="14"/>
  <c r="H32" i="14"/>
  <c r="H33" i="14"/>
  <c r="A5" i="70"/>
  <c r="H33" i="10"/>
  <c r="J32" i="10"/>
  <c r="J34" i="10" s="1"/>
  <c r="H32" i="10"/>
  <c r="E36" i="10"/>
  <c r="J36" i="10" s="1"/>
  <c r="H30" i="10"/>
  <c r="AA26" i="58"/>
  <c r="E10" i="38"/>
  <c r="G68" i="38" s="1"/>
  <c r="D22" i="61"/>
  <c r="D22" i="66"/>
  <c r="J22" i="66" s="1"/>
  <c r="P22" i="66" s="1"/>
  <c r="V22" i="66" s="1"/>
  <c r="D22" i="69"/>
  <c r="J22" i="69" s="1"/>
  <c r="P22" i="69" s="1"/>
  <c r="V22" i="69" s="1"/>
  <c r="D22" i="68"/>
  <c r="J22" i="68" s="1"/>
  <c r="P22" i="68" s="1"/>
  <c r="V22" i="68" s="1"/>
  <c r="D22" i="67"/>
  <c r="J22" i="67" s="1"/>
  <c r="P22" i="67" s="1"/>
  <c r="V22" i="67" s="1"/>
  <c r="F63" i="38"/>
  <c r="D55" i="15" s="1"/>
  <c r="H17" i="11"/>
  <c r="H22" i="11"/>
  <c r="H14" i="11"/>
  <c r="H10" i="11"/>
  <c r="A6" i="70"/>
  <c r="J32" i="11"/>
  <c r="J34" i="11" s="1"/>
  <c r="H32" i="11"/>
  <c r="L35" i="11"/>
  <c r="H33" i="11"/>
  <c r="F35" i="11"/>
  <c r="H35" i="11" s="1"/>
  <c r="H8" i="11"/>
  <c r="H26" i="11"/>
  <c r="H31" i="11"/>
  <c r="H25" i="11"/>
  <c r="AA53" i="69"/>
  <c r="A7" i="70"/>
  <c r="B7" i="24"/>
  <c r="B7" i="70" s="1"/>
  <c r="F37" i="12"/>
  <c r="H37" i="12" s="1"/>
  <c r="H35" i="12"/>
  <c r="J36" i="12"/>
  <c r="H34" i="12"/>
  <c r="AA24" i="67"/>
  <c r="D25" i="67"/>
  <c r="AA32" i="61"/>
  <c r="AA27" i="67"/>
  <c r="AA10" i="61"/>
  <c r="V25" i="61"/>
  <c r="X25" i="61" s="1"/>
  <c r="X24" i="61"/>
  <c r="T70" i="61"/>
  <c r="V82" i="61" s="1"/>
  <c r="P25" i="61"/>
  <c r="R25" i="61" s="1"/>
  <c r="R24" i="61"/>
  <c r="AA22" i="69"/>
  <c r="AA29" i="67"/>
  <c r="AA22" i="67"/>
  <c r="AA26" i="67"/>
  <c r="AA32" i="63"/>
  <c r="AA25" i="69"/>
  <c r="AA26" i="69"/>
  <c r="AA23" i="69"/>
  <c r="AA25" i="68"/>
  <c r="AA34" i="69"/>
  <c r="AA27" i="69"/>
  <c r="AA23" i="67"/>
  <c r="AA32" i="66"/>
  <c r="AA31" i="68"/>
  <c r="AA30" i="68"/>
  <c r="C40" i="68"/>
  <c r="D35" i="68" s="1"/>
  <c r="T40" i="68"/>
  <c r="V35" i="68" s="1"/>
  <c r="AA32" i="67"/>
  <c r="AC34" i="63"/>
  <c r="AC36" i="63" s="1"/>
  <c r="A97" i="63"/>
  <c r="C70" i="61"/>
  <c r="B99" i="61"/>
  <c r="AC43" i="63"/>
  <c r="E87" i="24" s="1"/>
  <c r="AC42" i="63"/>
  <c r="R17" i="63"/>
  <c r="S16" i="63" s="1"/>
  <c r="AA10" i="63"/>
  <c r="R24" i="63"/>
  <c r="R25" i="63"/>
  <c r="AC8" i="63"/>
  <c r="A15" i="70" s="1"/>
  <c r="L25" i="63"/>
  <c r="L24" i="63"/>
  <c r="L31" i="63"/>
  <c r="AA31" i="63" s="1"/>
  <c r="L23" i="63"/>
  <c r="X17" i="63"/>
  <c r="X60" i="63" s="1"/>
  <c r="X61" i="63"/>
  <c r="AA42" i="63"/>
  <c r="G87" i="24" s="1"/>
  <c r="M12" i="63"/>
  <c r="AA8" i="63"/>
  <c r="G9" i="63"/>
  <c r="G14" i="63"/>
  <c r="B94" i="63"/>
  <c r="AA14" i="63"/>
  <c r="G16" i="63"/>
  <c r="G12" i="63"/>
  <c r="G15" i="63"/>
  <c r="B95" i="63"/>
  <c r="M96" i="63" s="1"/>
  <c r="F61" i="63"/>
  <c r="AA15" i="63"/>
  <c r="G17" i="63"/>
  <c r="F60" i="63"/>
  <c r="T52" i="61"/>
  <c r="X5" i="63"/>
  <c r="S9" i="63"/>
  <c r="AA28" i="63"/>
  <c r="S17" i="63"/>
  <c r="AA30" i="63"/>
  <c r="AA27" i="63"/>
  <c r="AA34" i="63"/>
  <c r="AA28" i="67"/>
  <c r="H40" i="67"/>
  <c r="J35" i="67" s="1"/>
  <c r="AA29" i="68"/>
  <c r="H40" i="68"/>
  <c r="J35" i="68" s="1"/>
  <c r="W16" i="66"/>
  <c r="R16" i="66"/>
  <c r="AA30" i="66"/>
  <c r="W12" i="66"/>
  <c r="R12" i="66"/>
  <c r="P72" i="66" s="1"/>
  <c r="Q72" i="66" s="1"/>
  <c r="Q9" i="66"/>
  <c r="E83" i="24"/>
  <c r="R15" i="66"/>
  <c r="AA15" i="66" s="1"/>
  <c r="L24" i="66"/>
  <c r="H29" i="66"/>
  <c r="N29" i="66" s="1"/>
  <c r="T29" i="66" s="1"/>
  <c r="L14" i="66"/>
  <c r="AA14" i="66" s="1"/>
  <c r="N70" i="66"/>
  <c r="P82" i="66" s="1"/>
  <c r="R25" i="66"/>
  <c r="AA28" i="66"/>
  <c r="I11" i="24"/>
  <c r="AA34" i="66"/>
  <c r="AA8" i="66"/>
  <c r="H70" i="66"/>
  <c r="J82" i="66" s="1"/>
  <c r="L23" i="66"/>
  <c r="AC8" i="66"/>
  <c r="C11" i="24" s="1"/>
  <c r="C11" i="70" s="1"/>
  <c r="L31" i="66"/>
  <c r="L25" i="66"/>
  <c r="L17" i="66"/>
  <c r="M10" i="66" s="1"/>
  <c r="A93" i="66"/>
  <c r="A92" i="66" s="1"/>
  <c r="AA26" i="66"/>
  <c r="AA29" i="66"/>
  <c r="L61" i="66"/>
  <c r="AA27" i="66"/>
  <c r="AA12" i="66"/>
  <c r="B9" i="24"/>
  <c r="B9" i="70" s="1"/>
  <c r="L35" i="14"/>
  <c r="J34" i="14"/>
  <c r="L36" i="15"/>
  <c r="F35" i="15"/>
  <c r="H35" i="15" s="1"/>
  <c r="L33" i="15"/>
  <c r="O33" i="15" s="1"/>
  <c r="F33" i="15"/>
  <c r="H33" i="15" s="1"/>
  <c r="A21" i="15"/>
  <c r="C57" i="10"/>
  <c r="E100" i="10"/>
  <c r="E99" i="10"/>
  <c r="E106" i="10"/>
  <c r="E107" i="10"/>
  <c r="E96" i="10"/>
  <c r="A71" i="10"/>
  <c r="A21" i="10"/>
  <c r="A74" i="10"/>
  <c r="H35" i="10"/>
  <c r="L35" i="10"/>
  <c r="H32" i="15"/>
  <c r="H9" i="15"/>
  <c r="H28" i="15"/>
  <c r="D50" i="15"/>
  <c r="H12" i="15"/>
  <c r="H10" i="15"/>
  <c r="H29" i="15"/>
  <c r="H23" i="15"/>
  <c r="H46" i="15"/>
  <c r="H27" i="15"/>
  <c r="H15" i="15"/>
  <c r="B34" i="15"/>
  <c r="E34" i="15" s="1"/>
  <c r="F34" i="15" s="1"/>
  <c r="H31" i="15"/>
  <c r="A5" i="15"/>
  <c r="H11" i="15"/>
  <c r="H7" i="15"/>
  <c r="H22" i="15"/>
  <c r="H25" i="15"/>
  <c r="H26" i="15"/>
  <c r="H17" i="15"/>
  <c r="H24" i="15"/>
  <c r="H8" i="15"/>
  <c r="H30" i="15"/>
  <c r="A53" i="15"/>
  <c r="H13" i="15"/>
  <c r="H16" i="15"/>
  <c r="G7" i="14"/>
  <c r="G18" i="14" s="1"/>
  <c r="A21" i="14"/>
  <c r="B98" i="14"/>
  <c r="A72" i="14"/>
  <c r="A74" i="14"/>
  <c r="A71" i="14"/>
  <c r="H16" i="14"/>
  <c r="B94" i="14"/>
  <c r="D76" i="14"/>
  <c r="E76" i="14" s="1"/>
  <c r="B97" i="14"/>
  <c r="B96" i="14"/>
  <c r="B95" i="14"/>
  <c r="H12" i="13"/>
  <c r="H15" i="13"/>
  <c r="H10" i="13"/>
  <c r="I8" i="24"/>
  <c r="H7" i="13"/>
  <c r="H23" i="13"/>
  <c r="H24" i="13"/>
  <c r="A9" i="54"/>
  <c r="F67" i="54"/>
  <c r="J67" i="54" s="1"/>
  <c r="H29" i="13"/>
  <c r="H46" i="13"/>
  <c r="H8" i="13"/>
  <c r="H16" i="13"/>
  <c r="H13" i="13"/>
  <c r="H22" i="13"/>
  <c r="H17" i="13"/>
  <c r="D47" i="13"/>
  <c r="E80" i="24" s="1"/>
  <c r="G80" i="24" s="1"/>
  <c r="C8" i="24"/>
  <c r="C8" i="70" s="1"/>
  <c r="H9" i="13"/>
  <c r="H11" i="13"/>
  <c r="H31" i="12"/>
  <c r="F8" i="12"/>
  <c r="H8" i="12" s="1"/>
  <c r="A8" i="54"/>
  <c r="C57" i="12"/>
  <c r="C59" i="12"/>
  <c r="H25" i="12"/>
  <c r="H11" i="12"/>
  <c r="B101" i="11"/>
  <c r="H27" i="11"/>
  <c r="A74" i="11"/>
  <c r="H30" i="11"/>
  <c r="H13" i="11"/>
  <c r="I6" i="24"/>
  <c r="H46" i="11"/>
  <c r="A72" i="11"/>
  <c r="H12" i="11"/>
  <c r="A5" i="11"/>
  <c r="A21" i="11"/>
  <c r="C6" i="24"/>
  <c r="C6" i="70" s="1"/>
  <c r="B102" i="11"/>
  <c r="B98" i="11"/>
  <c r="M7" i="54"/>
  <c r="H28" i="11"/>
  <c r="H15" i="11"/>
  <c r="B100" i="11"/>
  <c r="D47" i="11"/>
  <c r="E78" i="24" s="1"/>
  <c r="G78" i="24" s="1"/>
  <c r="F65" i="54"/>
  <c r="J65" i="54" s="1"/>
  <c r="H11" i="11"/>
  <c r="H9" i="11"/>
  <c r="A7" i="54"/>
  <c r="H16" i="11"/>
  <c r="D76" i="11"/>
  <c r="E76" i="11" s="1"/>
  <c r="B99" i="11"/>
  <c r="B97" i="11"/>
  <c r="H23" i="11"/>
  <c r="AA33" i="67"/>
  <c r="F69" i="38"/>
  <c r="D47" i="69"/>
  <c r="D51" i="11"/>
  <c r="F64" i="38"/>
  <c r="D22" i="63"/>
  <c r="T52" i="63"/>
  <c r="H52" i="63"/>
  <c r="H15" i="10"/>
  <c r="H46" i="10"/>
  <c r="H9" i="10"/>
  <c r="I5" i="24"/>
  <c r="H23" i="10"/>
  <c r="C5" i="24"/>
  <c r="C5" i="70" s="1"/>
  <c r="D76" i="10"/>
  <c r="E76" i="10" s="1"/>
  <c r="H8" i="10"/>
  <c r="B6" i="54"/>
  <c r="H31" i="10"/>
  <c r="H12" i="10"/>
  <c r="AS20" i="6"/>
  <c r="AT20" i="6" s="1"/>
  <c r="AU20" i="6" s="1"/>
  <c r="AV20" i="6" s="1"/>
  <c r="BD20" i="6"/>
  <c r="BE20" i="6" s="1"/>
  <c r="BF20" i="6" s="1"/>
  <c r="BG20" i="6" s="1"/>
  <c r="AV16" i="58"/>
  <c r="AW16" i="58" s="1"/>
  <c r="AX16" i="58" s="1"/>
  <c r="AY16" i="58" s="1"/>
  <c r="AU21" i="5"/>
  <c r="AV21" i="5" s="1"/>
  <c r="AJ21" i="5"/>
  <c r="AK21" i="5" s="1"/>
  <c r="AL21" i="5" s="1"/>
  <c r="AM21" i="5" s="1"/>
  <c r="B95" i="53"/>
  <c r="P15" i="6"/>
  <c r="AC32" i="6"/>
  <c r="M8" i="6"/>
  <c r="Z8" i="6" s="1"/>
  <c r="N5" i="53"/>
  <c r="J5" i="53"/>
  <c r="C55" i="11"/>
  <c r="D8" i="54"/>
  <c r="D39" i="54" s="1"/>
  <c r="D66" i="54" s="1"/>
  <c r="D7" i="24"/>
  <c r="J16" i="5"/>
  <c r="K16" i="5"/>
  <c r="AN32" i="58"/>
  <c r="AR32" i="58"/>
  <c r="AP32" i="58"/>
  <c r="AL32" i="58"/>
  <c r="AJ32" i="58"/>
  <c r="V32" i="58"/>
  <c r="F237" i="24"/>
  <c r="G237" i="24"/>
  <c r="S32" i="6"/>
  <c r="B94" i="53"/>
  <c r="B92" i="53"/>
  <c r="B90" i="53"/>
  <c r="B93" i="53"/>
  <c r="J11" i="6"/>
  <c r="J19" i="6"/>
  <c r="Q19" i="6" s="1"/>
  <c r="M15" i="6"/>
  <c r="Z15" i="6" s="1"/>
  <c r="BD15" i="6" s="1"/>
  <c r="BE15" i="6" s="1"/>
  <c r="I4" i="53"/>
  <c r="D6" i="24"/>
  <c r="AA38" i="5"/>
  <c r="M38" i="5"/>
  <c r="D69" i="38" s="1"/>
  <c r="K38" i="5"/>
  <c r="AH38" i="5"/>
  <c r="AD38" i="5"/>
  <c r="Z38" i="5"/>
  <c r="AE38" i="5"/>
  <c r="AG38" i="5"/>
  <c r="C54" i="14"/>
  <c r="C56" i="14"/>
  <c r="C57" i="14"/>
  <c r="B8" i="24"/>
  <c r="B8" i="70" s="1"/>
  <c r="H28" i="13"/>
  <c r="H31" i="13"/>
  <c r="K52" i="24"/>
  <c r="K28" i="24"/>
  <c r="K12" i="24"/>
  <c r="K10" i="24"/>
  <c r="K26" i="24"/>
  <c r="K69" i="24"/>
  <c r="K16" i="24"/>
  <c r="K44" i="24"/>
  <c r="K46" i="24"/>
  <c r="K50" i="24"/>
  <c r="K15" i="24"/>
  <c r="K25" i="24"/>
  <c r="K8" i="24"/>
  <c r="K7" i="24"/>
  <c r="K29" i="24"/>
  <c r="V34" i="6"/>
  <c r="Z34" i="6" s="1"/>
  <c r="S34" i="6"/>
  <c r="AK34" i="6"/>
  <c r="AQ34" i="6"/>
  <c r="AH34" i="6"/>
  <c r="T34" i="6"/>
  <c r="AN34" i="6"/>
  <c r="AJ34" i="6"/>
  <c r="AF34" i="6"/>
  <c r="Q34" i="6"/>
  <c r="AF29" i="5"/>
  <c r="T29" i="5"/>
  <c r="D87" i="54" s="1"/>
  <c r="S25" i="6"/>
  <c r="U25" i="6"/>
  <c r="AQ25" i="6"/>
  <c r="AL25" i="6"/>
  <c r="AJ25" i="6"/>
  <c r="AN25" i="6"/>
  <c r="AP25" i="6"/>
  <c r="AK25" i="6"/>
  <c r="AM25" i="6"/>
  <c r="Q25" i="6"/>
  <c r="E122" i="24" s="1"/>
  <c r="AI25" i="6"/>
  <c r="D50" i="11"/>
  <c r="G4" i="11" s="1"/>
  <c r="C56" i="11"/>
  <c r="I2" i="53"/>
  <c r="F5" i="53"/>
  <c r="K9" i="5"/>
  <c r="J9" i="5"/>
  <c r="B99" i="53"/>
  <c r="B96" i="53"/>
  <c r="BE6" i="58"/>
  <c r="BF6" i="58" s="1"/>
  <c r="BG6" i="58" s="1"/>
  <c r="BH6" i="58" s="1"/>
  <c r="AU6" i="58"/>
  <c r="AV6" i="58" s="1"/>
  <c r="AS10" i="6"/>
  <c r="AT10" i="6" s="1"/>
  <c r="B100" i="53"/>
  <c r="V17" i="58"/>
  <c r="I9" i="5"/>
  <c r="AG32" i="58"/>
  <c r="AF38" i="5"/>
  <c r="AB38" i="5"/>
  <c r="R32" i="58"/>
  <c r="T25" i="6"/>
  <c r="D6" i="54"/>
  <c r="D37" i="54" s="1"/>
  <c r="D64" i="54" s="1"/>
  <c r="D5" i="24"/>
  <c r="J18" i="5"/>
  <c r="I18" i="5"/>
  <c r="I21" i="58"/>
  <c r="A70" i="61"/>
  <c r="F2" i="61"/>
  <c r="C51" i="68"/>
  <c r="T51" i="68" s="1"/>
  <c r="AA5" i="61"/>
  <c r="P2" i="61" s="1"/>
  <c r="D50" i="10"/>
  <c r="G4" i="10" s="1"/>
  <c r="C52" i="68"/>
  <c r="N52" i="68" s="1"/>
  <c r="F5" i="67"/>
  <c r="H18" i="12"/>
  <c r="C7" i="24"/>
  <c r="C7" i="70" s="1"/>
  <c r="F113" i="24"/>
  <c r="F110" i="24"/>
  <c r="H22" i="20"/>
  <c r="H30" i="20"/>
  <c r="H33" i="20"/>
  <c r="A22" i="54"/>
  <c r="H28" i="12"/>
  <c r="A70" i="69"/>
  <c r="AA5" i="67"/>
  <c r="P2" i="67" s="1"/>
  <c r="H13" i="20"/>
  <c r="H48" i="12"/>
  <c r="H8" i="49"/>
  <c r="H30" i="49"/>
  <c r="F124" i="24"/>
  <c r="H9" i="20"/>
  <c r="H24" i="12"/>
  <c r="N53" i="66"/>
  <c r="C52" i="66"/>
  <c r="N52" i="66" s="1"/>
  <c r="X5" i="67"/>
  <c r="K67" i="21"/>
  <c r="C69" i="21"/>
  <c r="C81" i="21" s="1"/>
  <c r="J67" i="21"/>
  <c r="I81" i="21" s="1"/>
  <c r="L67" i="21"/>
  <c r="L68" i="21" s="1"/>
  <c r="L69" i="21" s="1"/>
  <c r="L71" i="21" s="1"/>
  <c r="H67" i="21"/>
  <c r="G67" i="21"/>
  <c r="G68" i="21" s="1"/>
  <c r="G70" i="21" s="1"/>
  <c r="F67" i="21"/>
  <c r="F68" i="21" s="1"/>
  <c r="F69" i="21" s="1"/>
  <c r="P20" i="60"/>
  <c r="P21" i="60" s="1"/>
  <c r="H53" i="66"/>
  <c r="AA28" i="61"/>
  <c r="AC42" i="61"/>
  <c r="B94" i="61"/>
  <c r="AA14" i="61"/>
  <c r="B91" i="61"/>
  <c r="L17" i="61"/>
  <c r="M9" i="61" s="1"/>
  <c r="AA31" i="61"/>
  <c r="F17" i="61"/>
  <c r="G12" i="61" s="1"/>
  <c r="B97" i="61"/>
  <c r="AC43" i="61"/>
  <c r="E82" i="24" s="1"/>
  <c r="AA11" i="61"/>
  <c r="AA30" i="61"/>
  <c r="AA16" i="61"/>
  <c r="E100" i="61"/>
  <c r="E103" i="61"/>
  <c r="E92" i="61"/>
  <c r="E93" i="61"/>
  <c r="E101" i="61"/>
  <c r="E91" i="61"/>
  <c r="E102" i="61"/>
  <c r="E97" i="61"/>
  <c r="E95" i="61"/>
  <c r="E96" i="61"/>
  <c r="E94" i="61"/>
  <c r="E98" i="61"/>
  <c r="E99" i="61"/>
  <c r="B95" i="61"/>
  <c r="B92" i="61"/>
  <c r="AA12" i="61"/>
  <c r="B93" i="61"/>
  <c r="B96" i="61"/>
  <c r="B98" i="61"/>
  <c r="D52" i="12"/>
  <c r="G4" i="12" s="1"/>
  <c r="P46" i="61"/>
  <c r="V46" i="69"/>
  <c r="P46" i="66"/>
  <c r="D46" i="68"/>
  <c r="J46" i="69"/>
  <c r="D46" i="63"/>
  <c r="P46" i="63"/>
  <c r="F5" i="61"/>
  <c r="D50" i="14"/>
  <c r="G4" i="14" s="1"/>
  <c r="C40" i="69"/>
  <c r="D35" i="69" s="1"/>
  <c r="D50" i="13"/>
  <c r="G4" i="13" s="1"/>
  <c r="AA53" i="67"/>
  <c r="J46" i="61"/>
  <c r="D46" i="61"/>
  <c r="P46" i="69"/>
  <c r="D46" i="67"/>
  <c r="D46" i="66"/>
  <c r="G4" i="66" s="1"/>
  <c r="AV14" i="58"/>
  <c r="AW14" i="58" s="1"/>
  <c r="C110" i="49"/>
  <c r="C111" i="49"/>
  <c r="L110" i="49"/>
  <c r="L68" i="19"/>
  <c r="L70" i="19" s="1"/>
  <c r="L69" i="19"/>
  <c r="L71" i="19"/>
  <c r="L14" i="18"/>
  <c r="I33" i="55"/>
  <c r="J33" i="55" s="1"/>
  <c r="H38" i="18"/>
  <c r="N38" i="18"/>
  <c r="A98" i="63"/>
  <c r="B97" i="63"/>
  <c r="AK32" i="6"/>
  <c r="AF32" i="6"/>
  <c r="AM32" i="6"/>
  <c r="E110" i="24"/>
  <c r="R32" i="6"/>
  <c r="AN32" i="6"/>
  <c r="M32" i="6"/>
  <c r="E115" i="24" s="1"/>
  <c r="AI32" i="6"/>
  <c r="U32" i="6"/>
  <c r="AP32" i="6"/>
  <c r="AJ32" i="6"/>
  <c r="T32" i="6"/>
  <c r="AD32" i="6"/>
  <c r="AQ32" i="6"/>
  <c r="E124" i="24"/>
  <c r="AH32" i="6"/>
  <c r="Q32" i="6"/>
  <c r="E129" i="24" s="1"/>
  <c r="H32" i="21"/>
  <c r="H34" i="21" s="1"/>
  <c r="H36" i="21"/>
  <c r="G18" i="22"/>
  <c r="G19" i="22"/>
  <c r="G15" i="22"/>
  <c r="G7" i="22"/>
  <c r="G16" i="22"/>
  <c r="G8" i="22"/>
  <c r="G11" i="22"/>
  <c r="H9" i="18"/>
  <c r="L9" i="18"/>
  <c r="N9" i="18"/>
  <c r="F45" i="21"/>
  <c r="F47" i="21" s="1"/>
  <c r="S13" i="33"/>
  <c r="U13" i="33"/>
  <c r="J14" i="18"/>
  <c r="J45" i="19"/>
  <c r="J44" i="19"/>
  <c r="J46" i="19" s="1"/>
  <c r="L23" i="21"/>
  <c r="L20" i="21"/>
  <c r="L19" i="21"/>
  <c r="L21" i="21" s="1"/>
  <c r="L95" i="14"/>
  <c r="C97" i="14"/>
  <c r="L96" i="14"/>
  <c r="K58" i="21"/>
  <c r="K57" i="21"/>
  <c r="K59" i="21" s="1"/>
  <c r="L58" i="21"/>
  <c r="L60" i="21"/>
  <c r="C96" i="63"/>
  <c r="AH29" i="5"/>
  <c r="AH27" i="5"/>
  <c r="U6" i="5"/>
  <c r="T31" i="5"/>
  <c r="D89" i="54" s="1"/>
  <c r="AA38" i="36"/>
  <c r="AB38" i="36"/>
  <c r="AA30" i="36"/>
  <c r="AB30" i="36"/>
  <c r="AA14" i="36"/>
  <c r="AB14" i="36"/>
  <c r="T12" i="55"/>
  <c r="BE13" i="6"/>
  <c r="BF13" i="6" s="1"/>
  <c r="AU10" i="5"/>
  <c r="AV10" i="5" s="1"/>
  <c r="AW10" i="5" s="1"/>
  <c r="AX10" i="5" s="1"/>
  <c r="AJ10" i="5"/>
  <c r="AK10" i="5" s="1"/>
  <c r="H59" i="19"/>
  <c r="J57" i="19"/>
  <c r="J59" i="19"/>
  <c r="K69" i="19"/>
  <c r="K68" i="19"/>
  <c r="K70" i="19" s="1"/>
  <c r="K71" i="19"/>
  <c r="G16" i="41"/>
  <c r="G14" i="41"/>
  <c r="F62" i="41"/>
  <c r="G11" i="41"/>
  <c r="G7" i="41"/>
  <c r="G18" i="41"/>
  <c r="G13" i="41"/>
  <c r="G8" i="41"/>
  <c r="G15" i="41"/>
  <c r="G10" i="41"/>
  <c r="G12" i="41"/>
  <c r="J32" i="19"/>
  <c r="J31" i="19"/>
  <c r="J33" i="19" s="1"/>
  <c r="J35" i="19"/>
  <c r="G35" i="19"/>
  <c r="G32" i="19"/>
  <c r="G31" i="19"/>
  <c r="G33" i="19" s="1"/>
  <c r="J42" i="18"/>
  <c r="H42" i="18"/>
  <c r="N42" i="18"/>
  <c r="K25" i="5"/>
  <c r="J25" i="5"/>
  <c r="Q25" i="5" s="1"/>
  <c r="AJ25" i="5" s="1"/>
  <c r="F236" i="24"/>
  <c r="C249" i="24"/>
  <c r="G236" i="24"/>
  <c r="R32" i="36"/>
  <c r="V32" i="36" s="1"/>
  <c r="AT12" i="6"/>
  <c r="AU12" i="6" s="1"/>
  <c r="AV12" i="6" s="1"/>
  <c r="BE12" i="6"/>
  <c r="BF12" i="6" s="1"/>
  <c r="BG12" i="6" s="1"/>
  <c r="L19" i="19"/>
  <c r="K13" i="55"/>
  <c r="BF9" i="58"/>
  <c r="BG9" i="58" s="1"/>
  <c r="AT9" i="58"/>
  <c r="AU9" i="58" s="1"/>
  <c r="L57" i="21"/>
  <c r="L59" i="21" s="1"/>
  <c r="L14" i="58"/>
  <c r="V14" i="58"/>
  <c r="I25" i="5"/>
  <c r="Y37" i="5"/>
  <c r="D125" i="24"/>
  <c r="D117" i="24"/>
  <c r="AB37" i="5"/>
  <c r="AA37" i="5"/>
  <c r="AC37" i="5"/>
  <c r="AG37" i="5"/>
  <c r="J37" i="5"/>
  <c r="D115" i="24" s="1"/>
  <c r="D110" i="24"/>
  <c r="T37" i="5"/>
  <c r="K37" i="5"/>
  <c r="D129" i="24" s="1"/>
  <c r="AD37" i="5"/>
  <c r="AE37" i="5"/>
  <c r="Z37" i="5"/>
  <c r="M37" i="5"/>
  <c r="D68" i="38" s="1"/>
  <c r="D138" i="24"/>
  <c r="G11" i="49"/>
  <c r="G14" i="49"/>
  <c r="G15" i="49"/>
  <c r="G8" i="49"/>
  <c r="F64" i="49"/>
  <c r="G13" i="49"/>
  <c r="G16" i="49"/>
  <c r="G17" i="49"/>
  <c r="G12" i="49"/>
  <c r="H43" i="19"/>
  <c r="G56" i="19"/>
  <c r="G58" i="19" s="1"/>
  <c r="G59" i="19"/>
  <c r="P122" i="54"/>
  <c r="AN12" i="6"/>
  <c r="H31" i="52"/>
  <c r="A94" i="41"/>
  <c r="B95" i="41"/>
  <c r="K31" i="55"/>
  <c r="L30" i="55"/>
  <c r="L31" i="55" s="1"/>
  <c r="L5" i="18"/>
  <c r="J5" i="18"/>
  <c r="H5" i="18"/>
  <c r="P19" i="33"/>
  <c r="N19" i="33"/>
  <c r="A100" i="14"/>
  <c r="B99" i="14"/>
  <c r="S41" i="25"/>
  <c r="S42" i="25" s="1"/>
  <c r="S64" i="25"/>
  <c r="Q27" i="25"/>
  <c r="Q42" i="25" s="1"/>
  <c r="Q63" i="25"/>
  <c r="A65" i="42"/>
  <c r="B64" i="42"/>
  <c r="P14" i="33"/>
  <c r="N14" i="33"/>
  <c r="N12" i="33"/>
  <c r="P12" i="33"/>
  <c r="H31" i="44"/>
  <c r="G31" i="44"/>
  <c r="D22" i="54"/>
  <c r="D50" i="54" s="1"/>
  <c r="D75" i="54" s="1"/>
  <c r="D27" i="24"/>
  <c r="D62" i="24" s="1"/>
  <c r="C94" i="24" s="1"/>
  <c r="H18" i="43"/>
  <c r="G18" i="43"/>
  <c r="K21" i="33"/>
  <c r="E118" i="17"/>
  <c r="E111" i="17"/>
  <c r="E113" i="17"/>
  <c r="E116" i="17"/>
  <c r="E119" i="17"/>
  <c r="E117" i="17"/>
  <c r="E114" i="17"/>
  <c r="E120" i="17"/>
  <c r="E110" i="17"/>
  <c r="E109" i="17"/>
  <c r="E121" i="17"/>
  <c r="E112" i="17"/>
  <c r="B61" i="6"/>
  <c r="T42" i="6"/>
  <c r="T45" i="6" s="1"/>
  <c r="Q51" i="6" s="1"/>
  <c r="Q52" i="6" s="1"/>
  <c r="H29" i="48"/>
  <c r="A19" i="54"/>
  <c r="B35" i="48"/>
  <c r="E35" i="48" s="1"/>
  <c r="H11" i="48"/>
  <c r="B24" i="24"/>
  <c r="H15" i="48"/>
  <c r="H27" i="48"/>
  <c r="E91" i="24"/>
  <c r="G91" i="24" s="1"/>
  <c r="H47" i="48"/>
  <c r="H31" i="48"/>
  <c r="H12" i="48"/>
  <c r="H26" i="48"/>
  <c r="H7" i="48"/>
  <c r="B102" i="48"/>
  <c r="H23" i="48"/>
  <c r="H51" i="52"/>
  <c r="G51" i="52"/>
  <c r="P32" i="53"/>
  <c r="L14" i="53"/>
  <c r="N14" i="53" s="1"/>
  <c r="J14" i="53"/>
  <c r="H63" i="55"/>
  <c r="A113" i="17"/>
  <c r="A111" i="17"/>
  <c r="I38" i="55"/>
  <c r="H40" i="55"/>
  <c r="H41" i="55" s="1"/>
  <c r="AC8" i="61"/>
  <c r="H29" i="61"/>
  <c r="N29" i="61" s="1"/>
  <c r="T29" i="61" s="1"/>
  <c r="C30" i="61"/>
  <c r="H30" i="61" s="1"/>
  <c r="N30" i="61" s="1"/>
  <c r="T30" i="61" s="1"/>
  <c r="AA42" i="61"/>
  <c r="G82" i="24" s="1"/>
  <c r="P79" i="61"/>
  <c r="K17" i="6"/>
  <c r="AK17" i="6"/>
  <c r="AL17" i="6" s="1"/>
  <c r="AO17" i="6"/>
  <c r="AQ17" i="6"/>
  <c r="AQ24" i="6" s="1"/>
  <c r="AI17" i="6"/>
  <c r="AJ17" i="6" s="1"/>
  <c r="L16" i="58"/>
  <c r="E112" i="24"/>
  <c r="AM33" i="6"/>
  <c r="G9" i="15"/>
  <c r="N5" i="18"/>
  <c r="B96" i="11"/>
  <c r="L96" i="11" s="1"/>
  <c r="A95" i="11"/>
  <c r="B95" i="11" s="1"/>
  <c r="AA25" i="9"/>
  <c r="F18" i="21"/>
  <c r="F31" i="21"/>
  <c r="O31" i="18"/>
  <c r="P31" i="18"/>
  <c r="H31" i="18"/>
  <c r="T44" i="58"/>
  <c r="S44" i="58"/>
  <c r="Q44" i="58"/>
  <c r="R44" i="58"/>
  <c r="M44" i="58"/>
  <c r="G11" i="63"/>
  <c r="O32" i="18"/>
  <c r="E36" i="18"/>
  <c r="E39" i="18"/>
  <c r="D64" i="42"/>
  <c r="G63" i="42"/>
  <c r="H26" i="43"/>
  <c r="G26" i="43"/>
  <c r="D76" i="13"/>
  <c r="E76" i="13" s="1"/>
  <c r="E7" i="26"/>
  <c r="F7" i="26"/>
  <c r="J8" i="5"/>
  <c r="K8" i="5"/>
  <c r="AL27" i="6"/>
  <c r="AQ27" i="6"/>
  <c r="V27" i="6"/>
  <c r="S27" i="6"/>
  <c r="U30" i="6"/>
  <c r="M30" i="6"/>
  <c r="E113" i="24" s="1"/>
  <c r="T30" i="6"/>
  <c r="S30" i="6"/>
  <c r="Q30" i="6"/>
  <c r="E127" i="24" s="1"/>
  <c r="G5" i="33"/>
  <c r="E98" i="11"/>
  <c r="E99" i="11"/>
  <c r="F65" i="11"/>
  <c r="F18" i="11"/>
  <c r="G15" i="11" s="1"/>
  <c r="I55" i="55"/>
  <c r="H68" i="55"/>
  <c r="H29" i="43"/>
  <c r="G29" i="43"/>
  <c r="H23" i="52"/>
  <c r="G23" i="52"/>
  <c r="W24" i="58"/>
  <c r="AI32" i="58"/>
  <c r="AO32" i="58"/>
  <c r="C47" i="19"/>
  <c r="C48" i="19" s="1"/>
  <c r="P37" i="18"/>
  <c r="O37" i="18"/>
  <c r="O13" i="18"/>
  <c r="P13" i="18"/>
  <c r="H26" i="12"/>
  <c r="H15" i="12"/>
  <c r="H10" i="12"/>
  <c r="M8" i="54"/>
  <c r="I7" i="24"/>
  <c r="H33" i="12"/>
  <c r="D49" i="12"/>
  <c r="E79" i="24" s="1"/>
  <c r="G79" i="24" s="1"/>
  <c r="H17" i="12"/>
  <c r="H30" i="12"/>
  <c r="H19" i="12"/>
  <c r="F66" i="54"/>
  <c r="J66" i="54" s="1"/>
  <c r="H13" i="12"/>
  <c r="H16" i="12"/>
  <c r="H60" i="12"/>
  <c r="H19" i="52"/>
  <c r="G19" i="52"/>
  <c r="P13" i="53"/>
  <c r="AK27" i="6"/>
  <c r="R31" i="66"/>
  <c r="H56" i="47"/>
  <c r="AO28" i="6"/>
  <c r="M12" i="66"/>
  <c r="M9" i="66"/>
  <c r="Y13" i="67"/>
  <c r="Y14" i="67"/>
  <c r="Y9" i="67"/>
  <c r="Y12" i="67"/>
  <c r="Y11" i="67"/>
  <c r="C35" i="19"/>
  <c r="C36" i="19" s="1"/>
  <c r="H29" i="12"/>
  <c r="H34" i="48"/>
  <c r="H240" i="54"/>
  <c r="H243" i="54" s="1"/>
  <c r="B60" i="47"/>
  <c r="K61" i="47"/>
  <c r="B62" i="47"/>
  <c r="AA10" i="66"/>
  <c r="B94" i="66"/>
  <c r="F61" i="66"/>
  <c r="B93" i="66"/>
  <c r="F17" i="66"/>
  <c r="G16" i="66" s="1"/>
  <c r="A96" i="66"/>
  <c r="B95" i="66"/>
  <c r="X61" i="67"/>
  <c r="Y8" i="67"/>
  <c r="F61" i="67"/>
  <c r="AA10" i="67"/>
  <c r="Y15" i="67"/>
  <c r="L17" i="67"/>
  <c r="M16" i="67" s="1"/>
  <c r="L61" i="67"/>
  <c r="A20" i="68"/>
  <c r="F2" i="68"/>
  <c r="A67" i="68"/>
  <c r="A70" i="68"/>
  <c r="A5" i="68"/>
  <c r="A95" i="68"/>
  <c r="A96" i="68" s="1"/>
  <c r="A93" i="68"/>
  <c r="A92" i="68" s="1"/>
  <c r="A91" i="68" s="1"/>
  <c r="AA11" i="69"/>
  <c r="V72" i="69"/>
  <c r="W72" i="69" s="1"/>
  <c r="R42" i="25"/>
  <c r="H18" i="41"/>
  <c r="W26" i="58"/>
  <c r="W25" i="58"/>
  <c r="B65" i="47"/>
  <c r="E65" i="47"/>
  <c r="X17" i="68"/>
  <c r="J23" i="5"/>
  <c r="M23" i="5" s="1"/>
  <c r="AA8" i="67"/>
  <c r="A95" i="67"/>
  <c r="A96" i="67" s="1"/>
  <c r="A97" i="67" s="1"/>
  <c r="A93" i="67"/>
  <c r="AA14" i="68"/>
  <c r="X17" i="69"/>
  <c r="Y11" i="69" s="1"/>
  <c r="N70" i="69"/>
  <c r="P82" i="69" s="1"/>
  <c r="AA34" i="36"/>
  <c r="AB34" i="36"/>
  <c r="AA18" i="36"/>
  <c r="AB18" i="36"/>
  <c r="AA31" i="67"/>
  <c r="A5" i="69"/>
  <c r="A67" i="69"/>
  <c r="F2" i="69"/>
  <c r="A95" i="69"/>
  <c r="A93" i="69"/>
  <c r="A92" i="69" s="1"/>
  <c r="A91" i="69" s="1"/>
  <c r="AB46" i="36"/>
  <c r="AB22" i="36"/>
  <c r="AA16" i="67"/>
  <c r="Q33" i="36"/>
  <c r="AB32" i="36"/>
  <c r="Q22" i="36"/>
  <c r="AB16" i="36"/>
  <c r="G26" i="60"/>
  <c r="AA30" i="67"/>
  <c r="AE7" i="69"/>
  <c r="Q46" i="36"/>
  <c r="AB44" i="36"/>
  <c r="Q42" i="36"/>
  <c r="AB40" i="36"/>
  <c r="Q26" i="36"/>
  <c r="AB20" i="36"/>
  <c r="AA23" i="68"/>
  <c r="AA26" i="68"/>
  <c r="AA27" i="68"/>
  <c r="AC43" i="68"/>
  <c r="E85" i="24" s="1"/>
  <c r="AB48" i="36"/>
  <c r="AC48" i="36" s="1"/>
  <c r="AD48" i="36" s="1"/>
  <c r="AB36" i="36"/>
  <c r="AB24" i="36"/>
  <c r="AC24" i="36" s="1"/>
  <c r="AD24" i="36" s="1"/>
  <c r="E8" i="60"/>
  <c r="P14" i="60" s="1"/>
  <c r="J21" i="60"/>
  <c r="F20" i="60"/>
  <c r="F21" i="60" s="1"/>
  <c r="M20" i="60"/>
  <c r="M21" i="60" s="1"/>
  <c r="N14" i="60"/>
  <c r="L55" i="68"/>
  <c r="J80" i="68" s="1"/>
  <c r="L36" i="67"/>
  <c r="F36" i="68"/>
  <c r="D78" i="68" s="1"/>
  <c r="D93" i="68" s="1"/>
  <c r="T40" i="67"/>
  <c r="V35" i="67" s="1"/>
  <c r="H52" i="61"/>
  <c r="AA51" i="68"/>
  <c r="L36" i="68"/>
  <c r="L37" i="68" s="1"/>
  <c r="L44" i="68" s="1"/>
  <c r="AA33" i="68"/>
  <c r="L55" i="69"/>
  <c r="J80" i="69" s="1"/>
  <c r="X36" i="67"/>
  <c r="X37" i="67" s="1"/>
  <c r="X44" i="67" s="1"/>
  <c r="L55" i="67"/>
  <c r="J80" i="67" s="1"/>
  <c r="R55" i="67"/>
  <c r="P80" i="67" s="1"/>
  <c r="X55" i="67"/>
  <c r="V80" i="67" s="1"/>
  <c r="F55" i="69"/>
  <c r="D80" i="69" s="1"/>
  <c r="F97" i="69" s="1"/>
  <c r="R55" i="69"/>
  <c r="P80" i="69" s="1"/>
  <c r="X55" i="69"/>
  <c r="V80" i="69" s="1"/>
  <c r="AA50" i="67"/>
  <c r="AA52" i="67"/>
  <c r="F36" i="69"/>
  <c r="D78" i="69" s="1"/>
  <c r="F36" i="67"/>
  <c r="D78" i="67" s="1"/>
  <c r="D92" i="67" s="1"/>
  <c r="AA51" i="69"/>
  <c r="AA35" i="67"/>
  <c r="AA35" i="68"/>
  <c r="C40" i="67"/>
  <c r="D35" i="67" s="1"/>
  <c r="W41" i="58"/>
  <c r="W31" i="58"/>
  <c r="F142" i="24" s="1"/>
  <c r="W39" i="58"/>
  <c r="AA52" i="69"/>
  <c r="T14" i="28"/>
  <c r="F21" i="28"/>
  <c r="F12" i="28"/>
  <c r="AP24" i="5"/>
  <c r="AQ24" i="5" s="1"/>
  <c r="AL14" i="5"/>
  <c r="AM14" i="5" s="1"/>
  <c r="AW21" i="5"/>
  <c r="AX21" i="5" s="1"/>
  <c r="AA50" i="69"/>
  <c r="W23" i="5"/>
  <c r="AV19" i="5"/>
  <c r="AW19" i="5" s="1"/>
  <c r="J20" i="5"/>
  <c r="Q20" i="5" s="1"/>
  <c r="J13" i="5"/>
  <c r="F55" i="68"/>
  <c r="D80" i="68" s="1"/>
  <c r="F91" i="68" s="1"/>
  <c r="X55" i="68"/>
  <c r="V80" i="68" s="1"/>
  <c r="Q31" i="6"/>
  <c r="Z32" i="6"/>
  <c r="X55" i="66"/>
  <c r="L13" i="60"/>
  <c r="P13" i="60"/>
  <c r="R13" i="60" s="1"/>
  <c r="D23" i="24"/>
  <c r="D58" i="24" s="1"/>
  <c r="C90" i="24" s="1"/>
  <c r="K13" i="60"/>
  <c r="O14" i="60" s="1"/>
  <c r="D25" i="60"/>
  <c r="S13" i="60"/>
  <c r="H29" i="69"/>
  <c r="N29" i="69" s="1"/>
  <c r="T29" i="69" s="1"/>
  <c r="C30" i="69"/>
  <c r="H30" i="69" s="1"/>
  <c r="N30" i="69" s="1"/>
  <c r="T30" i="69" s="1"/>
  <c r="AA29" i="69"/>
  <c r="L36" i="69"/>
  <c r="H40" i="69"/>
  <c r="J35" i="69" s="1"/>
  <c r="AA30" i="69"/>
  <c r="AI48" i="36"/>
  <c r="AH48" i="36"/>
  <c r="U40" i="36"/>
  <c r="X40" i="36" s="1"/>
  <c r="R40" i="36"/>
  <c r="V40" i="36" s="1"/>
  <c r="AA12" i="36"/>
  <c r="AB12" i="36"/>
  <c r="AC12" i="36" s="1"/>
  <c r="L16" i="6"/>
  <c r="V16" i="6"/>
  <c r="L17" i="6"/>
  <c r="AA31" i="69"/>
  <c r="C25" i="69"/>
  <c r="H24" i="69"/>
  <c r="N24" i="69" s="1"/>
  <c r="T24" i="69" s="1"/>
  <c r="AA28" i="69"/>
  <c r="AB43" i="36"/>
  <c r="Y53" i="36"/>
  <c r="Y54" i="36"/>
  <c r="S37" i="55"/>
  <c r="T37" i="55" s="1"/>
  <c r="C65" i="26"/>
  <c r="F55" i="67"/>
  <c r="AA51" i="67"/>
  <c r="BH18" i="6"/>
  <c r="BI18" i="6" s="1"/>
  <c r="Q25" i="9"/>
  <c r="M25" i="9"/>
  <c r="U25" i="9" s="1"/>
  <c r="A26" i="9" s="1"/>
  <c r="K26" i="9"/>
  <c r="AP5" i="6"/>
  <c r="R61" i="69"/>
  <c r="AA15" i="69"/>
  <c r="R17" i="69"/>
  <c r="S15" i="69" s="1"/>
  <c r="P53" i="36"/>
  <c r="Q10" i="55"/>
  <c r="AY15" i="5"/>
  <c r="AZ15" i="5" s="1"/>
  <c r="N40" i="68"/>
  <c r="P35" i="68" s="1"/>
  <c r="R36" i="68"/>
  <c r="AV13" i="6"/>
  <c r="AU14" i="6"/>
  <c r="AV14" i="6" s="1"/>
  <c r="AA53" i="68"/>
  <c r="R55" i="68"/>
  <c r="P80" i="68" s="1"/>
  <c r="V6" i="58"/>
  <c r="L6" i="58"/>
  <c r="AA50" i="68"/>
  <c r="G71" i="19"/>
  <c r="G69" i="19"/>
  <c r="S22" i="55"/>
  <c r="T22" i="55" s="1"/>
  <c r="O23" i="55"/>
  <c r="P23" i="55" s="1"/>
  <c r="Q23" i="55" s="1"/>
  <c r="R23" i="55" s="1"/>
  <c r="S23" i="55" s="1"/>
  <c r="T23" i="55"/>
  <c r="P31" i="53"/>
  <c r="AW24" i="5"/>
  <c r="AX24" i="5" s="1"/>
  <c r="Q7" i="58"/>
  <c r="L18" i="6"/>
  <c r="L13" i="6"/>
  <c r="V13" i="6"/>
  <c r="G11" i="20"/>
  <c r="G13" i="20"/>
  <c r="G7" i="20"/>
  <c r="C130" i="24"/>
  <c r="F116" i="24"/>
  <c r="AA31" i="58"/>
  <c r="F67" i="38"/>
  <c r="D49" i="44" s="1"/>
  <c r="AA52" i="68"/>
  <c r="T19" i="55"/>
  <c r="AS16" i="6"/>
  <c r="AT16" i="6" s="1"/>
  <c r="BD16" i="6"/>
  <c r="BE16" i="6" s="1"/>
  <c r="AA22" i="68"/>
  <c r="X36" i="68"/>
  <c r="AW14" i="5"/>
  <c r="AX14" i="5" s="1"/>
  <c r="H33" i="49"/>
  <c r="C43" i="49"/>
  <c r="D38" i="49" s="1"/>
  <c r="F38" i="49" s="1"/>
  <c r="F39" i="49"/>
  <c r="I43" i="19"/>
  <c r="H20" i="21"/>
  <c r="H19" i="21"/>
  <c r="G7" i="43"/>
  <c r="G10" i="43"/>
  <c r="G11" i="43"/>
  <c r="G12" i="43"/>
  <c r="G15" i="43"/>
  <c r="G14" i="43"/>
  <c r="G13" i="43"/>
  <c r="G9" i="43"/>
  <c r="I30" i="19"/>
  <c r="AJ16" i="6"/>
  <c r="AL12" i="6"/>
  <c r="D101" i="54"/>
  <c r="D124" i="24"/>
  <c r="B62" i="42"/>
  <c r="A61" i="42"/>
  <c r="H62" i="42"/>
  <c r="K63" i="42"/>
  <c r="AL10" i="5"/>
  <c r="AM10" i="5" s="1"/>
  <c r="H42" i="25"/>
  <c r="L17" i="55"/>
  <c r="M17" i="55" s="1"/>
  <c r="N17" i="55" s="1"/>
  <c r="O17" i="55" s="1"/>
  <c r="P17" i="55" s="1"/>
  <c r="Q17" i="55" s="1"/>
  <c r="R17" i="55" s="1"/>
  <c r="S17" i="55" s="1"/>
  <c r="AI12" i="36"/>
  <c r="C27" i="2"/>
  <c r="C26" i="2"/>
  <c r="AA13" i="58"/>
  <c r="AA11" i="58"/>
  <c r="Q8" i="6"/>
  <c r="V12" i="6"/>
  <c r="L12" i="6"/>
  <c r="E98" i="41"/>
  <c r="E101" i="41"/>
  <c r="E93" i="41"/>
  <c r="E102" i="41"/>
  <c r="E104" i="41"/>
  <c r="E99" i="41"/>
  <c r="E94" i="41"/>
  <c r="E100" i="41"/>
  <c r="E97" i="41"/>
  <c r="E105" i="41"/>
  <c r="S7" i="55"/>
  <c r="T7" i="55" s="1"/>
  <c r="R8" i="55"/>
  <c r="B119" i="53"/>
  <c r="A120" i="53"/>
  <c r="J19" i="19"/>
  <c r="J22" i="19"/>
  <c r="G80" i="19"/>
  <c r="G17" i="19"/>
  <c r="Q17" i="5"/>
  <c r="M17" i="5"/>
  <c r="N20" i="55"/>
  <c r="O20" i="55" s="1"/>
  <c r="P20" i="55" s="1"/>
  <c r="Q20" i="55" s="1"/>
  <c r="R20" i="55" s="1"/>
  <c r="S20" i="55" s="1"/>
  <c r="R14" i="33"/>
  <c r="T14" i="33"/>
  <c r="U14" i="33"/>
  <c r="S14" i="33"/>
  <c r="B64" i="40"/>
  <c r="B65" i="40" s="1"/>
  <c r="H44" i="40" s="1"/>
  <c r="K32" i="19"/>
  <c r="K35" i="19"/>
  <c r="K31" i="19"/>
  <c r="K33" i="19" s="1"/>
  <c r="H203" i="54"/>
  <c r="K19" i="19"/>
  <c r="K22" i="19"/>
  <c r="I18" i="55"/>
  <c r="H26" i="55"/>
  <c r="AD26" i="6"/>
  <c r="AH6" i="6"/>
  <c r="S48" i="58"/>
  <c r="U48" i="58"/>
  <c r="M48" i="58"/>
  <c r="R48" i="58"/>
  <c r="V48" i="58"/>
  <c r="AA48" i="58" s="1"/>
  <c r="Q48" i="58"/>
  <c r="Z11" i="6"/>
  <c r="L20" i="6"/>
  <c r="V20" i="6"/>
  <c r="I17" i="19"/>
  <c r="N7" i="18"/>
  <c r="L7" i="18"/>
  <c r="M66" i="19"/>
  <c r="R24" i="55"/>
  <c r="S24" i="55" s="1"/>
  <c r="A101" i="61"/>
  <c r="B100" i="61"/>
  <c r="AJ6" i="6"/>
  <c r="L34" i="55"/>
  <c r="J35" i="18"/>
  <c r="H35" i="18"/>
  <c r="N35" i="18"/>
  <c r="L35" i="18"/>
  <c r="N32" i="5"/>
  <c r="D63" i="38"/>
  <c r="L35" i="55"/>
  <c r="M35" i="55" s="1"/>
  <c r="N35" i="55" s="1"/>
  <c r="O35" i="55" s="1"/>
  <c r="P35" i="55" s="1"/>
  <c r="Q35" i="55" s="1"/>
  <c r="R35" i="55" s="1"/>
  <c r="S35" i="55" s="1"/>
  <c r="I20" i="21"/>
  <c r="I23" i="21"/>
  <c r="I19" i="21"/>
  <c r="I21" i="21" s="1"/>
  <c r="K18" i="21"/>
  <c r="K43" i="19"/>
  <c r="K80" i="19"/>
  <c r="C85" i="19"/>
  <c r="C93" i="19" s="1"/>
  <c r="C22" i="19"/>
  <c r="C23" i="19" s="1"/>
  <c r="F55" i="19"/>
  <c r="F67" i="19"/>
  <c r="R45" i="18"/>
  <c r="R47" i="18" s="1"/>
  <c r="G45" i="18"/>
  <c r="G46" i="18" s="1"/>
  <c r="F46" i="18" s="1"/>
  <c r="P41" i="18"/>
  <c r="O41" i="18"/>
  <c r="O4" i="18"/>
  <c r="R4" i="18"/>
  <c r="P4" i="18"/>
  <c r="G18" i="18"/>
  <c r="G19" i="18" s="1"/>
  <c r="F19" i="18" s="1"/>
  <c r="A111" i="53"/>
  <c r="B112" i="53"/>
  <c r="G51" i="26"/>
  <c r="I51" i="26"/>
  <c r="H51" i="26"/>
  <c r="I68" i="19"/>
  <c r="I70" i="19" s="1"/>
  <c r="M29" i="55"/>
  <c r="B99" i="10"/>
  <c r="A100" i="10"/>
  <c r="G11" i="13"/>
  <c r="F132" i="54"/>
  <c r="K28" i="33"/>
  <c r="E161" i="24" s="1"/>
  <c r="C191" i="24" s="1"/>
  <c r="B162" i="54" s="1"/>
  <c r="D162" i="54" s="1"/>
  <c r="F162" i="54" s="1"/>
  <c r="H162" i="54" s="1"/>
  <c r="J162" i="54" s="1"/>
  <c r="L162" i="54" s="1"/>
  <c r="N18" i="33"/>
  <c r="P18" i="33"/>
  <c r="F33" i="21"/>
  <c r="F36" i="21"/>
  <c r="F32" i="21"/>
  <c r="AA26" i="9"/>
  <c r="AA27" i="9" s="1"/>
  <c r="AA28" i="9" s="1"/>
  <c r="AA29" i="9" s="1"/>
  <c r="AA30" i="9" s="1"/>
  <c r="AA31" i="9" s="1"/>
  <c r="AA32" i="9" s="1"/>
  <c r="AA33" i="9" s="1"/>
  <c r="AA34" i="9" s="1"/>
  <c r="AA35" i="9" s="1"/>
  <c r="AA36" i="9" s="1"/>
  <c r="AA37" i="9" s="1"/>
  <c r="AA38" i="9" s="1"/>
  <c r="AA39" i="9" s="1"/>
  <c r="AA40" i="9" s="1"/>
  <c r="AA41" i="9" s="1"/>
  <c r="AA42" i="9" s="1"/>
  <c r="AA43" i="9" s="1"/>
  <c r="AA44" i="9" s="1"/>
  <c r="AA45" i="9" s="1"/>
  <c r="X46" i="9"/>
  <c r="G22" i="9"/>
  <c r="L22" i="9"/>
  <c r="B115" i="53"/>
  <c r="B113" i="53"/>
  <c r="F19" i="53"/>
  <c r="G17" i="53" s="1"/>
  <c r="B116" i="53"/>
  <c r="B117" i="53"/>
  <c r="B114" i="53"/>
  <c r="P17" i="53"/>
  <c r="P25" i="53"/>
  <c r="H38" i="53"/>
  <c r="J38" i="53" s="1"/>
  <c r="P34" i="53"/>
  <c r="G234" i="24"/>
  <c r="F234" i="24"/>
  <c r="AJ33" i="58"/>
  <c r="AQ33" i="58"/>
  <c r="AP33" i="58"/>
  <c r="AM33" i="58"/>
  <c r="AI33" i="58"/>
  <c r="AO33" i="58"/>
  <c r="AK33" i="58"/>
  <c r="AE33" i="58"/>
  <c r="AE35" i="58" s="1"/>
  <c r="AG33" i="58"/>
  <c r="F125" i="24"/>
  <c r="F109" i="24"/>
  <c r="F123" i="24"/>
  <c r="F61" i="38"/>
  <c r="F65" i="38"/>
  <c r="E95" i="58"/>
  <c r="F122" i="24"/>
  <c r="T33" i="58"/>
  <c r="F128" i="24"/>
  <c r="H60" i="21"/>
  <c r="H57" i="21"/>
  <c r="H59" i="21" s="1"/>
  <c r="H33" i="48"/>
  <c r="V31" i="6"/>
  <c r="I15" i="55"/>
  <c r="R9" i="55"/>
  <c r="S9" i="55" s="1"/>
  <c r="G61" i="38"/>
  <c r="G66" i="38"/>
  <c r="G64" i="38"/>
  <c r="F42" i="47"/>
  <c r="L27" i="25"/>
  <c r="L42" i="25" s="1"/>
  <c r="L63" i="25"/>
  <c r="L65" i="25" s="1"/>
  <c r="K64" i="25"/>
  <c r="K65" i="25" s="1"/>
  <c r="E43" i="47"/>
  <c r="E57" i="47" s="1"/>
  <c r="K27" i="25"/>
  <c r="K42" i="25" s="1"/>
  <c r="N15" i="33"/>
  <c r="P15" i="33"/>
  <c r="H22" i="43"/>
  <c r="G22" i="43"/>
  <c r="H25" i="44"/>
  <c r="G25" i="44"/>
  <c r="H20" i="44"/>
  <c r="G20" i="44"/>
  <c r="G16" i="13"/>
  <c r="F67" i="12"/>
  <c r="F65" i="10"/>
  <c r="H16" i="10"/>
  <c r="F18" i="10"/>
  <c r="C56" i="13"/>
  <c r="C57" i="13"/>
  <c r="D47" i="15"/>
  <c r="E88" i="24" s="1"/>
  <c r="G88" i="24" s="1"/>
  <c r="L29" i="5"/>
  <c r="L27" i="5"/>
  <c r="D47" i="63"/>
  <c r="G4" i="63" s="1"/>
  <c r="D29" i="10"/>
  <c r="F29" i="10" s="1"/>
  <c r="D53" i="12"/>
  <c r="D51" i="10"/>
  <c r="D47" i="66"/>
  <c r="D47" i="61"/>
  <c r="G4" i="61" s="1"/>
  <c r="D51" i="13"/>
  <c r="D29" i="11"/>
  <c r="F29" i="11" s="1"/>
  <c r="D47" i="68"/>
  <c r="G4" i="68" s="1"/>
  <c r="D51" i="14"/>
  <c r="D47" i="67"/>
  <c r="G4" i="67" s="1"/>
  <c r="D74" i="48"/>
  <c r="E74" i="48" s="1"/>
  <c r="H10" i="48"/>
  <c r="F18" i="48"/>
  <c r="B112" i="48"/>
  <c r="A113" i="48"/>
  <c r="A111" i="48"/>
  <c r="H12" i="52"/>
  <c r="H15" i="52" s="1"/>
  <c r="F15" i="52"/>
  <c r="H24" i="52"/>
  <c r="G24" i="52"/>
  <c r="C143" i="24"/>
  <c r="A105" i="11"/>
  <c r="L11" i="18"/>
  <c r="J11" i="18"/>
  <c r="H11" i="18"/>
  <c r="A97" i="10"/>
  <c r="B98" i="10"/>
  <c r="K21" i="55"/>
  <c r="L21" i="55" s="1"/>
  <c r="M21" i="55" s="1"/>
  <c r="N21" i="55" s="1"/>
  <c r="O21" i="55" s="1"/>
  <c r="P21" i="55" s="1"/>
  <c r="Q21" i="55" s="1"/>
  <c r="R21" i="55" s="1"/>
  <c r="S21" i="55" s="1"/>
  <c r="AH14" i="6"/>
  <c r="AH24" i="6" s="1"/>
  <c r="AD24" i="6"/>
  <c r="AE17" i="5"/>
  <c r="AE29" i="5" s="1"/>
  <c r="AD29" i="5"/>
  <c r="AD27" i="5"/>
  <c r="Y15" i="5"/>
  <c r="U29" i="5"/>
  <c r="AA12" i="5"/>
  <c r="Z27" i="5"/>
  <c r="Z29" i="5"/>
  <c r="AC8" i="5"/>
  <c r="AB27" i="5"/>
  <c r="AB29" i="5"/>
  <c r="Y46" i="9"/>
  <c r="I13" i="55"/>
  <c r="B6" i="24"/>
  <c r="B6" i="70" s="1"/>
  <c r="H24" i="11"/>
  <c r="H7" i="11"/>
  <c r="M48" i="53"/>
  <c r="N48" i="53" s="1"/>
  <c r="J48" i="53"/>
  <c r="P48" i="53" s="1"/>
  <c r="J22" i="5"/>
  <c r="I22" i="5"/>
  <c r="B103" i="11"/>
  <c r="Q64" i="25"/>
  <c r="K43" i="47"/>
  <c r="K57" i="47" s="1"/>
  <c r="F65" i="13"/>
  <c r="H19" i="58"/>
  <c r="AG19" i="58"/>
  <c r="AD19" i="58"/>
  <c r="W12" i="5"/>
  <c r="J12" i="5"/>
  <c r="K16" i="58"/>
  <c r="AL16" i="58"/>
  <c r="AM16" i="58" s="1"/>
  <c r="AP16" i="58"/>
  <c r="AR16" i="58"/>
  <c r="K8" i="58"/>
  <c r="AJ8" i="58"/>
  <c r="AL8" i="58"/>
  <c r="P38" i="18"/>
  <c r="O38" i="18"/>
  <c r="C212" i="24"/>
  <c r="B183" i="54" s="1"/>
  <c r="D183" i="54" s="1"/>
  <c r="F183" i="54" s="1"/>
  <c r="H183" i="54" s="1"/>
  <c r="J183" i="54" s="1"/>
  <c r="L183" i="54" s="1"/>
  <c r="D43" i="47"/>
  <c r="B57" i="47" s="1"/>
  <c r="J27" i="25"/>
  <c r="J42" i="25" s="1"/>
  <c r="H20" i="43"/>
  <c r="G20" i="43"/>
  <c r="M42" i="47"/>
  <c r="K56" i="47" s="1"/>
  <c r="S63" i="25"/>
  <c r="S65" i="25" s="1"/>
  <c r="P27" i="53"/>
  <c r="AJ15" i="5"/>
  <c r="AK15" i="5" s="1"/>
  <c r="C83" i="21"/>
  <c r="C93" i="21" s="1"/>
  <c r="B59" i="47"/>
  <c r="B61" i="47"/>
  <c r="E60" i="47"/>
  <c r="K6" i="58"/>
  <c r="AN6" i="58"/>
  <c r="T27" i="6"/>
  <c r="M16" i="68"/>
  <c r="M12" i="68"/>
  <c r="M17" i="68"/>
  <c r="L60" i="68"/>
  <c r="M8" i="68"/>
  <c r="M10" i="68"/>
  <c r="M15" i="68"/>
  <c r="M9" i="68"/>
  <c r="M11" i="68"/>
  <c r="M15" i="66"/>
  <c r="G10" i="68"/>
  <c r="G17" i="68"/>
  <c r="G9" i="68"/>
  <c r="G8" i="68"/>
  <c r="Y17" i="68"/>
  <c r="F60" i="68"/>
  <c r="G16" i="68"/>
  <c r="G13" i="68"/>
  <c r="G12" i="68"/>
  <c r="AA24" i="68"/>
  <c r="AA11" i="66"/>
  <c r="R36" i="67"/>
  <c r="N40" i="67"/>
  <c r="P35" i="67" s="1"/>
  <c r="AA34" i="67"/>
  <c r="AA14" i="69"/>
  <c r="B94" i="69"/>
  <c r="F17" i="69"/>
  <c r="C27" i="67"/>
  <c r="H27" i="67" s="1"/>
  <c r="N27" i="67" s="1"/>
  <c r="T27" i="67" s="1"/>
  <c r="C70" i="67"/>
  <c r="D82" i="67" s="1"/>
  <c r="AC8" i="67"/>
  <c r="AA9" i="68"/>
  <c r="R17" i="68"/>
  <c r="B94" i="68"/>
  <c r="D72" i="68"/>
  <c r="B91" i="68"/>
  <c r="G11" i="68"/>
  <c r="AA11" i="68"/>
  <c r="B95" i="68"/>
  <c r="AF8" i="66"/>
  <c r="AE7" i="66"/>
  <c r="X17" i="66"/>
  <c r="Y16" i="66" s="1"/>
  <c r="X61" i="66"/>
  <c r="AA13" i="66"/>
  <c r="J72" i="66"/>
  <c r="K72" i="66" s="1"/>
  <c r="AA16" i="66"/>
  <c r="D79" i="66"/>
  <c r="F17" i="67"/>
  <c r="B94" i="67"/>
  <c r="B96" i="67"/>
  <c r="R61" i="67"/>
  <c r="R17" i="67"/>
  <c r="AA14" i="67"/>
  <c r="B91" i="69"/>
  <c r="Q42" i="66"/>
  <c r="AF8" i="67"/>
  <c r="AE7" i="67"/>
  <c r="I12" i="24"/>
  <c r="N70" i="67"/>
  <c r="P82" i="67" s="1"/>
  <c r="R36" i="69"/>
  <c r="N40" i="69"/>
  <c r="P35" i="69" s="1"/>
  <c r="AA32" i="69"/>
  <c r="AC42" i="69"/>
  <c r="Q37" i="36"/>
  <c r="Q29" i="36"/>
  <c r="Q25" i="36"/>
  <c r="Q21" i="36"/>
  <c r="Q17" i="36"/>
  <c r="Q13" i="36"/>
  <c r="Z53" i="36"/>
  <c r="AA11" i="36"/>
  <c r="H81" i="21"/>
  <c r="I68" i="21"/>
  <c r="D46" i="24" l="1"/>
  <c r="C80" i="24" s="1"/>
  <c r="E117" i="24"/>
  <c r="T35" i="58"/>
  <c r="P32" i="54"/>
  <c r="L153" i="24"/>
  <c r="D37" i="17"/>
  <c r="F37" i="17" s="1"/>
  <c r="H37" i="17" s="1"/>
  <c r="AB6" i="63"/>
  <c r="AB6" i="68"/>
  <c r="AB6" i="67"/>
  <c r="AK31" i="63"/>
  <c r="AL31" i="63" s="1"/>
  <c r="AB6" i="69"/>
  <c r="M33" i="6"/>
  <c r="E116" i="24" s="1"/>
  <c r="T33" i="6"/>
  <c r="V47" i="69"/>
  <c r="G4" i="69"/>
  <c r="AB6" i="66"/>
  <c r="R17" i="61"/>
  <c r="S16" i="61" s="1"/>
  <c r="AB6" i="61"/>
  <c r="M14" i="66"/>
  <c r="M13" i="66"/>
  <c r="M8" i="66"/>
  <c r="L60" i="66"/>
  <c r="M11" i="66"/>
  <c r="M16" i="66"/>
  <c r="AC44" i="69"/>
  <c r="F84" i="24" s="1"/>
  <c r="AA24" i="66"/>
  <c r="AA8" i="61"/>
  <c r="AA23" i="66"/>
  <c r="N51" i="61"/>
  <c r="T51" i="63"/>
  <c r="N51" i="63"/>
  <c r="H50" i="43"/>
  <c r="D47" i="24"/>
  <c r="C81" i="24" s="1"/>
  <c r="P47" i="69"/>
  <c r="E131" i="24"/>
  <c r="D131" i="24"/>
  <c r="S35" i="58"/>
  <c r="BE10" i="58"/>
  <c r="BF10" i="58" s="1"/>
  <c r="BG10" i="58" s="1"/>
  <c r="BH10" i="58" s="1"/>
  <c r="L9" i="58"/>
  <c r="M17" i="66"/>
  <c r="H50" i="61"/>
  <c r="T50" i="61"/>
  <c r="H51" i="61"/>
  <c r="F43" i="38"/>
  <c r="J20" i="54"/>
  <c r="P20" i="54" s="1"/>
  <c r="H23" i="54"/>
  <c r="J23" i="54" s="1"/>
  <c r="P23" i="54" s="1"/>
  <c r="F56" i="15"/>
  <c r="H56" i="15" s="1"/>
  <c r="BF20" i="58"/>
  <c r="BG20" i="58" s="1"/>
  <c r="BH20" i="58" s="1"/>
  <c r="AG21" i="58"/>
  <c r="AT20" i="58"/>
  <c r="AU20" i="58" s="1"/>
  <c r="V20" i="58"/>
  <c r="D82" i="61"/>
  <c r="E72" i="61"/>
  <c r="N52" i="69"/>
  <c r="H52" i="69"/>
  <c r="L37" i="24"/>
  <c r="G69" i="21"/>
  <c r="G71" i="21" s="1"/>
  <c r="H51" i="67"/>
  <c r="C33" i="40"/>
  <c r="C34" i="40"/>
  <c r="H31" i="40"/>
  <c r="C32" i="40" s="1"/>
  <c r="I26" i="36"/>
  <c r="I45" i="36"/>
  <c r="I22" i="36"/>
  <c r="I33" i="36"/>
  <c r="I25" i="36"/>
  <c r="I23" i="36"/>
  <c r="I34" i="36"/>
  <c r="I24" i="36"/>
  <c r="I49" i="36"/>
  <c r="I46" i="36"/>
  <c r="I42" i="36"/>
  <c r="I18" i="36"/>
  <c r="I50" i="36"/>
  <c r="I27" i="36"/>
  <c r="AG11" i="36"/>
  <c r="I11" i="36"/>
  <c r="AF11" i="36" s="1"/>
  <c r="AF53" i="36" s="1"/>
  <c r="I17" i="36"/>
  <c r="I47" i="36"/>
  <c r="I28" i="36"/>
  <c r="I20" i="36"/>
  <c r="I51" i="36"/>
  <c r="I15" i="36"/>
  <c r="I41" i="36"/>
  <c r="I13" i="36"/>
  <c r="I14" i="36"/>
  <c r="I21" i="36"/>
  <c r="I44" i="36"/>
  <c r="I36" i="36"/>
  <c r="I37" i="36"/>
  <c r="I19" i="36"/>
  <c r="I43" i="36"/>
  <c r="I16" i="36"/>
  <c r="I30" i="36"/>
  <c r="D140" i="24"/>
  <c r="D114" i="54"/>
  <c r="P114" i="54" s="1"/>
  <c r="J22" i="61"/>
  <c r="F22" i="61"/>
  <c r="T51" i="67"/>
  <c r="S11" i="61"/>
  <c r="C94" i="61"/>
  <c r="M95" i="61"/>
  <c r="H53" i="61"/>
  <c r="F140" i="24"/>
  <c r="AG29" i="5"/>
  <c r="M6" i="5"/>
  <c r="M36" i="5" s="1"/>
  <c r="D67" i="38" s="1"/>
  <c r="D47" i="44" s="1"/>
  <c r="F47" i="44" s="1"/>
  <c r="G47" i="44" s="1"/>
  <c r="D128" i="24"/>
  <c r="D137" i="24"/>
  <c r="W34" i="58"/>
  <c r="F145" i="24" s="1"/>
  <c r="J34" i="5"/>
  <c r="D112" i="24" s="1"/>
  <c r="Q6" i="5"/>
  <c r="J36" i="5"/>
  <c r="D48" i="52"/>
  <c r="F48" i="52" s="1"/>
  <c r="H48" i="52" s="1"/>
  <c r="N53" i="61"/>
  <c r="AI51" i="36"/>
  <c r="AC51" i="36"/>
  <c r="AD51" i="36" s="1"/>
  <c r="H26" i="68"/>
  <c r="N26" i="68" s="1"/>
  <c r="T26" i="68" s="1"/>
  <c r="C27" i="68"/>
  <c r="H27" i="68" s="1"/>
  <c r="N27" i="68" s="1"/>
  <c r="T27" i="68" s="1"/>
  <c r="H75" i="53"/>
  <c r="I75" i="53" s="1"/>
  <c r="G7" i="13"/>
  <c r="F64" i="13"/>
  <c r="I71" i="19"/>
  <c r="H41" i="18"/>
  <c r="AN24" i="6"/>
  <c r="AN35" i="6" s="1"/>
  <c r="I80" i="19"/>
  <c r="I81" i="19" s="1"/>
  <c r="G38" i="24"/>
  <c r="L38" i="24" s="1"/>
  <c r="G12" i="20"/>
  <c r="G8" i="20"/>
  <c r="G9" i="20"/>
  <c r="AS19" i="6"/>
  <c r="AT19" i="6" s="1"/>
  <c r="AU19" i="6" s="1"/>
  <c r="AV19" i="6" s="1"/>
  <c r="V15" i="58"/>
  <c r="H80" i="19"/>
  <c r="Z9" i="6"/>
  <c r="H14" i="18"/>
  <c r="S15" i="61"/>
  <c r="H22" i="54"/>
  <c r="J22" i="54" s="1"/>
  <c r="P22" i="54" s="1"/>
  <c r="L15" i="6"/>
  <c r="G8" i="14"/>
  <c r="F64" i="14"/>
  <c r="AU15" i="58"/>
  <c r="AV15" i="58" s="1"/>
  <c r="AW15" i="58" s="1"/>
  <c r="I59" i="19"/>
  <c r="R51" i="36"/>
  <c r="V51" i="36" s="1"/>
  <c r="F137" i="24"/>
  <c r="P6" i="33"/>
  <c r="N6" i="33"/>
  <c r="N21" i="33" s="1"/>
  <c r="N40" i="18"/>
  <c r="L40" i="18"/>
  <c r="J40" i="18"/>
  <c r="AN24" i="58"/>
  <c r="AN35" i="58" s="1"/>
  <c r="AM17" i="58"/>
  <c r="AM24" i="58" s="1"/>
  <c r="AM35" i="58" s="1"/>
  <c r="AL24" i="58"/>
  <c r="AL35" i="58" s="1"/>
  <c r="K27" i="33"/>
  <c r="E152" i="24" s="1"/>
  <c r="G155" i="24" s="1"/>
  <c r="C182" i="24" s="1"/>
  <c r="B153" i="54" s="1"/>
  <c r="F123" i="54"/>
  <c r="E56" i="47"/>
  <c r="G9" i="13"/>
  <c r="G15" i="13"/>
  <c r="O18" i="18"/>
  <c r="O19" i="18" s="1"/>
  <c r="H24" i="18" s="1"/>
  <c r="F30" i="19"/>
  <c r="K81" i="19"/>
  <c r="F64" i="20"/>
  <c r="G16" i="20"/>
  <c r="G18" i="20"/>
  <c r="H56" i="19"/>
  <c r="H58" i="19" s="1"/>
  <c r="S12" i="61"/>
  <c r="G81" i="21"/>
  <c r="G93" i="21" s="1"/>
  <c r="G94" i="21" s="1"/>
  <c r="U46" i="58"/>
  <c r="J10" i="54"/>
  <c r="P10" i="54" s="1"/>
  <c r="G12" i="14"/>
  <c r="G14" i="14"/>
  <c r="G13" i="14"/>
  <c r="S14" i="63"/>
  <c r="P124" i="54"/>
  <c r="H25" i="68"/>
  <c r="N25" i="68" s="1"/>
  <c r="T25" i="68" s="1"/>
  <c r="L35" i="19"/>
  <c r="AO24" i="58"/>
  <c r="AO35" i="58" s="1"/>
  <c r="P10" i="33"/>
  <c r="N10" i="33"/>
  <c r="H25" i="61"/>
  <c r="N25" i="61" s="1"/>
  <c r="T25" i="61" s="1"/>
  <c r="C26" i="61"/>
  <c r="G7" i="49"/>
  <c r="G10" i="49"/>
  <c r="G9" i="49"/>
  <c r="M44" i="21"/>
  <c r="N44" i="21" s="1"/>
  <c r="P44" i="21" s="1"/>
  <c r="H22" i="52"/>
  <c r="G22" i="52"/>
  <c r="G12" i="24"/>
  <c r="L12" i="24" s="1"/>
  <c r="G14" i="13"/>
  <c r="F43" i="19"/>
  <c r="F80" i="19"/>
  <c r="M16" i="19"/>
  <c r="G14" i="20"/>
  <c r="G10" i="20"/>
  <c r="G17" i="20"/>
  <c r="AO21" i="6"/>
  <c r="AM21" i="6"/>
  <c r="Y15" i="63"/>
  <c r="S14" i="61"/>
  <c r="V7" i="6"/>
  <c r="G17" i="14"/>
  <c r="G9" i="14"/>
  <c r="S12" i="63"/>
  <c r="AH24" i="36"/>
  <c r="N41" i="18"/>
  <c r="G25" i="24"/>
  <c r="L25" i="24" s="1"/>
  <c r="H19" i="22"/>
  <c r="L41" i="18"/>
  <c r="AM24" i="6"/>
  <c r="L31" i="19"/>
  <c r="L33" i="19" s="1"/>
  <c r="W45" i="58"/>
  <c r="U28" i="36"/>
  <c r="X28" i="36" s="1"/>
  <c r="R28" i="36"/>
  <c r="V28" i="36" s="1"/>
  <c r="U49" i="36"/>
  <c r="X49" i="36" s="1"/>
  <c r="R49" i="36"/>
  <c r="V49" i="36" s="1"/>
  <c r="G15" i="15"/>
  <c r="G17" i="15"/>
  <c r="G16" i="15"/>
  <c r="A92" i="63"/>
  <c r="B93" i="63"/>
  <c r="C94" i="63" s="1"/>
  <c r="T13" i="33"/>
  <c r="R13" i="33"/>
  <c r="AQ17" i="58"/>
  <c r="AQ24" i="58" s="1"/>
  <c r="AQ35" i="58" s="1"/>
  <c r="AP24" i="58"/>
  <c r="AP35" i="58" s="1"/>
  <c r="AP26" i="6"/>
  <c r="C29" i="24"/>
  <c r="G29" i="24" s="1"/>
  <c r="L29" i="24" s="1"/>
  <c r="E113" i="53"/>
  <c r="E114" i="53"/>
  <c r="E121" i="53"/>
  <c r="E110" i="53"/>
  <c r="E122" i="53"/>
  <c r="E117" i="53"/>
  <c r="E118" i="53"/>
  <c r="E115" i="53"/>
  <c r="E111" i="53"/>
  <c r="E112" i="53"/>
  <c r="E116" i="53"/>
  <c r="E120" i="53"/>
  <c r="E119" i="53"/>
  <c r="N69" i="64"/>
  <c r="H25" i="64"/>
  <c r="R13" i="64"/>
  <c r="G31" i="24" s="1"/>
  <c r="G11" i="25" s="1"/>
  <c r="G16" i="64"/>
  <c r="O15" i="64"/>
  <c r="O21" i="64"/>
  <c r="K19" i="64"/>
  <c r="O20" i="64"/>
  <c r="G18" i="64"/>
  <c r="K21" i="64"/>
  <c r="BN10" i="6"/>
  <c r="X10" i="6" s="1"/>
  <c r="BN5" i="6"/>
  <c r="X5" i="6" s="1"/>
  <c r="F70" i="38"/>
  <c r="AD35" i="58"/>
  <c r="Y9" i="61"/>
  <c r="Y10" i="61"/>
  <c r="J18" i="54"/>
  <c r="P18" i="54" s="1"/>
  <c r="G23" i="24"/>
  <c r="L23" i="24" s="1"/>
  <c r="I21" i="6"/>
  <c r="D113" i="54"/>
  <c r="D64" i="38"/>
  <c r="H64" i="38" s="1"/>
  <c r="D141" i="24"/>
  <c r="AO26" i="6"/>
  <c r="AQ26" i="6"/>
  <c r="AQ35" i="6" s="1"/>
  <c r="Q26" i="6"/>
  <c r="E123" i="24" s="1"/>
  <c r="H51" i="69"/>
  <c r="J9" i="54"/>
  <c r="P9" i="54" s="1"/>
  <c r="G22" i="64"/>
  <c r="K10" i="64"/>
  <c r="B166" i="54"/>
  <c r="R18" i="64"/>
  <c r="G28" i="24" s="1"/>
  <c r="L28" i="24" s="1"/>
  <c r="F69" i="64"/>
  <c r="O17" i="64"/>
  <c r="D25" i="64"/>
  <c r="G13" i="64"/>
  <c r="K20" i="64"/>
  <c r="O10" i="64"/>
  <c r="G10" i="64"/>
  <c r="P23" i="64"/>
  <c r="R25" i="64" s="1"/>
  <c r="V9" i="64"/>
  <c r="B28" i="24" s="1"/>
  <c r="Q5" i="64"/>
  <c r="K15" i="64"/>
  <c r="O19" i="64"/>
  <c r="O16" i="64"/>
  <c r="K18" i="64"/>
  <c r="K14" i="64"/>
  <c r="G15" i="64"/>
  <c r="K16" i="64"/>
  <c r="G17" i="64"/>
  <c r="K13" i="64"/>
  <c r="G21" i="64"/>
  <c r="O22" i="64"/>
  <c r="O18" i="64"/>
  <c r="O14" i="64"/>
  <c r="O13" i="64"/>
  <c r="K22" i="64"/>
  <c r="K17" i="64"/>
  <c r="G20" i="64"/>
  <c r="X9" i="64"/>
  <c r="C79" i="38"/>
  <c r="F79" i="38" s="1"/>
  <c r="F44" i="38"/>
  <c r="F111" i="54"/>
  <c r="P111" i="54" s="1"/>
  <c r="AK24" i="6"/>
  <c r="F106" i="54"/>
  <c r="W26" i="6"/>
  <c r="E137" i="24" s="1"/>
  <c r="AI21" i="6"/>
  <c r="AI24" i="6"/>
  <c r="AI35" i="6" s="1"/>
  <c r="Q5" i="53"/>
  <c r="C73" i="38"/>
  <c r="B35" i="17" s="1"/>
  <c r="E35" i="17" s="1"/>
  <c r="H35" i="17" s="1"/>
  <c r="H36" i="17" s="1"/>
  <c r="F42" i="38"/>
  <c r="F65" i="22"/>
  <c r="G12" i="22"/>
  <c r="G13" i="22"/>
  <c r="G10" i="22"/>
  <c r="G14" i="22"/>
  <c r="G9" i="22"/>
  <c r="G17" i="22"/>
  <c r="L45" i="19"/>
  <c r="L44" i="19"/>
  <c r="L46" i="19" s="1"/>
  <c r="L47" i="19"/>
  <c r="L82" i="19" s="1"/>
  <c r="B92" i="68"/>
  <c r="M92" i="68" s="1"/>
  <c r="B92" i="69"/>
  <c r="P18" i="18"/>
  <c r="P19" i="18" s="1"/>
  <c r="H25" i="18" s="1"/>
  <c r="C82" i="19"/>
  <c r="C92" i="19" s="1"/>
  <c r="J82" i="19"/>
  <c r="J83" i="19" s="1"/>
  <c r="Y10" i="63"/>
  <c r="AA25" i="66"/>
  <c r="M13" i="68"/>
  <c r="J48" i="21"/>
  <c r="K59" i="19"/>
  <c r="K56" i="19"/>
  <c r="K58" i="19" s="1"/>
  <c r="K57" i="19"/>
  <c r="L75" i="19"/>
  <c r="B93" i="69"/>
  <c r="Y8" i="63"/>
  <c r="H18" i="49"/>
  <c r="P31" i="54"/>
  <c r="U35" i="58"/>
  <c r="J80" i="19"/>
  <c r="J81" i="19" s="1"/>
  <c r="H35" i="19"/>
  <c r="U36" i="36"/>
  <c r="X36" i="36" s="1"/>
  <c r="AH36" i="36" s="1"/>
  <c r="R36" i="36"/>
  <c r="V36" i="36" s="1"/>
  <c r="B93" i="68"/>
  <c r="C94" i="68" s="1"/>
  <c r="Y12" i="63"/>
  <c r="Y9" i="63"/>
  <c r="M17" i="21"/>
  <c r="BE15" i="58"/>
  <c r="BF15" i="58" s="1"/>
  <c r="BG15" i="58" s="1"/>
  <c r="BH15" i="58" s="1"/>
  <c r="H31" i="19"/>
  <c r="H33" i="19" s="1"/>
  <c r="J12" i="18"/>
  <c r="N12" i="18"/>
  <c r="L12" i="18"/>
  <c r="G23" i="21"/>
  <c r="G20" i="21"/>
  <c r="M20" i="21" s="1"/>
  <c r="G19" i="21"/>
  <c r="G21" i="21" s="1"/>
  <c r="B97" i="41"/>
  <c r="A98" i="41"/>
  <c r="H22" i="19"/>
  <c r="H18" i="19"/>
  <c r="H20" i="19" s="1"/>
  <c r="H19" i="19"/>
  <c r="G11" i="44"/>
  <c r="G15" i="44"/>
  <c r="G10" i="44"/>
  <c r="G9" i="44"/>
  <c r="G8" i="44"/>
  <c r="G7" i="44"/>
  <c r="G12" i="44"/>
  <c r="G14" i="44"/>
  <c r="M54" i="19"/>
  <c r="F20" i="12"/>
  <c r="G18" i="12" s="1"/>
  <c r="AQ21" i="6"/>
  <c r="L5" i="6"/>
  <c r="BE6" i="5"/>
  <c r="O6" i="5" s="1"/>
  <c r="BN8" i="6"/>
  <c r="X8" i="6" s="1"/>
  <c r="G9" i="24"/>
  <c r="L9" i="24" s="1"/>
  <c r="H18" i="14"/>
  <c r="F109" i="54"/>
  <c r="E69" i="38"/>
  <c r="H69" i="38" s="1"/>
  <c r="J69" i="38" s="1"/>
  <c r="H18" i="17"/>
  <c r="M24" i="6"/>
  <c r="E107" i="24" s="1"/>
  <c r="J21" i="6"/>
  <c r="E114" i="24"/>
  <c r="W28" i="6"/>
  <c r="E139" i="24" s="1"/>
  <c r="M5" i="5"/>
  <c r="Q5" i="5"/>
  <c r="AU5" i="5" s="1"/>
  <c r="AV5" i="5" s="1"/>
  <c r="C76" i="38"/>
  <c r="D65" i="38"/>
  <c r="D136" i="24"/>
  <c r="J47" i="69"/>
  <c r="C75" i="38"/>
  <c r="C77" i="38"/>
  <c r="B35" i="20" s="1"/>
  <c r="E35" i="20" s="1"/>
  <c r="H35" i="20" s="1"/>
  <c r="H36" i="20" s="1"/>
  <c r="BN6" i="6"/>
  <c r="X6" i="6" s="1"/>
  <c r="B94" i="17"/>
  <c r="B96" i="17"/>
  <c r="B89" i="17"/>
  <c r="B91" i="17"/>
  <c r="B99" i="17"/>
  <c r="B100" i="17"/>
  <c r="B97" i="17"/>
  <c r="B93" i="17"/>
  <c r="B98" i="17"/>
  <c r="B90" i="17"/>
  <c r="B95" i="17"/>
  <c r="B92" i="17"/>
  <c r="C74" i="38"/>
  <c r="F39" i="38"/>
  <c r="C78" i="38"/>
  <c r="W24" i="6"/>
  <c r="E135" i="24" s="1"/>
  <c r="L5" i="58"/>
  <c r="F141" i="24"/>
  <c r="M46" i="58"/>
  <c r="L18" i="58"/>
  <c r="V5" i="58"/>
  <c r="V39" i="58" s="1"/>
  <c r="AA39" i="58" s="1"/>
  <c r="AK35" i="58"/>
  <c r="L11" i="58"/>
  <c r="Q24" i="58"/>
  <c r="Q35" i="58" s="1"/>
  <c r="AU7" i="58"/>
  <c r="AV7" i="58" s="1"/>
  <c r="AW7" i="58" s="1"/>
  <c r="E30" i="44"/>
  <c r="F30" i="44" s="1"/>
  <c r="H30" i="44" s="1"/>
  <c r="AU10" i="58"/>
  <c r="AV10" i="58" s="1"/>
  <c r="AW10" i="58" s="1"/>
  <c r="AT12" i="58"/>
  <c r="AU12" i="58" s="1"/>
  <c r="AV12" i="58" s="1"/>
  <c r="AW12" i="58" s="1"/>
  <c r="V8" i="58"/>
  <c r="R46" i="58"/>
  <c r="V10" i="58"/>
  <c r="BE7" i="58"/>
  <c r="BF7" i="58" s="1"/>
  <c r="BG7" i="58" s="1"/>
  <c r="BH7" i="58" s="1"/>
  <c r="E30" i="43"/>
  <c r="F30" i="43" s="1"/>
  <c r="H30" i="43" s="1"/>
  <c r="M38" i="58"/>
  <c r="V12" i="58"/>
  <c r="AT8" i="58"/>
  <c r="AU8" i="58" s="1"/>
  <c r="AV8" i="58" s="1"/>
  <c r="AW8" i="58" s="1"/>
  <c r="AX8" i="58" s="1"/>
  <c r="AY8" i="58" s="1"/>
  <c r="BE5" i="58"/>
  <c r="BF5" i="58" s="1"/>
  <c r="AT5" i="58"/>
  <c r="AU5" i="58" s="1"/>
  <c r="AV5" i="58" s="1"/>
  <c r="AW5" i="58" s="1"/>
  <c r="AX5" i="58" s="1"/>
  <c r="E66" i="38"/>
  <c r="D54" i="41" s="1"/>
  <c r="F54" i="41" s="1"/>
  <c r="H54" i="41" s="1"/>
  <c r="AV5" i="6"/>
  <c r="AW5" i="6" s="1"/>
  <c r="AX5" i="6" s="1"/>
  <c r="V15" i="6"/>
  <c r="F95" i="54"/>
  <c r="AS15" i="6"/>
  <c r="AT15" i="6" s="1"/>
  <c r="AU15" i="6" s="1"/>
  <c r="AV15" i="6" s="1"/>
  <c r="V17" i="6"/>
  <c r="AS17" i="6"/>
  <c r="AT17" i="6" s="1"/>
  <c r="BE17" i="6"/>
  <c r="J30" i="5"/>
  <c r="D108" i="24" s="1"/>
  <c r="AJ11" i="5"/>
  <c r="AK11" i="5" s="1"/>
  <c r="AL11" i="5" s="1"/>
  <c r="AM11" i="5" s="1"/>
  <c r="AN11" i="5" s="1"/>
  <c r="AO11" i="5" s="1"/>
  <c r="M11" i="5"/>
  <c r="M30" i="5" s="1"/>
  <c r="AK25" i="5"/>
  <c r="AL25" i="5" s="1"/>
  <c r="AM25" i="5" s="1"/>
  <c r="M19" i="5"/>
  <c r="AJ19" i="5"/>
  <c r="AK19" i="5" s="1"/>
  <c r="AL19" i="5" s="1"/>
  <c r="AM19" i="5" s="1"/>
  <c r="T51" i="66"/>
  <c r="T51" i="69"/>
  <c r="D122" i="24"/>
  <c r="H50" i="63"/>
  <c r="N50" i="63"/>
  <c r="T39" i="55"/>
  <c r="U18" i="36"/>
  <c r="X18" i="36" s="1"/>
  <c r="AC18" i="36" s="1"/>
  <c r="AD18" i="36" s="1"/>
  <c r="R18" i="36"/>
  <c r="V18" i="36" s="1"/>
  <c r="P17" i="33"/>
  <c r="N17" i="33"/>
  <c r="N13" i="18"/>
  <c r="L13" i="18"/>
  <c r="J13" i="18"/>
  <c r="M14" i="69"/>
  <c r="M16" i="69"/>
  <c r="M12" i="69"/>
  <c r="M13" i="69"/>
  <c r="U41" i="36"/>
  <c r="X41" i="36" s="1"/>
  <c r="R41" i="36"/>
  <c r="V41" i="36" s="1"/>
  <c r="N11" i="33"/>
  <c r="P11" i="33"/>
  <c r="AJ24" i="6"/>
  <c r="L37" i="67"/>
  <c r="L44" i="67" s="1"/>
  <c r="L57" i="67" s="1"/>
  <c r="C96" i="14"/>
  <c r="H57" i="47"/>
  <c r="U30" i="36"/>
  <c r="X30" i="36" s="1"/>
  <c r="R30" i="36"/>
  <c r="V30" i="36" s="1"/>
  <c r="U43" i="36"/>
  <c r="X43" i="36" s="1"/>
  <c r="R43" i="36"/>
  <c r="V43" i="36" s="1"/>
  <c r="J32" i="18"/>
  <c r="L32" i="18"/>
  <c r="N32" i="18"/>
  <c r="H32" i="18"/>
  <c r="I58" i="21"/>
  <c r="I60" i="21"/>
  <c r="I57" i="21"/>
  <c r="I59" i="21" s="1"/>
  <c r="L113" i="49"/>
  <c r="C113" i="49"/>
  <c r="U19" i="36"/>
  <c r="X19" i="36" s="1"/>
  <c r="AH19" i="36" s="1"/>
  <c r="R19" i="36"/>
  <c r="V19" i="36" s="1"/>
  <c r="N16" i="33"/>
  <c r="P16" i="33"/>
  <c r="H13" i="18"/>
  <c r="H18" i="18" s="1"/>
  <c r="H19" i="18" s="1"/>
  <c r="H23" i="18" s="1"/>
  <c r="J33" i="18"/>
  <c r="L33" i="18"/>
  <c r="H33" i="18"/>
  <c r="N33" i="18"/>
  <c r="G56" i="21"/>
  <c r="M55" i="21"/>
  <c r="B115" i="49"/>
  <c r="A116" i="49"/>
  <c r="C98" i="14"/>
  <c r="U16" i="36"/>
  <c r="X16" i="36" s="1"/>
  <c r="R16" i="36"/>
  <c r="V16" i="36" s="1"/>
  <c r="U50" i="36"/>
  <c r="X50" i="36" s="1"/>
  <c r="R50" i="36"/>
  <c r="V50" i="36" s="1"/>
  <c r="N20" i="33"/>
  <c r="P20" i="33"/>
  <c r="N53" i="63"/>
  <c r="T53" i="63"/>
  <c r="N50" i="66"/>
  <c r="H50" i="66"/>
  <c r="N50" i="69"/>
  <c r="H51" i="66"/>
  <c r="H50" i="69"/>
  <c r="H53" i="69"/>
  <c r="N53" i="69"/>
  <c r="AR35" i="58"/>
  <c r="W34" i="6"/>
  <c r="E145" i="24" s="1"/>
  <c r="AC35" i="6"/>
  <c r="W33" i="6"/>
  <c r="W29" i="6"/>
  <c r="E140" i="24" s="1"/>
  <c r="W31" i="6"/>
  <c r="E142" i="24" s="1"/>
  <c r="L142" i="24" s="1"/>
  <c r="E61" i="38"/>
  <c r="H34" i="41"/>
  <c r="C41" i="41"/>
  <c r="D36" i="41" s="1"/>
  <c r="F36" i="41" s="1"/>
  <c r="H36" i="41" s="1"/>
  <c r="R35" i="58"/>
  <c r="F136" i="24"/>
  <c r="W32" i="58"/>
  <c r="F143" i="24" s="1"/>
  <c r="R35" i="6"/>
  <c r="E65" i="38"/>
  <c r="AB40" i="5"/>
  <c r="M15" i="5"/>
  <c r="L36" i="11"/>
  <c r="AX19" i="5"/>
  <c r="F249" i="24"/>
  <c r="F264" i="24" s="1"/>
  <c r="AW6" i="58"/>
  <c r="AX6" i="58" s="1"/>
  <c r="AY6" i="58" s="1"/>
  <c r="M21" i="5"/>
  <c r="T46" i="58"/>
  <c r="S46" i="58"/>
  <c r="V46" i="58"/>
  <c r="AA46" i="58" s="1"/>
  <c r="BD7" i="6"/>
  <c r="BE7" i="6" s="1"/>
  <c r="AS7" i="6"/>
  <c r="AT7" i="6" s="1"/>
  <c r="AU7" i="6" s="1"/>
  <c r="AV7" i="6" s="1"/>
  <c r="AW7" i="6" s="1"/>
  <c r="AX7" i="6" s="1"/>
  <c r="BG13" i="6"/>
  <c r="F116" i="54"/>
  <c r="AA17" i="58"/>
  <c r="M24" i="58"/>
  <c r="F107" i="24" s="1"/>
  <c r="F118" i="24" s="1"/>
  <c r="Q7" i="5"/>
  <c r="M7" i="5"/>
  <c r="L36" i="13"/>
  <c r="M36" i="13" s="1"/>
  <c r="D49" i="52"/>
  <c r="F49" i="52" s="1"/>
  <c r="Z28" i="6"/>
  <c r="BE18" i="58"/>
  <c r="BF18" i="58" s="1"/>
  <c r="AT18" i="58"/>
  <c r="AU18" i="58" s="1"/>
  <c r="H18" i="20"/>
  <c r="B91" i="49"/>
  <c r="B94" i="49"/>
  <c r="B97" i="49"/>
  <c r="B92" i="49"/>
  <c r="B95" i="49"/>
  <c r="B96" i="49"/>
  <c r="B100" i="49"/>
  <c r="B90" i="49"/>
  <c r="B93" i="49"/>
  <c r="B99" i="49"/>
  <c r="B89" i="49"/>
  <c r="U47" i="58"/>
  <c r="R47" i="58"/>
  <c r="Q47" i="58"/>
  <c r="S47" i="58"/>
  <c r="T47" i="58"/>
  <c r="V47" i="58"/>
  <c r="AA47" i="58" s="1"/>
  <c r="M47" i="58"/>
  <c r="F113" i="54"/>
  <c r="L36" i="10"/>
  <c r="O36" i="10" s="1"/>
  <c r="G5" i="70" s="1"/>
  <c r="I5" i="70" s="1"/>
  <c r="K5" i="70" s="1"/>
  <c r="L5" i="70" s="1"/>
  <c r="H52" i="67"/>
  <c r="N52" i="67"/>
  <c r="U20" i="36"/>
  <c r="X20" i="36" s="1"/>
  <c r="R20" i="36"/>
  <c r="V20" i="36" s="1"/>
  <c r="U35" i="36"/>
  <c r="X35" i="36" s="1"/>
  <c r="R35" i="36"/>
  <c r="V35" i="36" s="1"/>
  <c r="AC31" i="36"/>
  <c r="AD31" i="36" s="1"/>
  <c r="AI31" i="36"/>
  <c r="U47" i="36"/>
  <c r="X47" i="36" s="1"/>
  <c r="R47" i="36"/>
  <c r="V47" i="36" s="1"/>
  <c r="C26" i="66"/>
  <c r="H25" i="66"/>
  <c r="N25" i="66" s="1"/>
  <c r="T25" i="66" s="1"/>
  <c r="I31" i="21"/>
  <c r="M31" i="21" s="1"/>
  <c r="M30" i="21"/>
  <c r="H48" i="21"/>
  <c r="H45" i="21"/>
  <c r="H46" i="21"/>
  <c r="AC20" i="36"/>
  <c r="AD20" i="36" s="1"/>
  <c r="W44" i="58"/>
  <c r="G18" i="49"/>
  <c r="J21" i="28"/>
  <c r="U23" i="36"/>
  <c r="X23" i="36" s="1"/>
  <c r="R23" i="36"/>
  <c r="V23" i="36" s="1"/>
  <c r="U38" i="36"/>
  <c r="X38" i="36" s="1"/>
  <c r="R38" i="36"/>
  <c r="V38" i="36" s="1"/>
  <c r="G10" i="13"/>
  <c r="G12" i="13"/>
  <c r="G13" i="13"/>
  <c r="G8" i="13"/>
  <c r="G17" i="13"/>
  <c r="J36" i="21"/>
  <c r="J33" i="21"/>
  <c r="J32" i="21"/>
  <c r="J34" i="21" s="1"/>
  <c r="J13" i="55"/>
  <c r="AA17" i="69"/>
  <c r="O45" i="18"/>
  <c r="O46" i="18" s="1"/>
  <c r="H51" i="18" s="1"/>
  <c r="H57" i="18" s="1"/>
  <c r="T20" i="55"/>
  <c r="J19" i="54"/>
  <c r="P19" i="54" s="1"/>
  <c r="G16" i="14"/>
  <c r="G15" i="14"/>
  <c r="G10" i="14"/>
  <c r="S10" i="63"/>
  <c r="Y14" i="63"/>
  <c r="AA25" i="61"/>
  <c r="F55" i="15"/>
  <c r="H55" i="15" s="1"/>
  <c r="J12" i="28"/>
  <c r="T12" i="28" s="1"/>
  <c r="AC19" i="36"/>
  <c r="AD19" i="36" s="1"/>
  <c r="U44" i="36"/>
  <c r="X44" i="36" s="1"/>
  <c r="AC44" i="36" s="1"/>
  <c r="AD44" i="36" s="1"/>
  <c r="R44" i="36"/>
  <c r="V44" i="36" s="1"/>
  <c r="U14" i="36"/>
  <c r="X14" i="36" s="1"/>
  <c r="R14" i="36"/>
  <c r="V14" i="36" s="1"/>
  <c r="U39" i="36"/>
  <c r="X39" i="36" s="1"/>
  <c r="R39" i="36"/>
  <c r="V39" i="36" s="1"/>
  <c r="U15" i="36"/>
  <c r="X15" i="36" s="1"/>
  <c r="R15" i="36"/>
  <c r="V15" i="36" s="1"/>
  <c r="AH30" i="36"/>
  <c r="N9" i="33"/>
  <c r="P9" i="33"/>
  <c r="AH51" i="36"/>
  <c r="N7" i="33"/>
  <c r="N24" i="33" s="1"/>
  <c r="G24" i="33"/>
  <c r="P7" i="33"/>
  <c r="N10" i="18"/>
  <c r="H10" i="18"/>
  <c r="J10" i="18"/>
  <c r="L10" i="18"/>
  <c r="N65" i="25"/>
  <c r="L45" i="21"/>
  <c r="L47" i="21" s="1"/>
  <c r="L79" i="21" s="1"/>
  <c r="L46" i="21"/>
  <c r="L48" i="21"/>
  <c r="M6" i="55"/>
  <c r="L13" i="55"/>
  <c r="AK38" i="67"/>
  <c r="A14" i="70"/>
  <c r="K14" i="70" s="1"/>
  <c r="L14" i="70" s="1"/>
  <c r="AC44" i="68"/>
  <c r="F85" i="24" s="1"/>
  <c r="R60" i="63"/>
  <c r="S11" i="63"/>
  <c r="AK21" i="6"/>
  <c r="U27" i="36"/>
  <c r="X27" i="36" s="1"/>
  <c r="R27" i="36"/>
  <c r="V27" i="36" s="1"/>
  <c r="AE8" i="68"/>
  <c r="B13" i="24"/>
  <c r="B13" i="70" s="1"/>
  <c r="C13" i="24"/>
  <c r="C13" i="70" s="1"/>
  <c r="AC10" i="68"/>
  <c r="U34" i="36"/>
  <c r="X34" i="36" s="1"/>
  <c r="R34" i="36"/>
  <c r="V34" i="36" s="1"/>
  <c r="U45" i="36"/>
  <c r="X45" i="36" s="1"/>
  <c r="R45" i="36"/>
  <c r="V45" i="36" s="1"/>
  <c r="P8" i="33"/>
  <c r="N8" i="33"/>
  <c r="N25" i="33" s="1"/>
  <c r="G25" i="33"/>
  <c r="G29" i="33" s="1"/>
  <c r="AH31" i="36"/>
  <c r="L6" i="18"/>
  <c r="L18" i="18" s="1"/>
  <c r="L19" i="18" s="1"/>
  <c r="N6" i="18"/>
  <c r="N18" i="18" s="1"/>
  <c r="N19" i="18" s="1"/>
  <c r="J6" i="18"/>
  <c r="H6" i="18"/>
  <c r="K32" i="21"/>
  <c r="K34" i="21" s="1"/>
  <c r="K33" i="21"/>
  <c r="K36" i="21"/>
  <c r="I45" i="21"/>
  <c r="I47" i="21" s="1"/>
  <c r="I46" i="21"/>
  <c r="M46" i="21" s="1"/>
  <c r="I48" i="21"/>
  <c r="T11" i="55"/>
  <c r="M43" i="21"/>
  <c r="F81" i="21"/>
  <c r="F93" i="21" s="1"/>
  <c r="F94" i="21" s="1"/>
  <c r="Z40" i="5"/>
  <c r="U35" i="6"/>
  <c r="W32" i="6"/>
  <c r="E143" i="24" s="1"/>
  <c r="AG35" i="58"/>
  <c r="AJ35" i="58"/>
  <c r="E22" i="38"/>
  <c r="G60" i="38"/>
  <c r="V53" i="66" s="1"/>
  <c r="AD40" i="5"/>
  <c r="T50" i="68"/>
  <c r="N50" i="68"/>
  <c r="G8" i="24"/>
  <c r="L8" i="24" s="1"/>
  <c r="F8" i="70"/>
  <c r="T53" i="67"/>
  <c r="T50" i="67"/>
  <c r="H50" i="67"/>
  <c r="N53" i="67"/>
  <c r="T53" i="68"/>
  <c r="H53" i="68"/>
  <c r="T52" i="68"/>
  <c r="H110" i="54"/>
  <c r="G32" i="52"/>
  <c r="K29" i="5"/>
  <c r="D121" i="24" s="1"/>
  <c r="I27" i="5"/>
  <c r="BH9" i="58"/>
  <c r="BI9" i="58" s="1"/>
  <c r="BJ9" i="58" s="1"/>
  <c r="AH31" i="68"/>
  <c r="AH35" i="68" s="1"/>
  <c r="F13" i="70"/>
  <c r="AH31" i="66"/>
  <c r="AH35" i="66" s="1"/>
  <c r="F11" i="70"/>
  <c r="D44" i="24"/>
  <c r="C78" i="24" s="1"/>
  <c r="D6" i="70"/>
  <c r="B102" i="53"/>
  <c r="H18" i="13"/>
  <c r="AI34" i="69"/>
  <c r="AK34" i="69"/>
  <c r="W25" i="6"/>
  <c r="E136" i="24" s="1"/>
  <c r="AF35" i="6"/>
  <c r="D45" i="24"/>
  <c r="C79" i="24" s="1"/>
  <c r="D7" i="70"/>
  <c r="AI34" i="67"/>
  <c r="AK34" i="67"/>
  <c r="AI34" i="66"/>
  <c r="AK34" i="66"/>
  <c r="AH31" i="69"/>
  <c r="AH35" i="69" s="1"/>
  <c r="F12" i="70"/>
  <c r="D43" i="24"/>
  <c r="C77" i="24" s="1"/>
  <c r="D5" i="70"/>
  <c r="AI34" i="68"/>
  <c r="AK34" i="68"/>
  <c r="AH31" i="67"/>
  <c r="AH35" i="67" s="1"/>
  <c r="F14" i="70"/>
  <c r="R35" i="28"/>
  <c r="R36" i="28" s="1"/>
  <c r="R37" i="28"/>
  <c r="N33" i="28"/>
  <c r="N35" i="28" s="1"/>
  <c r="H52" i="68"/>
  <c r="C100" i="11"/>
  <c r="L101" i="11"/>
  <c r="L97" i="11"/>
  <c r="Y8" i="61"/>
  <c r="Y12" i="61"/>
  <c r="Y11" i="61"/>
  <c r="P26" i="61"/>
  <c r="R26" i="61" s="1"/>
  <c r="L26" i="61"/>
  <c r="V26" i="61"/>
  <c r="X26" i="61" s="1"/>
  <c r="F26" i="61"/>
  <c r="AE8" i="66"/>
  <c r="A11" i="70"/>
  <c r="M9" i="63"/>
  <c r="M13" i="63"/>
  <c r="M10" i="63"/>
  <c r="AA23" i="63"/>
  <c r="S15" i="63"/>
  <c r="M11" i="63"/>
  <c r="L60" i="63"/>
  <c r="AA25" i="63"/>
  <c r="M15" i="63"/>
  <c r="M17" i="63"/>
  <c r="AA24" i="63"/>
  <c r="Y17" i="63"/>
  <c r="Y16" i="63"/>
  <c r="C95" i="63"/>
  <c r="M8" i="63"/>
  <c r="M14" i="63"/>
  <c r="Y11" i="63"/>
  <c r="Y13" i="63"/>
  <c r="T40" i="5"/>
  <c r="AH40" i="5"/>
  <c r="AG40" i="5"/>
  <c r="F64" i="17"/>
  <c r="H64" i="17" s="1"/>
  <c r="G14" i="17"/>
  <c r="G11" i="17"/>
  <c r="G7" i="17"/>
  <c r="G9" i="17"/>
  <c r="G13" i="17"/>
  <c r="G17" i="17"/>
  <c r="G16" i="17"/>
  <c r="G10" i="17"/>
  <c r="G15" i="17"/>
  <c r="G12" i="17"/>
  <c r="G8" i="17"/>
  <c r="AH34" i="63"/>
  <c r="AK34" i="63" s="1"/>
  <c r="F15" i="70"/>
  <c r="AA23" i="61"/>
  <c r="AA24" i="61"/>
  <c r="X60" i="61"/>
  <c r="Y15" i="61"/>
  <c r="Y14" i="61"/>
  <c r="Y16" i="61"/>
  <c r="A10" i="70"/>
  <c r="F5" i="70"/>
  <c r="L38" i="12"/>
  <c r="M38" i="12" s="1"/>
  <c r="J38" i="12"/>
  <c r="F7" i="70" s="1"/>
  <c r="Z6" i="6"/>
  <c r="Z21" i="6" s="1"/>
  <c r="M26" i="6"/>
  <c r="E109" i="24" s="1"/>
  <c r="M21" i="6"/>
  <c r="S35" i="6"/>
  <c r="AL6" i="6"/>
  <c r="AL24" i="6" s="1"/>
  <c r="AK26" i="6"/>
  <c r="V6" i="6"/>
  <c r="B204" i="54"/>
  <c r="B210" i="54" s="1"/>
  <c r="AE40" i="5"/>
  <c r="AF40" i="5"/>
  <c r="AH31" i="61"/>
  <c r="L36" i="14"/>
  <c r="O36" i="14" s="1"/>
  <c r="G9" i="70" s="1"/>
  <c r="J9" i="70" s="1"/>
  <c r="F9" i="70"/>
  <c r="M12" i="54"/>
  <c r="J22" i="63"/>
  <c r="F22" i="63"/>
  <c r="F6" i="70"/>
  <c r="K81" i="21"/>
  <c r="K82" i="21" s="1"/>
  <c r="L72" i="21"/>
  <c r="L83" i="21" s="1"/>
  <c r="L84" i="21" s="1"/>
  <c r="C99" i="61"/>
  <c r="AA17" i="61"/>
  <c r="AE8" i="63"/>
  <c r="B15" i="24"/>
  <c r="B15" i="70" s="1"/>
  <c r="G15" i="24"/>
  <c r="L15" i="24" s="1"/>
  <c r="AA17" i="63"/>
  <c r="C15" i="24"/>
  <c r="C15" i="70" s="1"/>
  <c r="S8" i="63"/>
  <c r="S13" i="63"/>
  <c r="AC44" i="63"/>
  <c r="F87" i="24" s="1"/>
  <c r="M95" i="63"/>
  <c r="M93" i="63"/>
  <c r="L22" i="66"/>
  <c r="F22" i="66"/>
  <c r="W9" i="66"/>
  <c r="R9" i="66"/>
  <c r="W42" i="66"/>
  <c r="W43" i="66" s="1"/>
  <c r="R42" i="66"/>
  <c r="L70" i="21"/>
  <c r="B11" i="24"/>
  <c r="B11" i="70" s="1"/>
  <c r="AA31" i="66"/>
  <c r="A91" i="66"/>
  <c r="B91" i="66" s="1"/>
  <c r="B92" i="66"/>
  <c r="C94" i="66"/>
  <c r="AA36" i="67"/>
  <c r="G52" i="24" s="1"/>
  <c r="L52" i="24" s="1"/>
  <c r="H68" i="21"/>
  <c r="H70" i="21" s="1"/>
  <c r="H86" i="21" s="1"/>
  <c r="P33" i="15"/>
  <c r="Q33" i="15"/>
  <c r="C42" i="15"/>
  <c r="D37" i="15" s="1"/>
  <c r="F37" i="15" s="1"/>
  <c r="H37" i="15" s="1"/>
  <c r="H34" i="15"/>
  <c r="F38" i="15"/>
  <c r="E80" i="15" s="1"/>
  <c r="J11" i="54"/>
  <c r="P11" i="54" s="1"/>
  <c r="M33" i="15"/>
  <c r="L37" i="15"/>
  <c r="F16" i="70" s="1"/>
  <c r="G16" i="24"/>
  <c r="L16" i="24" s="1"/>
  <c r="M36" i="15"/>
  <c r="O36" i="15"/>
  <c r="H18" i="15"/>
  <c r="C95" i="14"/>
  <c r="L98" i="14"/>
  <c r="F92" i="69"/>
  <c r="F102" i="69"/>
  <c r="H20" i="12"/>
  <c r="L100" i="11"/>
  <c r="C101" i="11"/>
  <c r="C102" i="11"/>
  <c r="C97" i="11"/>
  <c r="L102" i="11"/>
  <c r="C96" i="11"/>
  <c r="J80" i="54"/>
  <c r="L99" i="11"/>
  <c r="C99" i="11"/>
  <c r="C98" i="11"/>
  <c r="H52" i="66"/>
  <c r="F96" i="69"/>
  <c r="AI35" i="58"/>
  <c r="F98" i="69"/>
  <c r="J68" i="21"/>
  <c r="J72" i="21" s="1"/>
  <c r="M67" i="21"/>
  <c r="O67" i="21" s="1"/>
  <c r="J78" i="68"/>
  <c r="J81" i="68" s="1"/>
  <c r="J83" i="68" s="1"/>
  <c r="H51" i="68"/>
  <c r="T52" i="66"/>
  <c r="N51" i="68"/>
  <c r="I17" i="24"/>
  <c r="AU17" i="6"/>
  <c r="AV17" i="6" s="1"/>
  <c r="AW17" i="6" s="1"/>
  <c r="AX17" i="6" s="1"/>
  <c r="AR24" i="5"/>
  <c r="AS24" i="5" s="1"/>
  <c r="AU10" i="6"/>
  <c r="AV10" i="6" s="1"/>
  <c r="AW10" i="6" s="1"/>
  <c r="AX10" i="6" s="1"/>
  <c r="V19" i="6"/>
  <c r="L19" i="6"/>
  <c r="Q11" i="6"/>
  <c r="Q21" i="6" s="1"/>
  <c r="K27" i="5"/>
  <c r="AS8" i="6"/>
  <c r="AT8" i="6" s="1"/>
  <c r="AU8" i="6" s="1"/>
  <c r="AV8" i="6" s="1"/>
  <c r="Q16" i="5"/>
  <c r="M16" i="5"/>
  <c r="F110" i="54"/>
  <c r="D91" i="68"/>
  <c r="G91" i="68" s="1"/>
  <c r="AA91" i="68" s="1"/>
  <c r="Q23" i="5"/>
  <c r="AJ23" i="5" s="1"/>
  <c r="AK23" i="5" s="1"/>
  <c r="J14" i="54"/>
  <c r="G7" i="24"/>
  <c r="L7" i="24" s="1"/>
  <c r="G24" i="24"/>
  <c r="L24" i="24" s="1"/>
  <c r="AM35" i="6"/>
  <c r="BD8" i="6"/>
  <c r="BE8" i="6" s="1"/>
  <c r="BF8" i="6" s="1"/>
  <c r="BG8" i="6" s="1"/>
  <c r="BH8" i="6" s="1"/>
  <c r="BI8" i="6" s="1"/>
  <c r="M18" i="5"/>
  <c r="Q18" i="5"/>
  <c r="AA32" i="58"/>
  <c r="F68" i="38"/>
  <c r="H68" i="38" s="1"/>
  <c r="J68" i="38" s="1"/>
  <c r="F37" i="68"/>
  <c r="F44" i="68" s="1"/>
  <c r="F57" i="68" s="1"/>
  <c r="E70" i="38"/>
  <c r="Q9" i="5"/>
  <c r="M9" i="5"/>
  <c r="K68" i="21"/>
  <c r="J81" i="21"/>
  <c r="J82" i="21" s="1"/>
  <c r="F72" i="21"/>
  <c r="G72" i="21"/>
  <c r="F70" i="21"/>
  <c r="L24" i="60"/>
  <c r="L29" i="60" s="1"/>
  <c r="D27" i="60" s="1"/>
  <c r="G27" i="60" s="1"/>
  <c r="M16" i="61"/>
  <c r="M11" i="61"/>
  <c r="AC44" i="61"/>
  <c r="F82" i="24" s="1"/>
  <c r="M8" i="61"/>
  <c r="M10" i="61"/>
  <c r="G10" i="24"/>
  <c r="L10" i="24" s="1"/>
  <c r="L60" i="61"/>
  <c r="G17" i="61"/>
  <c r="M15" i="61"/>
  <c r="G9" i="61"/>
  <c r="G10" i="61"/>
  <c r="M17" i="61"/>
  <c r="G13" i="61"/>
  <c r="Y17" i="61"/>
  <c r="M12" i="61"/>
  <c r="M13" i="61"/>
  <c r="M14" i="61"/>
  <c r="S17" i="61"/>
  <c r="G14" i="61"/>
  <c r="G8" i="61"/>
  <c r="F60" i="61"/>
  <c r="G16" i="61"/>
  <c r="G11" i="61"/>
  <c r="G15" i="61"/>
  <c r="M93" i="61"/>
  <c r="M98" i="61"/>
  <c r="M99" i="61"/>
  <c r="M97" i="61"/>
  <c r="C98" i="61"/>
  <c r="C92" i="61"/>
  <c r="M92" i="61"/>
  <c r="C93" i="61"/>
  <c r="C97" i="61"/>
  <c r="M96" i="61"/>
  <c r="C96" i="61"/>
  <c r="C95" i="61"/>
  <c r="F101" i="69"/>
  <c r="F95" i="69"/>
  <c r="D94" i="68"/>
  <c r="D95" i="68" s="1"/>
  <c r="F94" i="69"/>
  <c r="D92" i="68"/>
  <c r="L59" i="67"/>
  <c r="J67" i="67" s="1"/>
  <c r="J69" i="67" s="1"/>
  <c r="K71" i="67" s="1"/>
  <c r="K73" i="67" s="1"/>
  <c r="F99" i="69"/>
  <c r="F93" i="69"/>
  <c r="F100" i="69"/>
  <c r="F91" i="69"/>
  <c r="F59" i="69"/>
  <c r="G33" i="69" s="1"/>
  <c r="J78" i="67"/>
  <c r="J81" i="67" s="1"/>
  <c r="J83" i="67" s="1"/>
  <c r="L57" i="68"/>
  <c r="AW20" i="6"/>
  <c r="AX20" i="6" s="1"/>
  <c r="AC41" i="36"/>
  <c r="AD41" i="36" s="1"/>
  <c r="AI41" i="36"/>
  <c r="AH41" i="36"/>
  <c r="A98" i="67"/>
  <c r="B97" i="67"/>
  <c r="M95" i="66"/>
  <c r="C95" i="66"/>
  <c r="N66" i="53"/>
  <c r="N19" i="53"/>
  <c r="N65" i="53" s="1"/>
  <c r="P5" i="33"/>
  <c r="N5" i="33"/>
  <c r="G23" i="33"/>
  <c r="G21" i="33"/>
  <c r="F19" i="21"/>
  <c r="F21" i="21" s="1"/>
  <c r="F20" i="21"/>
  <c r="F23" i="21"/>
  <c r="AP17" i="6"/>
  <c r="AP24" i="6" s="1"/>
  <c r="AP35" i="6" s="1"/>
  <c r="AO24" i="6"/>
  <c r="B98" i="63"/>
  <c r="A99" i="63"/>
  <c r="G14" i="24"/>
  <c r="L14" i="24" s="1"/>
  <c r="AU25" i="5"/>
  <c r="AV25" i="5" s="1"/>
  <c r="AW25" i="5" s="1"/>
  <c r="AX25" i="5" s="1"/>
  <c r="J25" i="54"/>
  <c r="M18" i="21"/>
  <c r="N18" i="21" s="1"/>
  <c r="P18" i="21" s="1"/>
  <c r="M20" i="5"/>
  <c r="U42" i="36"/>
  <c r="X42" i="36" s="1"/>
  <c r="R42" i="36"/>
  <c r="V42" i="36" s="1"/>
  <c r="Y16" i="69"/>
  <c r="X60" i="69"/>
  <c r="Y8" i="69"/>
  <c r="Y12" i="69"/>
  <c r="Y14" i="69"/>
  <c r="Y13" i="69"/>
  <c r="Y9" i="69"/>
  <c r="Y10" i="69"/>
  <c r="Y15" i="69"/>
  <c r="J30" i="54"/>
  <c r="P30" i="54" s="1"/>
  <c r="G36" i="24"/>
  <c r="A97" i="66"/>
  <c r="B96" i="66"/>
  <c r="G7" i="26"/>
  <c r="M63" i="42"/>
  <c r="I63" i="42"/>
  <c r="J63" i="42" s="1"/>
  <c r="H63" i="42"/>
  <c r="C91" i="19"/>
  <c r="J66" i="53"/>
  <c r="J19" i="53"/>
  <c r="J65" i="53" s="1"/>
  <c r="P14" i="53"/>
  <c r="P19" i="53" s="1"/>
  <c r="A101" i="14"/>
  <c r="B100" i="14"/>
  <c r="C96" i="41"/>
  <c r="L95" i="41"/>
  <c r="AV9" i="58"/>
  <c r="AW9" i="58" s="1"/>
  <c r="AX9" i="58" s="1"/>
  <c r="AY9" i="58" s="1"/>
  <c r="AZ9" i="58" s="1"/>
  <c r="BA9" i="58" s="1"/>
  <c r="BH12" i="6"/>
  <c r="BI12" i="6" s="1"/>
  <c r="F80" i="54"/>
  <c r="BD9" i="6"/>
  <c r="BE9" i="6" s="1"/>
  <c r="BF9" i="6" s="1"/>
  <c r="BG9" i="6" s="1"/>
  <c r="AS9" i="6"/>
  <c r="AT9" i="6" s="1"/>
  <c r="AX14" i="58"/>
  <c r="AY14" i="58" s="1"/>
  <c r="U22" i="36"/>
  <c r="X22" i="36" s="1"/>
  <c r="R22" i="36"/>
  <c r="V22" i="36" s="1"/>
  <c r="AC39" i="36"/>
  <c r="AD39" i="36" s="1"/>
  <c r="AH39" i="36"/>
  <c r="AI39" i="36"/>
  <c r="B113" i="17"/>
  <c r="A114" i="17"/>
  <c r="H44" i="19"/>
  <c r="H46" i="19" s="1"/>
  <c r="H78" i="19" s="1"/>
  <c r="H47" i="19"/>
  <c r="H45" i="19"/>
  <c r="H85" i="19" s="1"/>
  <c r="BG14" i="58"/>
  <c r="BH14" i="58" s="1"/>
  <c r="Q65" i="25"/>
  <c r="F83" i="24"/>
  <c r="G19" i="24"/>
  <c r="P45" i="18"/>
  <c r="P46" i="18" s="1"/>
  <c r="H52" i="18" s="1"/>
  <c r="H58" i="18" s="1"/>
  <c r="J29" i="5"/>
  <c r="D107" i="24" s="1"/>
  <c r="T9" i="55"/>
  <c r="L85" i="19"/>
  <c r="L86" i="19" s="1"/>
  <c r="U33" i="36"/>
  <c r="X33" i="36" s="1"/>
  <c r="R33" i="36"/>
  <c r="V33" i="36" s="1"/>
  <c r="A96" i="69"/>
  <c r="B95" i="69"/>
  <c r="M95" i="69" s="1"/>
  <c r="A97" i="68"/>
  <c r="B96" i="68"/>
  <c r="C96" i="68" s="1"/>
  <c r="M9" i="67"/>
  <c r="M15" i="67"/>
  <c r="M11" i="67"/>
  <c r="M13" i="67"/>
  <c r="L60" i="67"/>
  <c r="M10" i="67"/>
  <c r="M14" i="67"/>
  <c r="M8" i="67"/>
  <c r="M12" i="67"/>
  <c r="G15" i="66"/>
  <c r="G17" i="66"/>
  <c r="G8" i="66"/>
  <c r="G9" i="66"/>
  <c r="G13" i="66"/>
  <c r="G14" i="66"/>
  <c r="G11" i="66"/>
  <c r="F60" i="66"/>
  <c r="G10" i="66"/>
  <c r="G12" i="66"/>
  <c r="J55" i="55"/>
  <c r="I68" i="55"/>
  <c r="F115" i="54"/>
  <c r="P115" i="54" s="1"/>
  <c r="W30" i="6"/>
  <c r="E141" i="24" s="1"/>
  <c r="D65" i="42"/>
  <c r="G64" i="42"/>
  <c r="I64" i="42" s="1"/>
  <c r="J64" i="42" s="1"/>
  <c r="J38" i="55"/>
  <c r="I40" i="55"/>
  <c r="I41" i="55" s="1"/>
  <c r="F35" i="48"/>
  <c r="H35" i="48"/>
  <c r="H36" i="48" s="1"/>
  <c r="A65" i="6"/>
  <c r="C62" i="6"/>
  <c r="S12" i="33"/>
  <c r="R12" i="33"/>
  <c r="T12" i="33"/>
  <c r="U12" i="33"/>
  <c r="L64" i="42"/>
  <c r="C64" i="42"/>
  <c r="A93" i="41"/>
  <c r="B93" i="41" s="1"/>
  <c r="B94" i="41"/>
  <c r="J78" i="19"/>
  <c r="K33" i="55"/>
  <c r="L33" i="55" s="1"/>
  <c r="J63" i="55"/>
  <c r="N50" i="25"/>
  <c r="Q50" i="25"/>
  <c r="J50" i="25"/>
  <c r="J67" i="25" s="1"/>
  <c r="Q50" i="55"/>
  <c r="Q67" i="55" s="1"/>
  <c r="H50" i="25"/>
  <c r="H7" i="26"/>
  <c r="K7" i="26" s="1"/>
  <c r="N7" i="26" s="1"/>
  <c r="I50" i="25"/>
  <c r="K50" i="25"/>
  <c r="K50" i="55"/>
  <c r="K67" i="55" s="1"/>
  <c r="M50" i="55"/>
  <c r="M67" i="55" s="1"/>
  <c r="S50" i="25"/>
  <c r="L50" i="25"/>
  <c r="O50" i="25"/>
  <c r="I50" i="55"/>
  <c r="I67" i="55" s="1"/>
  <c r="R50" i="25"/>
  <c r="R67" i="25" s="1"/>
  <c r="M50" i="25"/>
  <c r="S50" i="55"/>
  <c r="S67" i="55" s="1"/>
  <c r="P50" i="55"/>
  <c r="P67" i="55" s="1"/>
  <c r="N50" i="55"/>
  <c r="N67" i="55" s="1"/>
  <c r="J50" i="55"/>
  <c r="J67" i="55" s="1"/>
  <c r="L50" i="55"/>
  <c r="L67" i="55" s="1"/>
  <c r="P50" i="25"/>
  <c r="O50" i="55"/>
  <c r="O67" i="55" s="1"/>
  <c r="R50" i="55"/>
  <c r="R67" i="55" s="1"/>
  <c r="H50" i="55"/>
  <c r="I7" i="26"/>
  <c r="G50" i="25"/>
  <c r="N36" i="18"/>
  <c r="L36" i="18"/>
  <c r="H36" i="18"/>
  <c r="J36" i="18"/>
  <c r="C99" i="14"/>
  <c r="L99" i="14"/>
  <c r="AC32" i="36"/>
  <c r="AD32" i="36" s="1"/>
  <c r="AI32" i="36"/>
  <c r="AU18" i="6"/>
  <c r="AV18" i="6" s="1"/>
  <c r="B95" i="67"/>
  <c r="J8" i="54"/>
  <c r="P8" i="54" s="1"/>
  <c r="T35" i="55"/>
  <c r="E45" i="18"/>
  <c r="T24" i="55"/>
  <c r="M25" i="5"/>
  <c r="U26" i="36"/>
  <c r="X26" i="36" s="1"/>
  <c r="R26" i="36"/>
  <c r="V26" i="36" s="1"/>
  <c r="U46" i="36"/>
  <c r="X46" i="36" s="1"/>
  <c r="R46" i="36"/>
  <c r="V46" i="36" s="1"/>
  <c r="AC36" i="36"/>
  <c r="AD36" i="36" s="1"/>
  <c r="AI36" i="36"/>
  <c r="AH32" i="36"/>
  <c r="AC50" i="36"/>
  <c r="AD50" i="36" s="1"/>
  <c r="AI50" i="36"/>
  <c r="AH50" i="36"/>
  <c r="AC23" i="36"/>
  <c r="AD23" i="36" s="1"/>
  <c r="AI23" i="36"/>
  <c r="AH23" i="36"/>
  <c r="A92" i="67"/>
  <c r="B93" i="67"/>
  <c r="M93" i="67" s="1"/>
  <c r="Y12" i="68"/>
  <c r="Y15" i="68"/>
  <c r="X60" i="68"/>
  <c r="Y13" i="68"/>
  <c r="Y14" i="68"/>
  <c r="Y8" i="68"/>
  <c r="Y11" i="68"/>
  <c r="Y10" i="68"/>
  <c r="Y16" i="68"/>
  <c r="Y9" i="68"/>
  <c r="M93" i="66"/>
  <c r="G7" i="11"/>
  <c r="F64" i="11"/>
  <c r="G12" i="11"/>
  <c r="G18" i="11"/>
  <c r="G9" i="11"/>
  <c r="G17" i="11"/>
  <c r="G13" i="11"/>
  <c r="G14" i="11"/>
  <c r="G8" i="11"/>
  <c r="G16" i="11"/>
  <c r="G10" i="11"/>
  <c r="G11" i="11"/>
  <c r="Z27" i="6"/>
  <c r="E63" i="38"/>
  <c r="D54" i="15" s="1"/>
  <c r="F54" i="15" s="1"/>
  <c r="H54" i="15" s="1"/>
  <c r="Q8" i="5"/>
  <c r="M8" i="5"/>
  <c r="N39" i="18"/>
  <c r="J39" i="18"/>
  <c r="H39" i="18"/>
  <c r="L39" i="18"/>
  <c r="L45" i="18" s="1"/>
  <c r="L46" i="18" s="1"/>
  <c r="B10" i="24"/>
  <c r="B10" i="70" s="1"/>
  <c r="C10" i="24"/>
  <c r="C10" i="70" s="1"/>
  <c r="AE8" i="61"/>
  <c r="A110" i="17"/>
  <c r="B111" i="17"/>
  <c r="B96" i="48"/>
  <c r="B94" i="48"/>
  <c r="B90" i="48"/>
  <c r="B97" i="48"/>
  <c r="B98" i="48"/>
  <c r="B93" i="48"/>
  <c r="B91" i="48"/>
  <c r="B100" i="48"/>
  <c r="B99" i="48"/>
  <c r="B92" i="48"/>
  <c r="B89" i="48"/>
  <c r="B95" i="48"/>
  <c r="A66" i="42"/>
  <c r="B65" i="42"/>
  <c r="T19" i="33"/>
  <c r="S19" i="33"/>
  <c r="U19" i="33"/>
  <c r="R19" i="33"/>
  <c r="M30" i="55"/>
  <c r="N30" i="55" s="1"/>
  <c r="O30" i="55" s="1"/>
  <c r="P30" i="55" s="1"/>
  <c r="Q30" i="55" s="1"/>
  <c r="R30" i="55" s="1"/>
  <c r="S30" i="55" s="1"/>
  <c r="H81" i="19"/>
  <c r="H92" i="19"/>
  <c r="H93" i="19" s="1"/>
  <c r="Y6" i="5"/>
  <c r="U31" i="5"/>
  <c r="U40" i="5" s="1"/>
  <c r="Y13" i="33"/>
  <c r="W13" i="33"/>
  <c r="X13" i="33"/>
  <c r="Z13" i="33"/>
  <c r="C97" i="63"/>
  <c r="M97" i="63"/>
  <c r="R20" i="60"/>
  <c r="T20" i="60" s="1"/>
  <c r="R21" i="60"/>
  <c r="T21" i="60" s="1"/>
  <c r="G25" i="60"/>
  <c r="D36" i="60"/>
  <c r="G36" i="60" s="1"/>
  <c r="L59" i="68"/>
  <c r="M50" i="68" s="1"/>
  <c r="M59" i="68" s="1"/>
  <c r="D93" i="67"/>
  <c r="X57" i="67"/>
  <c r="X59" i="67"/>
  <c r="Y53" i="67" s="1"/>
  <c r="D94" i="67"/>
  <c r="D95" i="67" s="1"/>
  <c r="F103" i="69"/>
  <c r="D91" i="67"/>
  <c r="V78" i="67"/>
  <c r="V81" i="67" s="1"/>
  <c r="V83" i="67" s="1"/>
  <c r="AA55" i="69"/>
  <c r="F138" i="24"/>
  <c r="F139" i="24"/>
  <c r="T21" i="28"/>
  <c r="G21" i="28"/>
  <c r="F30" i="28"/>
  <c r="AW11" i="5"/>
  <c r="AX11" i="5" s="1"/>
  <c r="AY11" i="5" s="1"/>
  <c r="AZ11" i="5" s="1"/>
  <c r="AN14" i="5"/>
  <c r="AO14" i="5" s="1"/>
  <c r="AP14" i="5" s="1"/>
  <c r="AQ14" i="5" s="1"/>
  <c r="AR14" i="5" s="1"/>
  <c r="AY21" i="5"/>
  <c r="AZ21" i="5" s="1"/>
  <c r="BA21" i="5" s="1"/>
  <c r="BB21" i="5" s="1"/>
  <c r="Q13" i="5"/>
  <c r="M13" i="5"/>
  <c r="F99" i="68"/>
  <c r="F96" i="68"/>
  <c r="AJ20" i="5"/>
  <c r="AK20" i="5" s="1"/>
  <c r="AL20" i="5" s="1"/>
  <c r="AM20" i="5" s="1"/>
  <c r="AU20" i="5"/>
  <c r="AV20" i="5" s="1"/>
  <c r="F92" i="68"/>
  <c r="F102" i="68"/>
  <c r="F98" i="68"/>
  <c r="F94" i="68"/>
  <c r="F101" i="68"/>
  <c r="F97" i="68"/>
  <c r="D81" i="68"/>
  <c r="D83" i="68" s="1"/>
  <c r="F103" i="68"/>
  <c r="F93" i="68"/>
  <c r="G93" i="68" s="1"/>
  <c r="J93" i="68" s="1"/>
  <c r="K93" i="68" s="1"/>
  <c r="F95" i="68"/>
  <c r="F100" i="68"/>
  <c r="F59" i="68"/>
  <c r="Y42" i="68" s="1"/>
  <c r="AD35" i="6"/>
  <c r="V80" i="66"/>
  <c r="F105" i="54"/>
  <c r="E128" i="24"/>
  <c r="I82" i="21"/>
  <c r="C92" i="21"/>
  <c r="AZ16" i="58"/>
  <c r="BA16" i="58" s="1"/>
  <c r="BH14" i="6"/>
  <c r="BI14" i="6" s="1"/>
  <c r="BF15" i="6"/>
  <c r="BG15" i="6" s="1"/>
  <c r="BI6" i="58"/>
  <c r="BJ6" i="58" s="1"/>
  <c r="AX15" i="58"/>
  <c r="AY15" i="58" s="1"/>
  <c r="AW12" i="6"/>
  <c r="AX12" i="6" s="1"/>
  <c r="AY24" i="5"/>
  <c r="AZ24" i="5" s="1"/>
  <c r="BI16" i="58"/>
  <c r="BJ16" i="58" s="1"/>
  <c r="AV20" i="58"/>
  <c r="AW20" i="58" s="1"/>
  <c r="AY10" i="5"/>
  <c r="AZ10" i="5" s="1"/>
  <c r="AY14" i="5"/>
  <c r="AZ14" i="5" s="1"/>
  <c r="BH20" i="6"/>
  <c r="BI20" i="6" s="1"/>
  <c r="AU16" i="6"/>
  <c r="AV16" i="6" s="1"/>
  <c r="C92" i="68"/>
  <c r="J7" i="54"/>
  <c r="G6" i="24"/>
  <c r="L6" i="24" s="1"/>
  <c r="H18" i="11"/>
  <c r="F64" i="48"/>
  <c r="G13" i="48"/>
  <c r="G8" i="48"/>
  <c r="G11" i="48"/>
  <c r="G15" i="48"/>
  <c r="G10" i="48"/>
  <c r="G9" i="48"/>
  <c r="G17" i="48"/>
  <c r="G7" i="48"/>
  <c r="G12" i="48"/>
  <c r="G16" i="48"/>
  <c r="G14" i="48"/>
  <c r="H29" i="11"/>
  <c r="J47" i="63"/>
  <c r="P47" i="63"/>
  <c r="V47" i="63"/>
  <c r="T117" i="53"/>
  <c r="C118" i="53"/>
  <c r="C117" i="53"/>
  <c r="T118" i="53"/>
  <c r="T18" i="33"/>
  <c r="S18" i="33"/>
  <c r="R18" i="33"/>
  <c r="U18" i="33"/>
  <c r="T112" i="53"/>
  <c r="F32" i="19"/>
  <c r="M30" i="19"/>
  <c r="F35" i="19"/>
  <c r="F31" i="19"/>
  <c r="AU17" i="5"/>
  <c r="AV17" i="5" s="1"/>
  <c r="AJ17" i="5"/>
  <c r="AK17" i="5" s="1"/>
  <c r="B120" i="53"/>
  <c r="A121" i="53"/>
  <c r="G68" i="24"/>
  <c r="J55" i="54"/>
  <c r="BH13" i="6"/>
  <c r="BI13" i="6" s="1"/>
  <c r="BF19" i="6"/>
  <c r="BG19" i="6" s="1"/>
  <c r="BA15" i="5"/>
  <c r="BB15" i="5" s="1"/>
  <c r="U21" i="36"/>
  <c r="X21" i="36" s="1"/>
  <c r="R21" i="36"/>
  <c r="V21" i="36" s="1"/>
  <c r="C94" i="69"/>
  <c r="Q12" i="5"/>
  <c r="M12" i="5"/>
  <c r="C103" i="11"/>
  <c r="L103" i="11"/>
  <c r="L104" i="11"/>
  <c r="C104" i="11"/>
  <c r="D143" i="24"/>
  <c r="A110" i="48"/>
  <c r="B111" i="48"/>
  <c r="J6" i="54"/>
  <c r="H18" i="10"/>
  <c r="G5" i="24"/>
  <c r="R15" i="33"/>
  <c r="T15" i="33"/>
  <c r="S15" i="33"/>
  <c r="U15" i="33"/>
  <c r="C116" i="53"/>
  <c r="T116" i="53"/>
  <c r="N22" i="9"/>
  <c r="V22" i="9" s="1"/>
  <c r="R22" i="9"/>
  <c r="L23" i="9"/>
  <c r="F34" i="21"/>
  <c r="K51" i="26"/>
  <c r="N51" i="26" s="1"/>
  <c r="B111" i="53"/>
  <c r="C112" i="53" s="1"/>
  <c r="A110" i="53"/>
  <c r="B110" i="53" s="1"/>
  <c r="F47" i="19"/>
  <c r="F45" i="19"/>
  <c r="F44" i="19"/>
  <c r="M43" i="19"/>
  <c r="K45" i="19"/>
  <c r="K85" i="19" s="1"/>
  <c r="K44" i="19"/>
  <c r="K46" i="19" s="1"/>
  <c r="K78" i="19" s="1"/>
  <c r="K47" i="19"/>
  <c r="AH26" i="6"/>
  <c r="AH35" i="6" s="1"/>
  <c r="AH21" i="6"/>
  <c r="K82" i="19"/>
  <c r="K83" i="19" s="1"/>
  <c r="Y14" i="33"/>
  <c r="X14" i="33"/>
  <c r="Z14" i="33"/>
  <c r="W14" i="33"/>
  <c r="G19" i="19"/>
  <c r="G22" i="19"/>
  <c r="M17" i="19"/>
  <c r="G18" i="19"/>
  <c r="J75" i="19"/>
  <c r="J85" i="19"/>
  <c r="C119" i="53"/>
  <c r="T119" i="53"/>
  <c r="L8" i="6"/>
  <c r="V8" i="6"/>
  <c r="W33" i="58"/>
  <c r="AT13" i="58"/>
  <c r="AU13" i="58" s="1"/>
  <c r="BE13" i="58"/>
  <c r="BF13" i="58" s="1"/>
  <c r="G26" i="2"/>
  <c r="H26" i="2"/>
  <c r="AD12" i="36"/>
  <c r="C63" i="42"/>
  <c r="L62" i="42"/>
  <c r="I62" i="42"/>
  <c r="J62" i="42" s="1"/>
  <c r="I44" i="19"/>
  <c r="I46" i="19" s="1"/>
  <c r="I47" i="19"/>
  <c r="I45" i="19"/>
  <c r="E80" i="49"/>
  <c r="F40" i="49"/>
  <c r="F49" i="49" s="1"/>
  <c r="M31" i="5"/>
  <c r="AN21" i="5"/>
  <c r="AO21" i="5" s="1"/>
  <c r="BF16" i="6"/>
  <c r="BG16" i="6" s="1"/>
  <c r="L79" i="19"/>
  <c r="C144" i="24"/>
  <c r="D130" i="24"/>
  <c r="F130" i="24"/>
  <c r="E130" i="24"/>
  <c r="BI8" i="58"/>
  <c r="BJ8" i="58" s="1"/>
  <c r="AA55" i="68"/>
  <c r="AW14" i="6"/>
  <c r="AX14" i="6" s="1"/>
  <c r="L83" i="19"/>
  <c r="BL10" i="6"/>
  <c r="BM10" i="6" s="1"/>
  <c r="R10" i="55"/>
  <c r="S10" i="55" s="1"/>
  <c r="D80" i="67"/>
  <c r="F59" i="67"/>
  <c r="C66" i="26"/>
  <c r="U37" i="36"/>
  <c r="X37" i="36" s="1"/>
  <c r="R37" i="36"/>
  <c r="V37" i="36" s="1"/>
  <c r="G17" i="67"/>
  <c r="G9" i="67"/>
  <c r="G15" i="67"/>
  <c r="G14" i="67"/>
  <c r="G8" i="67"/>
  <c r="G16" i="67"/>
  <c r="G12" i="67"/>
  <c r="M17" i="67"/>
  <c r="G13" i="67"/>
  <c r="G11" i="67"/>
  <c r="F60" i="67"/>
  <c r="Y17" i="67"/>
  <c r="F37" i="67"/>
  <c r="F44" i="67" s="1"/>
  <c r="F57" i="67" s="1"/>
  <c r="AA17" i="68"/>
  <c r="G13" i="24"/>
  <c r="L13" i="24" s="1"/>
  <c r="B105" i="11"/>
  <c r="A106" i="11"/>
  <c r="J28" i="54"/>
  <c r="G34" i="24"/>
  <c r="V47" i="67"/>
  <c r="J47" i="67"/>
  <c r="P47" i="67"/>
  <c r="G11" i="10"/>
  <c r="G9" i="10"/>
  <c r="G10" i="10"/>
  <c r="G14" i="10"/>
  <c r="G13" i="10"/>
  <c r="G17" i="10"/>
  <c r="G12" i="10"/>
  <c r="F64" i="10"/>
  <c r="G8" i="10"/>
  <c r="G15" i="10"/>
  <c r="G7" i="10"/>
  <c r="G18" i="10"/>
  <c r="C115" i="53"/>
  <c r="T115" i="53"/>
  <c r="L99" i="10"/>
  <c r="C99" i="10"/>
  <c r="J18" i="55"/>
  <c r="K18" i="55" s="1"/>
  <c r="L18" i="55" s="1"/>
  <c r="M18" i="55" s="1"/>
  <c r="N18" i="55" s="1"/>
  <c r="O18" i="55" s="1"/>
  <c r="P18" i="55" s="1"/>
  <c r="Q18" i="55" s="1"/>
  <c r="R18" i="55" s="1"/>
  <c r="S18" i="55" s="1"/>
  <c r="AT11" i="58"/>
  <c r="AU11" i="58" s="1"/>
  <c r="BE11" i="58"/>
  <c r="AN10" i="5"/>
  <c r="AO10" i="5" s="1"/>
  <c r="BI15" i="58"/>
  <c r="BJ15" i="58" s="1"/>
  <c r="A60" i="42"/>
  <c r="H61" i="42"/>
  <c r="B61" i="42"/>
  <c r="C62" i="42" s="1"/>
  <c r="I31" i="19"/>
  <c r="I33" i="19" s="1"/>
  <c r="I32" i="19"/>
  <c r="I35" i="19"/>
  <c r="N42" i="19"/>
  <c r="P42" i="19" s="1"/>
  <c r="O42" i="19"/>
  <c r="S25" i="9"/>
  <c r="AA55" i="67"/>
  <c r="E100" i="24"/>
  <c r="R59" i="67"/>
  <c r="S36" i="67" s="1"/>
  <c r="P78" i="67"/>
  <c r="P81" i="67" s="1"/>
  <c r="P83" i="67" s="1"/>
  <c r="U25" i="36"/>
  <c r="X25" i="36" s="1"/>
  <c r="R25" i="36"/>
  <c r="V25" i="36" s="1"/>
  <c r="P78" i="69"/>
  <c r="P81" i="69" s="1"/>
  <c r="P83" i="69" s="1"/>
  <c r="R59" i="69"/>
  <c r="S36" i="69" s="1"/>
  <c r="C95" i="67"/>
  <c r="M95" i="67"/>
  <c r="Y15" i="66"/>
  <c r="Y14" i="66"/>
  <c r="Y13" i="66"/>
  <c r="Y12" i="66"/>
  <c r="Y17" i="66"/>
  <c r="Y11" i="66"/>
  <c r="Y8" i="66"/>
  <c r="Y10" i="66"/>
  <c r="X60" i="66"/>
  <c r="C93" i="68"/>
  <c r="D92" i="69"/>
  <c r="D91" i="69"/>
  <c r="D94" i="69"/>
  <c r="D93" i="69"/>
  <c r="D81" i="69"/>
  <c r="D83" i="69" s="1"/>
  <c r="F112" i="54"/>
  <c r="P112" i="54" s="1"/>
  <c r="T35" i="6"/>
  <c r="W27" i="6"/>
  <c r="E138" i="24" s="1"/>
  <c r="AL15" i="5"/>
  <c r="AM15" i="5" s="1"/>
  <c r="AM8" i="58"/>
  <c r="AQ16" i="58"/>
  <c r="W27" i="5"/>
  <c r="W29" i="5"/>
  <c r="I82" i="53"/>
  <c r="S48" i="53"/>
  <c r="A96" i="10"/>
  <c r="B97" i="10"/>
  <c r="C98" i="10" s="1"/>
  <c r="AE27" i="5"/>
  <c r="G8" i="52"/>
  <c r="G14" i="52"/>
  <c r="G15" i="52"/>
  <c r="G13" i="52"/>
  <c r="G9" i="52"/>
  <c r="G7" i="52"/>
  <c r="G10" i="52"/>
  <c r="G11" i="52"/>
  <c r="F33" i="52"/>
  <c r="B113" i="48"/>
  <c r="A114" i="48"/>
  <c r="V47" i="61"/>
  <c r="P47" i="61"/>
  <c r="J47" i="61"/>
  <c r="D109" i="54"/>
  <c r="D135" i="24"/>
  <c r="L40" i="5"/>
  <c r="AY19" i="5"/>
  <c r="AZ19" i="5" s="1"/>
  <c r="P38" i="53"/>
  <c r="C114" i="53"/>
  <c r="T114" i="53"/>
  <c r="G15" i="53"/>
  <c r="G14" i="53"/>
  <c r="K17" i="53"/>
  <c r="G10" i="53"/>
  <c r="G8" i="53"/>
  <c r="O11" i="53"/>
  <c r="K10" i="53"/>
  <c r="G11" i="53"/>
  <c r="O12" i="53"/>
  <c r="O15" i="53"/>
  <c r="K8" i="53"/>
  <c r="O16" i="53"/>
  <c r="K18" i="53"/>
  <c r="O10" i="53"/>
  <c r="K11" i="53"/>
  <c r="O18" i="53"/>
  <c r="G16" i="53"/>
  <c r="G18" i="53"/>
  <c r="O8" i="53"/>
  <c r="G12" i="53"/>
  <c r="O17" i="53"/>
  <c r="K16" i="53"/>
  <c r="K14" i="53"/>
  <c r="G13" i="53"/>
  <c r="K15" i="53"/>
  <c r="O14" i="53"/>
  <c r="K13" i="53"/>
  <c r="K12" i="53"/>
  <c r="O13" i="53"/>
  <c r="F65" i="53"/>
  <c r="O9" i="53"/>
  <c r="N29" i="55"/>
  <c r="R18" i="18"/>
  <c r="S4" i="18" s="1"/>
  <c r="F68" i="19"/>
  <c r="F71" i="19"/>
  <c r="F69" i="19"/>
  <c r="M69" i="19" s="1"/>
  <c r="M67" i="19"/>
  <c r="M100" i="61"/>
  <c r="C100" i="61"/>
  <c r="F92" i="19"/>
  <c r="F81" i="19"/>
  <c r="W48" i="58"/>
  <c r="N16" i="19"/>
  <c r="P16" i="19" s="1"/>
  <c r="O16" i="19"/>
  <c r="C45" i="2"/>
  <c r="C32" i="2"/>
  <c r="D32" i="2"/>
  <c r="T17" i="55"/>
  <c r="H53" i="41"/>
  <c r="BI10" i="58"/>
  <c r="BJ10" i="58" s="1"/>
  <c r="K62" i="42"/>
  <c r="H21" i="21"/>
  <c r="H38" i="49"/>
  <c r="H39" i="49" s="1"/>
  <c r="D123" i="24"/>
  <c r="D100" i="54"/>
  <c r="V78" i="68"/>
  <c r="V81" i="68" s="1"/>
  <c r="V83" i="68" s="1"/>
  <c r="X37" i="68"/>
  <c r="X44" i="68" s="1"/>
  <c r="X57" i="68" s="1"/>
  <c r="X59" i="68"/>
  <c r="Y36" i="68" s="1"/>
  <c r="F49" i="44"/>
  <c r="H116" i="54"/>
  <c r="V7" i="58"/>
  <c r="L7" i="58"/>
  <c r="Q26" i="9"/>
  <c r="M26" i="9"/>
  <c r="U26" i="9" s="1"/>
  <c r="A27" i="9" s="1"/>
  <c r="K27" i="9"/>
  <c r="BJ18" i="6"/>
  <c r="BK18" i="6" s="1"/>
  <c r="AC40" i="36"/>
  <c r="AD40" i="36" s="1"/>
  <c r="AH40" i="36"/>
  <c r="AI40" i="36"/>
  <c r="L37" i="69"/>
  <c r="L44" i="69" s="1"/>
  <c r="L57" i="69" s="1"/>
  <c r="J78" i="69"/>
  <c r="J81" i="69" s="1"/>
  <c r="J83" i="69" s="1"/>
  <c r="L59" i="69"/>
  <c r="U17" i="36"/>
  <c r="X17" i="36" s="1"/>
  <c r="R17" i="36"/>
  <c r="V17" i="36" s="1"/>
  <c r="M92" i="69"/>
  <c r="C92" i="69"/>
  <c r="G10" i="69"/>
  <c r="G12" i="69"/>
  <c r="G11" i="69"/>
  <c r="F60" i="69"/>
  <c r="F37" i="69"/>
  <c r="F44" i="69" s="1"/>
  <c r="F57" i="69" s="1"/>
  <c r="G16" i="69"/>
  <c r="G13" i="69"/>
  <c r="M17" i="69"/>
  <c r="G15" i="69"/>
  <c r="G17" i="69"/>
  <c r="G9" i="69"/>
  <c r="Y17" i="69"/>
  <c r="G14" i="69"/>
  <c r="G8" i="69"/>
  <c r="I57" i="55"/>
  <c r="I26" i="55"/>
  <c r="J15" i="55"/>
  <c r="BG5" i="58"/>
  <c r="H37" i="48"/>
  <c r="AJ26" i="6"/>
  <c r="AJ21" i="6"/>
  <c r="BF17" i="6"/>
  <c r="BG17" i="6" s="1"/>
  <c r="AW13" i="6"/>
  <c r="AX13" i="6" s="1"/>
  <c r="R59" i="68"/>
  <c r="S36" i="68" s="1"/>
  <c r="P78" i="68"/>
  <c r="P81" i="68" s="1"/>
  <c r="P83" i="68" s="1"/>
  <c r="S11" i="69"/>
  <c r="S14" i="69"/>
  <c r="S16" i="69"/>
  <c r="S9" i="69"/>
  <c r="S17" i="69"/>
  <c r="S12" i="69"/>
  <c r="S10" i="69"/>
  <c r="S8" i="69"/>
  <c r="R37" i="69"/>
  <c r="R44" i="69" s="1"/>
  <c r="R57" i="69" s="1"/>
  <c r="S13" i="69"/>
  <c r="R60" i="69"/>
  <c r="AA53" i="36"/>
  <c r="G69" i="24" s="1"/>
  <c r="L69" i="24" s="1"/>
  <c r="S10" i="67"/>
  <c r="S8" i="67"/>
  <c r="S13" i="67"/>
  <c r="S11" i="67"/>
  <c r="R37" i="67"/>
  <c r="R44" i="67" s="1"/>
  <c r="R57" i="67" s="1"/>
  <c r="S9" i="67"/>
  <c r="S17" i="67"/>
  <c r="S16" i="67"/>
  <c r="R60" i="67"/>
  <c r="S12" i="67"/>
  <c r="S15" i="67"/>
  <c r="M93" i="69"/>
  <c r="C93" i="69"/>
  <c r="AO6" i="58"/>
  <c r="AN19" i="58"/>
  <c r="AO19" i="58" s="1"/>
  <c r="K19" i="58"/>
  <c r="AR19" i="58"/>
  <c r="AR21" i="58" s="1"/>
  <c r="L178" i="54" s="1"/>
  <c r="AL19" i="58"/>
  <c r="AM19" i="58" s="1"/>
  <c r="AP19" i="58"/>
  <c r="AQ19" i="58" s="1"/>
  <c r="AJ19" i="58"/>
  <c r="AK19" i="58" s="1"/>
  <c r="M19" i="58"/>
  <c r="J19" i="58"/>
  <c r="Q22" i="5"/>
  <c r="M22" i="5"/>
  <c r="E103" i="66"/>
  <c r="E93" i="66"/>
  <c r="E101" i="66"/>
  <c r="E100" i="66"/>
  <c r="E99" i="66"/>
  <c r="E92" i="66"/>
  <c r="E96" i="66"/>
  <c r="E95" i="66"/>
  <c r="E102" i="66"/>
  <c r="E91" i="66"/>
  <c r="E98" i="66"/>
  <c r="E97" i="66"/>
  <c r="E94" i="66"/>
  <c r="U13" i="36"/>
  <c r="X13" i="36" s="1"/>
  <c r="R13" i="36"/>
  <c r="V13" i="36" s="1"/>
  <c r="U29" i="36"/>
  <c r="X29" i="36" s="1"/>
  <c r="R29" i="36"/>
  <c r="V29" i="36" s="1"/>
  <c r="S14" i="67"/>
  <c r="C96" i="67"/>
  <c r="M96" i="67"/>
  <c r="G10" i="67"/>
  <c r="Y9" i="66"/>
  <c r="C95" i="68"/>
  <c r="M95" i="68"/>
  <c r="R60" i="68"/>
  <c r="S14" i="68"/>
  <c r="S8" i="68"/>
  <c r="S10" i="68"/>
  <c r="S11" i="68"/>
  <c r="S17" i="68"/>
  <c r="S16" i="68"/>
  <c r="S12" i="68"/>
  <c r="S15" i="68"/>
  <c r="S13" i="68"/>
  <c r="S9" i="68"/>
  <c r="R37" i="68"/>
  <c r="R44" i="68" s="1"/>
  <c r="R57" i="68" s="1"/>
  <c r="AE8" i="67"/>
  <c r="B14" i="24"/>
  <c r="B14" i="70" s="1"/>
  <c r="C14" i="24"/>
  <c r="C14" i="70" s="1"/>
  <c r="AC10" i="67"/>
  <c r="AA17" i="67"/>
  <c r="AK8" i="58"/>
  <c r="AD21" i="58"/>
  <c r="AE19" i="58"/>
  <c r="M82" i="53"/>
  <c r="I63" i="55"/>
  <c r="AC29" i="5"/>
  <c r="AC40" i="5" s="1"/>
  <c r="AC27" i="5"/>
  <c r="AA29" i="5"/>
  <c r="AA40" i="5" s="1"/>
  <c r="AA27" i="5"/>
  <c r="T21" i="55"/>
  <c r="G12" i="52"/>
  <c r="C112" i="48"/>
  <c r="R22" i="66"/>
  <c r="J47" i="68"/>
  <c r="P47" i="68"/>
  <c r="V47" i="68"/>
  <c r="V47" i="66"/>
  <c r="P47" i="66"/>
  <c r="J47" i="66"/>
  <c r="H29" i="10"/>
  <c r="G16" i="10"/>
  <c r="E67" i="38"/>
  <c r="K9" i="53"/>
  <c r="G9" i="53"/>
  <c r="C113" i="53"/>
  <c r="B100" i="10"/>
  <c r="A101" i="10"/>
  <c r="D52" i="26"/>
  <c r="H18" i="48"/>
  <c r="F59" i="19"/>
  <c r="F56" i="19"/>
  <c r="M55" i="19"/>
  <c r="F57" i="19"/>
  <c r="M57" i="19" s="1"/>
  <c r="K19" i="21"/>
  <c r="K21" i="21" s="1"/>
  <c r="K23" i="21"/>
  <c r="M23" i="21" s="1"/>
  <c r="K20" i="21"/>
  <c r="D53" i="15"/>
  <c r="M34" i="55"/>
  <c r="J27" i="5"/>
  <c r="B101" i="61"/>
  <c r="A102" i="61"/>
  <c r="N66" i="19"/>
  <c r="P66" i="19" s="1"/>
  <c r="O66" i="19"/>
  <c r="L80" i="19"/>
  <c r="L81" i="19" s="1"/>
  <c r="I22" i="19"/>
  <c r="I19" i="19"/>
  <c r="I18" i="19"/>
  <c r="I20" i="19" s="1"/>
  <c r="AS11" i="6"/>
  <c r="BD11" i="6"/>
  <c r="H64" i="55"/>
  <c r="H65" i="55" s="1"/>
  <c r="H27" i="55"/>
  <c r="G81" i="19"/>
  <c r="G92" i="19"/>
  <c r="G93" i="19" s="1"/>
  <c r="M93" i="19" s="1"/>
  <c r="S8" i="55"/>
  <c r="D55" i="41"/>
  <c r="F55" i="41" s="1"/>
  <c r="T27" i="25"/>
  <c r="N29" i="19"/>
  <c r="P29" i="19" s="1"/>
  <c r="O29" i="19"/>
  <c r="H36" i="49"/>
  <c r="AA36" i="68"/>
  <c r="G51" i="24" s="1"/>
  <c r="L51" i="24" s="1"/>
  <c r="BG12" i="58"/>
  <c r="BH12" i="58" s="1"/>
  <c r="F60" i="38"/>
  <c r="V35" i="58"/>
  <c r="AA24" i="58"/>
  <c r="BI5" i="6"/>
  <c r="Q38" i="58"/>
  <c r="C26" i="69"/>
  <c r="H25" i="69"/>
  <c r="N25" i="69" s="1"/>
  <c r="T25" i="69" s="1"/>
  <c r="E101" i="24"/>
  <c r="AB53" i="36"/>
  <c r="F58" i="36" s="1"/>
  <c r="H93" i="21"/>
  <c r="H82" i="21"/>
  <c r="F71" i="21"/>
  <c r="I72" i="21"/>
  <c r="I70" i="21"/>
  <c r="I69" i="21"/>
  <c r="I71" i="21" s="1"/>
  <c r="AM31" i="63" l="1"/>
  <c r="S9" i="61"/>
  <c r="S10" i="61"/>
  <c r="R60" i="61"/>
  <c r="S13" i="61"/>
  <c r="S8" i="61"/>
  <c r="L145" i="24"/>
  <c r="E155" i="24"/>
  <c r="H120" i="24" s="1"/>
  <c r="F35" i="20"/>
  <c r="F36" i="20" s="1"/>
  <c r="P22" i="61"/>
  <c r="L22" i="61"/>
  <c r="G82" i="21"/>
  <c r="C37" i="40"/>
  <c r="L140" i="24"/>
  <c r="H70" i="38"/>
  <c r="J70" i="38" s="1"/>
  <c r="C38" i="40"/>
  <c r="AG53" i="36"/>
  <c r="W11" i="36"/>
  <c r="AH11" i="36"/>
  <c r="I53" i="36"/>
  <c r="H47" i="44"/>
  <c r="G48" i="52"/>
  <c r="D48" i="43"/>
  <c r="F48" i="43" s="1"/>
  <c r="H48" i="43" s="1"/>
  <c r="Y31" i="5"/>
  <c r="Y34" i="5"/>
  <c r="D94" i="54"/>
  <c r="D95" i="54" s="1"/>
  <c r="J95" i="54" s="1"/>
  <c r="D114" i="24"/>
  <c r="D118" i="24" s="1"/>
  <c r="AJ6" i="5"/>
  <c r="AK6" i="5" s="1"/>
  <c r="AU6" i="5"/>
  <c r="AV6" i="5" s="1"/>
  <c r="AW6" i="5" s="1"/>
  <c r="AX6" i="5" s="1"/>
  <c r="AY6" i="5" s="1"/>
  <c r="AZ6" i="5" s="1"/>
  <c r="BA6" i="5" s="1"/>
  <c r="BB6" i="5" s="1"/>
  <c r="BC6" i="5" s="1"/>
  <c r="BD6" i="5" s="1"/>
  <c r="Q36" i="10"/>
  <c r="J126" i="54"/>
  <c r="F126" i="54"/>
  <c r="L97" i="54" s="1"/>
  <c r="M31" i="55"/>
  <c r="H82" i="19"/>
  <c r="H83" i="19" s="1"/>
  <c r="AI49" i="36"/>
  <c r="AC49" i="36"/>
  <c r="AD49" i="36" s="1"/>
  <c r="AH49" i="36"/>
  <c r="S6" i="33"/>
  <c r="R6" i="33"/>
  <c r="U6" i="33"/>
  <c r="T6" i="33"/>
  <c r="M93" i="68"/>
  <c r="M59" i="19"/>
  <c r="K75" i="19"/>
  <c r="N23" i="33"/>
  <c r="Y27" i="5"/>
  <c r="O44" i="21"/>
  <c r="L78" i="19"/>
  <c r="A91" i="63"/>
  <c r="B91" i="63" s="1"/>
  <c r="B92" i="63"/>
  <c r="H26" i="61"/>
  <c r="N26" i="61" s="1"/>
  <c r="T26" i="61" s="1"/>
  <c r="C27" i="61"/>
  <c r="H27" i="61" s="1"/>
  <c r="N27" i="61" s="1"/>
  <c r="T27" i="61" s="1"/>
  <c r="I65" i="55"/>
  <c r="M71" i="19"/>
  <c r="O71" i="19" s="1"/>
  <c r="M96" i="68"/>
  <c r="I64" i="55"/>
  <c r="AP21" i="6"/>
  <c r="P21" i="33"/>
  <c r="G12" i="25"/>
  <c r="J18" i="18"/>
  <c r="J19" i="18" s="1"/>
  <c r="H22" i="18" s="1"/>
  <c r="AI19" i="36"/>
  <c r="P113" i="54"/>
  <c r="AI28" i="36"/>
  <c r="AC28" i="36"/>
  <c r="AD28" i="36" s="1"/>
  <c r="AH28" i="36"/>
  <c r="R10" i="33"/>
  <c r="U10" i="33"/>
  <c r="T10" i="33"/>
  <c r="S10" i="33"/>
  <c r="G73" i="38"/>
  <c r="G20" i="12"/>
  <c r="G19" i="12"/>
  <c r="G15" i="12"/>
  <c r="AO35" i="6"/>
  <c r="C210" i="24"/>
  <c r="B181" i="54" s="1"/>
  <c r="D181" i="54" s="1"/>
  <c r="F181" i="54" s="1"/>
  <c r="H181" i="54" s="1"/>
  <c r="J181" i="54" s="1"/>
  <c r="L181" i="54" s="1"/>
  <c r="F73" i="38"/>
  <c r="G79" i="38"/>
  <c r="E58" i="22" s="1"/>
  <c r="F58" i="22" s="1"/>
  <c r="B36" i="22"/>
  <c r="E36" i="22" s="1"/>
  <c r="H36" i="22" s="1"/>
  <c r="H37" i="22" s="1"/>
  <c r="AK35" i="6"/>
  <c r="O39" i="10"/>
  <c r="P36" i="10"/>
  <c r="H5" i="70"/>
  <c r="M36" i="10"/>
  <c r="O38" i="10"/>
  <c r="C28" i="24"/>
  <c r="O23" i="64"/>
  <c r="G23" i="64"/>
  <c r="K23" i="64"/>
  <c r="G7" i="25"/>
  <c r="B36" i="53"/>
  <c r="I36" i="53" s="1"/>
  <c r="J36" i="53" s="1"/>
  <c r="H44" i="53" s="1"/>
  <c r="H39" i="53" s="1"/>
  <c r="J39" i="53" s="1"/>
  <c r="J40" i="53" s="1"/>
  <c r="J41" i="53" s="1"/>
  <c r="J50" i="53" s="1"/>
  <c r="B40" i="64"/>
  <c r="G26" i="24"/>
  <c r="L26" i="24" s="1"/>
  <c r="J21" i="54"/>
  <c r="P21" i="54" s="1"/>
  <c r="M36" i="53"/>
  <c r="N36" i="53" s="1"/>
  <c r="F118" i="54"/>
  <c r="L139" i="24"/>
  <c r="H74" i="54"/>
  <c r="F93" i="24"/>
  <c r="C94" i="67"/>
  <c r="O18" i="21"/>
  <c r="F222" i="24"/>
  <c r="C222" i="24" s="1"/>
  <c r="N54" i="19"/>
  <c r="P54" i="19" s="1"/>
  <c r="O54" i="19"/>
  <c r="B98" i="41"/>
  <c r="A99" i="41"/>
  <c r="C97" i="41"/>
  <c r="L97" i="41"/>
  <c r="C95" i="69"/>
  <c r="J45" i="18"/>
  <c r="J46" i="18" s="1"/>
  <c r="H49" i="18" s="1"/>
  <c r="O17" i="21"/>
  <c r="N17" i="21"/>
  <c r="P17" i="21" s="1"/>
  <c r="G12" i="12"/>
  <c r="G13" i="12"/>
  <c r="F66" i="12"/>
  <c r="G17" i="12"/>
  <c r="G8" i="12"/>
  <c r="G14" i="12"/>
  <c r="G10" i="12"/>
  <c r="G11" i="12"/>
  <c r="G16" i="12"/>
  <c r="H66" i="38"/>
  <c r="J66" i="38" s="1"/>
  <c r="V26" i="6"/>
  <c r="E73" i="38" s="1"/>
  <c r="E56" i="17" s="1"/>
  <c r="F56" i="17" s="1"/>
  <c r="C80" i="38"/>
  <c r="F35" i="17"/>
  <c r="F36" i="17" s="1"/>
  <c r="AJ5" i="5"/>
  <c r="AK5" i="5" s="1"/>
  <c r="AL5" i="5" s="1"/>
  <c r="AM5" i="5" s="1"/>
  <c r="F32" i="44"/>
  <c r="H32" i="44" s="1"/>
  <c r="G30" i="43"/>
  <c r="Q24" i="6"/>
  <c r="E121" i="24" s="1"/>
  <c r="E132" i="24" s="1"/>
  <c r="O36" i="13"/>
  <c r="O37" i="13" s="1"/>
  <c r="L141" i="24"/>
  <c r="H65" i="38"/>
  <c r="J3" i="36" s="1"/>
  <c r="AL48" i="36" s="1"/>
  <c r="F76" i="38"/>
  <c r="G76" i="38"/>
  <c r="O37" i="10"/>
  <c r="G77" i="38"/>
  <c r="F77" i="38"/>
  <c r="F74" i="38"/>
  <c r="G74" i="38"/>
  <c r="F75" i="38"/>
  <c r="G75" i="38"/>
  <c r="G78" i="38"/>
  <c r="F78" i="38"/>
  <c r="B101" i="17"/>
  <c r="AJ35" i="6"/>
  <c r="F121" i="24"/>
  <c r="F132" i="24" s="1"/>
  <c r="F32" i="43"/>
  <c r="G32" i="43" s="1"/>
  <c r="G30" i="44"/>
  <c r="V38" i="58"/>
  <c r="E36" i="12" s="1"/>
  <c r="F36" i="12" s="1"/>
  <c r="N30" i="5"/>
  <c r="D61" i="38"/>
  <c r="H61" i="38" s="1"/>
  <c r="J61" i="38" s="1"/>
  <c r="O31" i="21"/>
  <c r="N31" i="21"/>
  <c r="P31" i="21" s="1"/>
  <c r="T10" i="55"/>
  <c r="M48" i="21"/>
  <c r="O55" i="21"/>
  <c r="N55" i="21"/>
  <c r="P55" i="21" s="1"/>
  <c r="N45" i="18"/>
  <c r="N46" i="18" s="1"/>
  <c r="G60" i="21"/>
  <c r="M60" i="21" s="1"/>
  <c r="M56" i="21"/>
  <c r="G57" i="21"/>
  <c r="G58" i="21"/>
  <c r="AI43" i="36"/>
  <c r="AH43" i="36"/>
  <c r="U11" i="33"/>
  <c r="T11" i="33"/>
  <c r="S11" i="33"/>
  <c r="R11" i="33"/>
  <c r="U17" i="33"/>
  <c r="R17" i="33"/>
  <c r="T17" i="33"/>
  <c r="S17" i="33"/>
  <c r="W46" i="58"/>
  <c r="R20" i="33"/>
  <c r="S20" i="33"/>
  <c r="U20" i="33"/>
  <c r="T20" i="33"/>
  <c r="B116" i="49"/>
  <c r="A117" i="49"/>
  <c r="AI16" i="36"/>
  <c r="AH16" i="36"/>
  <c r="C115" i="49"/>
  <c r="L115" i="49"/>
  <c r="R16" i="33"/>
  <c r="S16" i="33"/>
  <c r="U16" i="33"/>
  <c r="T16" i="33"/>
  <c r="AC16" i="36"/>
  <c r="AD16" i="36" s="1"/>
  <c r="AI30" i="36"/>
  <c r="AC30" i="36"/>
  <c r="AD30" i="36" s="1"/>
  <c r="AI18" i="36"/>
  <c r="AH18" i="36"/>
  <c r="AC43" i="36"/>
  <c r="AD43" i="36" s="1"/>
  <c r="F82" i="21"/>
  <c r="W35" i="58"/>
  <c r="Q27" i="5"/>
  <c r="F177" i="54" s="1"/>
  <c r="F37" i="41"/>
  <c r="F38" i="41" s="1"/>
  <c r="F47" i="41" s="1"/>
  <c r="B101" i="49"/>
  <c r="BF7" i="6"/>
  <c r="BG7" i="6" s="1"/>
  <c r="C173" i="24"/>
  <c r="B144" i="54" s="1"/>
  <c r="D144" i="54" s="1"/>
  <c r="F144" i="54" s="1"/>
  <c r="H144" i="54" s="1"/>
  <c r="J144" i="54" s="1"/>
  <c r="L144" i="54" s="1"/>
  <c r="AU23" i="5"/>
  <c r="AV23" i="5" s="1"/>
  <c r="AW23" i="5" s="1"/>
  <c r="AX23" i="5" s="1"/>
  <c r="AY23" i="5" s="1"/>
  <c r="AZ23" i="5" s="1"/>
  <c r="AV18" i="58"/>
  <c r="AW18" i="58" s="1"/>
  <c r="AX18" i="58" s="1"/>
  <c r="AY18" i="58" s="1"/>
  <c r="AZ18" i="58" s="1"/>
  <c r="BA18" i="58" s="1"/>
  <c r="W47" i="58"/>
  <c r="BG18" i="58"/>
  <c r="BH18" i="58" s="1"/>
  <c r="BI18" i="58" s="1"/>
  <c r="BJ18" i="58" s="1"/>
  <c r="BK18" i="58" s="1"/>
  <c r="BL18" i="58" s="1"/>
  <c r="BE17" i="58"/>
  <c r="BF17" i="58" s="1"/>
  <c r="BG17" i="58" s="1"/>
  <c r="BH17" i="58" s="1"/>
  <c r="BI17" i="58" s="1"/>
  <c r="BJ17" i="58" s="1"/>
  <c r="BK17" i="58" s="1"/>
  <c r="BL17" i="58" s="1"/>
  <c r="AT17" i="58"/>
  <c r="AU17" i="58" s="1"/>
  <c r="G49" i="52"/>
  <c r="F53" i="52"/>
  <c r="H49" i="52"/>
  <c r="H53" i="52" s="1"/>
  <c r="AJ7" i="5"/>
  <c r="AK7" i="5" s="1"/>
  <c r="AL7" i="5" s="1"/>
  <c r="AM7" i="5" s="1"/>
  <c r="AN7" i="5" s="1"/>
  <c r="AO7" i="5" s="1"/>
  <c r="AP7" i="5" s="1"/>
  <c r="AQ7" i="5" s="1"/>
  <c r="AU7" i="5"/>
  <c r="AV7" i="5" s="1"/>
  <c r="D57" i="13"/>
  <c r="F57" i="13" s="1"/>
  <c r="H57" i="13" s="1"/>
  <c r="J53" i="66"/>
  <c r="L53" i="66" s="1"/>
  <c r="V53" i="63"/>
  <c r="X53" i="63" s="1"/>
  <c r="V53" i="61"/>
  <c r="X53" i="61" s="1"/>
  <c r="P53" i="68"/>
  <c r="D53" i="66"/>
  <c r="F53" i="66" s="1"/>
  <c r="D57" i="11"/>
  <c r="F57" i="11" s="1"/>
  <c r="H57" i="11" s="1"/>
  <c r="O48" i="21"/>
  <c r="N48" i="21"/>
  <c r="P48" i="21" s="1"/>
  <c r="H55" i="18"/>
  <c r="AC45" i="36"/>
  <c r="AD45" i="36" s="1"/>
  <c r="AI45" i="36"/>
  <c r="AH45" i="36"/>
  <c r="AI27" i="36"/>
  <c r="AH27" i="36"/>
  <c r="AC27" i="36"/>
  <c r="AD27" i="36" s="1"/>
  <c r="N6" i="55"/>
  <c r="M13" i="55"/>
  <c r="H47" i="21"/>
  <c r="M47" i="21" s="1"/>
  <c r="M45" i="21"/>
  <c r="Y29" i="5"/>
  <c r="K63" i="55"/>
  <c r="F86" i="21"/>
  <c r="F80" i="21" s="1"/>
  <c r="N29" i="33"/>
  <c r="O25" i="33"/>
  <c r="U7" i="33"/>
  <c r="T7" i="33"/>
  <c r="T24" i="33" s="1"/>
  <c r="T28" i="33" s="1"/>
  <c r="R7" i="33"/>
  <c r="S7" i="33"/>
  <c r="S24" i="33" s="1"/>
  <c r="S28" i="33" s="1"/>
  <c r="T9" i="33"/>
  <c r="U9" i="33"/>
  <c r="S9" i="33"/>
  <c r="R9" i="33"/>
  <c r="AC15" i="36"/>
  <c r="AD15" i="36" s="1"/>
  <c r="AI15" i="36"/>
  <c r="AH15" i="36"/>
  <c r="AI14" i="36"/>
  <c r="AC14" i="36"/>
  <c r="AD14" i="36" s="1"/>
  <c r="AH14" i="36"/>
  <c r="AC47" i="36"/>
  <c r="AD47" i="36" s="1"/>
  <c r="AI47" i="36"/>
  <c r="AH47" i="36"/>
  <c r="AI35" i="36"/>
  <c r="AC35" i="36"/>
  <c r="AD35" i="36" s="1"/>
  <c r="AH35" i="36"/>
  <c r="I82" i="19"/>
  <c r="I83" i="19" s="1"/>
  <c r="H45" i="18"/>
  <c r="H46" i="18" s="1"/>
  <c r="H50" i="18" s="1"/>
  <c r="H56" i="18" s="1"/>
  <c r="T8" i="33"/>
  <c r="T25" i="33" s="1"/>
  <c r="T29" i="33" s="1"/>
  <c r="U8" i="33"/>
  <c r="S8" i="33"/>
  <c r="S25" i="33" s="1"/>
  <c r="S29" i="33" s="1"/>
  <c r="R8" i="33"/>
  <c r="AI34" i="36"/>
  <c r="AH34" i="36"/>
  <c r="AC34" i="36"/>
  <c r="AD34" i="36" s="1"/>
  <c r="F130" i="54"/>
  <c r="F133" i="54" s="1"/>
  <c r="G28" i="33"/>
  <c r="E159" i="24" s="1"/>
  <c r="K21" i="28"/>
  <c r="U21" i="28" s="1"/>
  <c r="J30" i="28"/>
  <c r="J32" i="28" s="1"/>
  <c r="J33" i="28" s="1"/>
  <c r="J35" i="28" s="1"/>
  <c r="J36" i="28" s="1"/>
  <c r="J37" i="28" s="1"/>
  <c r="N30" i="21"/>
  <c r="P30" i="21" s="1"/>
  <c r="O30" i="21"/>
  <c r="G18" i="48"/>
  <c r="J83" i="21"/>
  <c r="J84" i="21" s="1"/>
  <c r="O43" i="21"/>
  <c r="N43" i="21"/>
  <c r="P43" i="21" s="1"/>
  <c r="N28" i="33"/>
  <c r="O24" i="33"/>
  <c r="AI44" i="36"/>
  <c r="AH44" i="36"/>
  <c r="AC38" i="36"/>
  <c r="AD38" i="36" s="1"/>
  <c r="AI38" i="36"/>
  <c r="AH38" i="36"/>
  <c r="I32" i="21"/>
  <c r="I33" i="21"/>
  <c r="M33" i="21" s="1"/>
  <c r="I36" i="21"/>
  <c r="M36" i="21" s="1"/>
  <c r="N36" i="21" s="1"/>
  <c r="P36" i="21" s="1"/>
  <c r="H26" i="66"/>
  <c r="N26" i="66" s="1"/>
  <c r="T26" i="66" s="1"/>
  <c r="C27" i="66"/>
  <c r="H27" i="66" s="1"/>
  <c r="N27" i="66" s="1"/>
  <c r="T27" i="66" s="1"/>
  <c r="AI20" i="36"/>
  <c r="AH20" i="36"/>
  <c r="K40" i="5"/>
  <c r="P53" i="61"/>
  <c r="R53" i="61" s="1"/>
  <c r="D53" i="67"/>
  <c r="AB53" i="67" s="1"/>
  <c r="P53" i="67"/>
  <c r="J53" i="69"/>
  <c r="G71" i="38"/>
  <c r="D57" i="10"/>
  <c r="F57" i="10" s="1"/>
  <c r="H57" i="10" s="1"/>
  <c r="P53" i="69"/>
  <c r="D53" i="61"/>
  <c r="P53" i="66"/>
  <c r="R53" i="66" s="1"/>
  <c r="V53" i="69"/>
  <c r="D57" i="14"/>
  <c r="F57" i="14" s="1"/>
  <c r="H57" i="14" s="1"/>
  <c r="D53" i="69"/>
  <c r="AB53" i="69" s="1"/>
  <c r="J53" i="63"/>
  <c r="L53" i="63" s="1"/>
  <c r="J53" i="67"/>
  <c r="V53" i="67"/>
  <c r="F135" i="24"/>
  <c r="L135" i="24" s="1"/>
  <c r="D53" i="68"/>
  <c r="AB53" i="68" s="1"/>
  <c r="D53" i="63"/>
  <c r="F53" i="63" s="1"/>
  <c r="J53" i="68"/>
  <c r="D59" i="12"/>
  <c r="F59" i="12" s="1"/>
  <c r="H59" i="12" s="1"/>
  <c r="P53" i="63"/>
  <c r="R53" i="63" s="1"/>
  <c r="J53" i="61"/>
  <c r="L53" i="61" s="1"/>
  <c r="H109" i="54"/>
  <c r="H118" i="54" s="1"/>
  <c r="V53" i="68"/>
  <c r="H38" i="15"/>
  <c r="J42" i="54" s="1"/>
  <c r="P42" i="54" s="1"/>
  <c r="O39" i="13"/>
  <c r="AA36" i="58"/>
  <c r="M36" i="14"/>
  <c r="AK31" i="69"/>
  <c r="AK35" i="69" s="1"/>
  <c r="AI31" i="69"/>
  <c r="AI35" i="69" s="1"/>
  <c r="AM34" i="67"/>
  <c r="AL34" i="67"/>
  <c r="AI31" i="67"/>
  <c r="AI35" i="67" s="1"/>
  <c r="AK31" i="67"/>
  <c r="AK35" i="67" s="1"/>
  <c r="G14" i="70" s="1"/>
  <c r="AL34" i="66"/>
  <c r="AM34" i="66"/>
  <c r="AM34" i="68"/>
  <c r="AL34" i="68"/>
  <c r="J40" i="5"/>
  <c r="O38" i="12"/>
  <c r="O40" i="12" s="1"/>
  <c r="AL34" i="69"/>
  <c r="AM34" i="69"/>
  <c r="AK31" i="66"/>
  <c r="AI31" i="66"/>
  <c r="AI35" i="66" s="1"/>
  <c r="AI31" i="68"/>
  <c r="AI35" i="68" s="1"/>
  <c r="AK31" i="68"/>
  <c r="AK35" i="68" s="1"/>
  <c r="G13" i="70" s="1"/>
  <c r="N36" i="28"/>
  <c r="N37" i="28"/>
  <c r="F39" i="15"/>
  <c r="F48" i="15" s="1"/>
  <c r="AA26" i="61"/>
  <c r="A20" i="70"/>
  <c r="G92" i="68"/>
  <c r="J92" i="68" s="1"/>
  <c r="K92" i="68" s="1"/>
  <c r="AI34" i="63"/>
  <c r="AI35" i="63" s="1"/>
  <c r="AH35" i="63"/>
  <c r="M35" i="6"/>
  <c r="H63" i="38"/>
  <c r="J63" i="38" s="1"/>
  <c r="E118" i="24"/>
  <c r="H204" i="54"/>
  <c r="H210" i="54" s="1"/>
  <c r="H241" i="54" s="1"/>
  <c r="M25" i="67"/>
  <c r="G18" i="17"/>
  <c r="AL26" i="6"/>
  <c r="AL35" i="6" s="1"/>
  <c r="AL21" i="6"/>
  <c r="BD6" i="6"/>
  <c r="BD21" i="6" s="1"/>
  <c r="AS6" i="6"/>
  <c r="AT6" i="6" s="1"/>
  <c r="M53" i="68"/>
  <c r="M23" i="68"/>
  <c r="AI31" i="61"/>
  <c r="AK31" i="61"/>
  <c r="G91" i="69"/>
  <c r="AA91" i="69" s="1"/>
  <c r="M31" i="67"/>
  <c r="I9" i="70"/>
  <c r="H9" i="70"/>
  <c r="M35" i="67"/>
  <c r="M26" i="68"/>
  <c r="M52" i="68"/>
  <c r="L63" i="68"/>
  <c r="M63" i="68" s="1"/>
  <c r="P22" i="63"/>
  <c r="L22" i="63"/>
  <c r="M22" i="68"/>
  <c r="M33" i="68"/>
  <c r="M51" i="68"/>
  <c r="M34" i="68"/>
  <c r="M32" i="68"/>
  <c r="M35" i="68"/>
  <c r="M27" i="68"/>
  <c r="M29" i="68"/>
  <c r="M31" i="68"/>
  <c r="M24" i="68"/>
  <c r="M28" i="68"/>
  <c r="M25" i="68"/>
  <c r="J67" i="68"/>
  <c r="J69" i="68" s="1"/>
  <c r="K71" i="68" s="1"/>
  <c r="K73" i="68" s="1"/>
  <c r="M30" i="68"/>
  <c r="M36" i="11"/>
  <c r="O36" i="11"/>
  <c r="G92" i="69"/>
  <c r="J92" i="69" s="1"/>
  <c r="K92" i="69" s="1"/>
  <c r="O39" i="12"/>
  <c r="L81" i="21"/>
  <c r="L82" i="21" s="1"/>
  <c r="AA37" i="67"/>
  <c r="AA44" i="67" s="1"/>
  <c r="AA57" i="67" s="1"/>
  <c r="L63" i="67"/>
  <c r="M63" i="67" s="1"/>
  <c r="M36" i="67"/>
  <c r="AM34" i="63"/>
  <c r="AM35" i="63" s="1"/>
  <c r="AL34" i="63"/>
  <c r="AL35" i="63" s="1"/>
  <c r="AK35" i="63"/>
  <c r="G15" i="70" s="1"/>
  <c r="J15" i="70" s="1"/>
  <c r="M33" i="67"/>
  <c r="M34" i="67"/>
  <c r="M32" i="67"/>
  <c r="M30" i="67"/>
  <c r="M53" i="67"/>
  <c r="M28" i="67"/>
  <c r="M26" i="67"/>
  <c r="M51" i="67"/>
  <c r="M22" i="67"/>
  <c r="M23" i="67"/>
  <c r="M27" i="67"/>
  <c r="M52" i="67"/>
  <c r="M50" i="67"/>
  <c r="M59" i="67" s="1"/>
  <c r="M29" i="67"/>
  <c r="M24" i="67"/>
  <c r="L62" i="67"/>
  <c r="M62" i="67" s="1"/>
  <c r="P79" i="66"/>
  <c r="AA42" i="66"/>
  <c r="G83" i="24" s="1"/>
  <c r="C92" i="66"/>
  <c r="AA22" i="66"/>
  <c r="R17" i="66"/>
  <c r="AA9" i="66"/>
  <c r="R61" i="66"/>
  <c r="H72" i="21"/>
  <c r="H83" i="21" s="1"/>
  <c r="H84" i="21" s="1"/>
  <c r="H76" i="21"/>
  <c r="M68" i="21"/>
  <c r="O68" i="21" s="1"/>
  <c r="L76" i="21"/>
  <c r="L86" i="21"/>
  <c r="C93" i="66"/>
  <c r="M92" i="66"/>
  <c r="Q36" i="14"/>
  <c r="P36" i="14"/>
  <c r="O38" i="14"/>
  <c r="O37" i="14"/>
  <c r="O39" i="14"/>
  <c r="H69" i="21"/>
  <c r="H71" i="21" s="1"/>
  <c r="N67" i="21"/>
  <c r="P67" i="21" s="1"/>
  <c r="O38" i="15"/>
  <c r="O37" i="15"/>
  <c r="G16" i="70" s="1"/>
  <c r="H80" i="54"/>
  <c r="Q36" i="15"/>
  <c r="Q37" i="15" s="1"/>
  <c r="P36" i="15"/>
  <c r="P37" i="15" s="1"/>
  <c r="M37" i="15"/>
  <c r="O41" i="12"/>
  <c r="F62" i="69"/>
  <c r="G62" i="69" s="1"/>
  <c r="M42" i="69"/>
  <c r="G93" i="69"/>
  <c r="J93" i="69" s="1"/>
  <c r="K93" i="69" s="1"/>
  <c r="F83" i="21"/>
  <c r="F84" i="21" s="1"/>
  <c r="J70" i="21"/>
  <c r="J69" i="21"/>
  <c r="J71" i="21" s="1"/>
  <c r="J79" i="21" s="1"/>
  <c r="G25" i="69"/>
  <c r="G94" i="68"/>
  <c r="L94" i="68" s="1"/>
  <c r="L138" i="24"/>
  <c r="G22" i="69"/>
  <c r="G24" i="69"/>
  <c r="Y35" i="67"/>
  <c r="G42" i="69"/>
  <c r="G31" i="69"/>
  <c r="BH9" i="6"/>
  <c r="BI9" i="6" s="1"/>
  <c r="BJ9" i="6" s="1"/>
  <c r="BK9" i="6" s="1"/>
  <c r="L11" i="6"/>
  <c r="V11" i="6"/>
  <c r="V21" i="6" s="1"/>
  <c r="Z31" i="6" s="1"/>
  <c r="AU9" i="5"/>
  <c r="AV9" i="5" s="1"/>
  <c r="AJ9" i="5"/>
  <c r="AK9" i="5" s="1"/>
  <c r="AL9" i="5" s="1"/>
  <c r="AM9" i="5" s="1"/>
  <c r="AN9" i="5" s="1"/>
  <c r="AO9" i="5" s="1"/>
  <c r="AS14" i="5"/>
  <c r="V24" i="6"/>
  <c r="Z24" i="6" s="1"/>
  <c r="AJ18" i="5"/>
  <c r="AK18" i="5" s="1"/>
  <c r="AL18" i="5" s="1"/>
  <c r="AM18" i="5" s="1"/>
  <c r="AN18" i="5" s="1"/>
  <c r="AO18" i="5" s="1"/>
  <c r="AU18" i="5"/>
  <c r="AV18" i="5" s="1"/>
  <c r="AW18" i="5" s="1"/>
  <c r="AX18" i="5" s="1"/>
  <c r="AU16" i="5"/>
  <c r="AV16" i="5" s="1"/>
  <c r="AW16" i="5" s="1"/>
  <c r="AX16" i="5" s="1"/>
  <c r="AJ16" i="5"/>
  <c r="AK16" i="5" s="1"/>
  <c r="AL16" i="5" s="1"/>
  <c r="AM16" i="5" s="1"/>
  <c r="K70" i="21"/>
  <c r="K86" i="21" s="1"/>
  <c r="K69" i="21"/>
  <c r="K71" i="21" s="1"/>
  <c r="K79" i="21" s="1"/>
  <c r="K72" i="21"/>
  <c r="K83" i="21" s="1"/>
  <c r="K84" i="21" s="1"/>
  <c r="F76" i="21"/>
  <c r="M36" i="68"/>
  <c r="Y34" i="67"/>
  <c r="G10" i="25"/>
  <c r="G53" i="69"/>
  <c r="S42" i="69"/>
  <c r="D67" i="69"/>
  <c r="D69" i="69" s="1"/>
  <c r="E71" i="69" s="1"/>
  <c r="E73" i="69" s="1"/>
  <c r="G30" i="69"/>
  <c r="G23" i="69"/>
  <c r="G36" i="69"/>
  <c r="G51" i="69"/>
  <c r="G27" i="69"/>
  <c r="G34" i="69"/>
  <c r="G32" i="69"/>
  <c r="F63" i="69"/>
  <c r="G63" i="69" s="1"/>
  <c r="Y42" i="69"/>
  <c r="G35" i="69"/>
  <c r="Y22" i="67"/>
  <c r="G50" i="69"/>
  <c r="G59" i="69" s="1"/>
  <c r="G52" i="69"/>
  <c r="G26" i="69"/>
  <c r="G28" i="69"/>
  <c r="G29" i="69"/>
  <c r="G35" i="68"/>
  <c r="L62" i="68"/>
  <c r="M62" i="68" s="1"/>
  <c r="AW8" i="6"/>
  <c r="AX8" i="6" s="1"/>
  <c r="AY8" i="6" s="1"/>
  <c r="AZ8" i="6" s="1"/>
  <c r="BA8" i="6" s="1"/>
  <c r="BB8" i="6" s="1"/>
  <c r="AX7" i="58"/>
  <c r="AY7" i="58" s="1"/>
  <c r="AZ7" i="58" s="1"/>
  <c r="BA7" i="58" s="1"/>
  <c r="W19" i="33"/>
  <c r="X19" i="33"/>
  <c r="Y19" i="33"/>
  <c r="Z19" i="33"/>
  <c r="AW18" i="6"/>
  <c r="AX18" i="6" s="1"/>
  <c r="AY18" i="6" s="1"/>
  <c r="AZ18" i="6" s="1"/>
  <c r="P67" i="25"/>
  <c r="Q67" i="25"/>
  <c r="AZ8" i="58"/>
  <c r="BA8" i="58" s="1"/>
  <c r="A97" i="69"/>
  <c r="B96" i="69"/>
  <c r="BI14" i="58"/>
  <c r="BJ14" i="58" s="1"/>
  <c r="AZ14" i="58"/>
  <c r="BA14" i="58" s="1"/>
  <c r="BB14" i="58" s="1"/>
  <c r="BC14" i="58" s="1"/>
  <c r="AU9" i="6"/>
  <c r="AV9" i="6" s="1"/>
  <c r="M96" i="66"/>
  <c r="C96" i="66"/>
  <c r="B99" i="63"/>
  <c r="A100" i="63"/>
  <c r="F121" i="54"/>
  <c r="L87" i="54" s="1"/>
  <c r="G27" i="33"/>
  <c r="E150" i="24" s="1"/>
  <c r="B98" i="67"/>
  <c r="A99" i="67"/>
  <c r="I27" i="55"/>
  <c r="I42" i="55" s="1"/>
  <c r="Y26" i="67"/>
  <c r="Y27" i="67"/>
  <c r="Y30" i="67"/>
  <c r="T30" i="55"/>
  <c r="C112" i="17"/>
  <c r="L111" i="17"/>
  <c r="AC46" i="36"/>
  <c r="AD46" i="36" s="1"/>
  <c r="AI46" i="36"/>
  <c r="AH46" i="36"/>
  <c r="H67" i="55"/>
  <c r="T50" i="55"/>
  <c r="O67" i="25"/>
  <c r="H67" i="25"/>
  <c r="T50" i="25"/>
  <c r="N67" i="25"/>
  <c r="L94" i="41"/>
  <c r="C94" i="41"/>
  <c r="F39" i="48"/>
  <c r="F36" i="48"/>
  <c r="C43" i="48"/>
  <c r="D38" i="48" s="1"/>
  <c r="F38" i="48" s="1"/>
  <c r="H38" i="48" s="1"/>
  <c r="H39" i="48" s="1"/>
  <c r="G59" i="24" s="1"/>
  <c r="G65" i="42"/>
  <c r="D66" i="42"/>
  <c r="K55" i="55"/>
  <c r="J68" i="55"/>
  <c r="A115" i="17"/>
  <c r="B114" i="17"/>
  <c r="H75" i="19"/>
  <c r="C100" i="14"/>
  <c r="L100" i="14"/>
  <c r="A98" i="66"/>
  <c r="B97" i="66"/>
  <c r="M98" i="63"/>
  <c r="C98" i="63"/>
  <c r="B66" i="42"/>
  <c r="A67" i="42"/>
  <c r="H64" i="42"/>
  <c r="K64" i="42"/>
  <c r="M64" i="42"/>
  <c r="Y50" i="67"/>
  <c r="Y59" i="67" s="1"/>
  <c r="Y28" i="67"/>
  <c r="Y33" i="67"/>
  <c r="AE13" i="33"/>
  <c r="AD13" i="33"/>
  <c r="AB13" i="33"/>
  <c r="AC13" i="33"/>
  <c r="B101" i="48"/>
  <c r="B110" i="17"/>
  <c r="L110" i="17" s="1"/>
  <c r="A109" i="17"/>
  <c r="B109" i="17" s="1"/>
  <c r="AU8" i="5"/>
  <c r="AV8" i="5" s="1"/>
  <c r="AJ8" i="5"/>
  <c r="AK8" i="5" s="1"/>
  <c r="A91" i="67"/>
  <c r="B91" i="67" s="1"/>
  <c r="B92" i="67"/>
  <c r="M67" i="25"/>
  <c r="L67" i="25"/>
  <c r="K67" i="25"/>
  <c r="Z12" i="33"/>
  <c r="W12" i="33"/>
  <c r="Y12" i="33"/>
  <c r="X12" i="33"/>
  <c r="A98" i="68"/>
  <c r="B97" i="68"/>
  <c r="AC33" i="36"/>
  <c r="AD33" i="36" s="1"/>
  <c r="AH33" i="36"/>
  <c r="AI33" i="36"/>
  <c r="H79" i="19"/>
  <c r="H86" i="19"/>
  <c r="C113" i="17"/>
  <c r="L113" i="17"/>
  <c r="BJ12" i="6"/>
  <c r="BK12" i="6" s="1"/>
  <c r="A102" i="14"/>
  <c r="B101" i="14"/>
  <c r="L36" i="24"/>
  <c r="G29" i="25" s="1"/>
  <c r="AC42" i="36"/>
  <c r="AD42" i="36" s="1"/>
  <c r="AI42" i="36"/>
  <c r="AH42" i="36"/>
  <c r="R5" i="33"/>
  <c r="T5" i="33"/>
  <c r="U5" i="33"/>
  <c r="S5" i="33"/>
  <c r="AY20" i="6"/>
  <c r="AZ20" i="6" s="1"/>
  <c r="I78" i="19"/>
  <c r="V67" i="67"/>
  <c r="V69" i="67" s="1"/>
  <c r="W71" i="67" s="1"/>
  <c r="W73" i="67" s="1"/>
  <c r="Y52" i="67"/>
  <c r="Y24" i="67"/>
  <c r="I65" i="42"/>
  <c r="J65" i="42" s="1"/>
  <c r="L65" i="42"/>
  <c r="C65" i="42"/>
  <c r="AC26" i="36"/>
  <c r="AD26" i="36" s="1"/>
  <c r="AI26" i="36"/>
  <c r="AH26" i="36"/>
  <c r="S67" i="25"/>
  <c r="I67" i="25"/>
  <c r="M33" i="55"/>
  <c r="L63" i="55"/>
  <c r="B65" i="6"/>
  <c r="C65" i="6" s="1"/>
  <c r="A66" i="6" s="1"/>
  <c r="K38" i="55"/>
  <c r="J40" i="55"/>
  <c r="J41" i="55" s="1"/>
  <c r="AC22" i="36"/>
  <c r="AD22" i="36" s="1"/>
  <c r="AI22" i="36"/>
  <c r="AH22" i="36"/>
  <c r="C95" i="41"/>
  <c r="L51" i="25"/>
  <c r="L77" i="25" s="1"/>
  <c r="R51" i="55"/>
  <c r="R77" i="55" s="1"/>
  <c r="K51" i="25"/>
  <c r="K77" i="25" s="1"/>
  <c r="M51" i="25"/>
  <c r="M77" i="25" s="1"/>
  <c r="P51" i="55"/>
  <c r="P77" i="55" s="1"/>
  <c r="I51" i="25"/>
  <c r="I77" i="25" s="1"/>
  <c r="I51" i="55"/>
  <c r="I77" i="55" s="1"/>
  <c r="O51" i="55"/>
  <c r="O77" i="55" s="1"/>
  <c r="Q51" i="55"/>
  <c r="Q77" i="55" s="1"/>
  <c r="N51" i="55"/>
  <c r="N77" i="55" s="1"/>
  <c r="D8" i="26"/>
  <c r="J51" i="55"/>
  <c r="J77" i="55" s="1"/>
  <c r="P51" i="25"/>
  <c r="P77" i="25" s="1"/>
  <c r="H51" i="25"/>
  <c r="B50" i="47" s="1"/>
  <c r="Q51" i="25"/>
  <c r="Q77" i="25" s="1"/>
  <c r="J51" i="25"/>
  <c r="L51" i="55"/>
  <c r="L77" i="55" s="1"/>
  <c r="H51" i="55"/>
  <c r="R51" i="25"/>
  <c r="S51" i="55"/>
  <c r="S77" i="55" s="1"/>
  <c r="N51" i="25"/>
  <c r="N77" i="25" s="1"/>
  <c r="K51" i="55"/>
  <c r="K77" i="55" s="1"/>
  <c r="M51" i="55"/>
  <c r="M77" i="55" s="1"/>
  <c r="G51" i="25"/>
  <c r="O51" i="25"/>
  <c r="O77" i="25" s="1"/>
  <c r="S51" i="25"/>
  <c r="S77" i="25" s="1"/>
  <c r="M97" i="67"/>
  <c r="C97" i="67"/>
  <c r="G49" i="60"/>
  <c r="G51" i="60" s="1"/>
  <c r="D49" i="60"/>
  <c r="Y25" i="67"/>
  <c r="Y29" i="67"/>
  <c r="Y51" i="67"/>
  <c r="X62" i="67"/>
  <c r="Y62" i="67" s="1"/>
  <c r="X63" i="67"/>
  <c r="Y63" i="67" s="1"/>
  <c r="AJ21" i="58"/>
  <c r="D178" i="54" s="1"/>
  <c r="G34" i="68"/>
  <c r="AK21" i="58"/>
  <c r="G52" i="68"/>
  <c r="F62" i="68"/>
  <c r="G62" i="68" s="1"/>
  <c r="G53" i="68"/>
  <c r="G26" i="68"/>
  <c r="Y32" i="67"/>
  <c r="Y31" i="67"/>
  <c r="Y36" i="67"/>
  <c r="Y23" i="67"/>
  <c r="AO21" i="58"/>
  <c r="G36" i="68"/>
  <c r="G24" i="68"/>
  <c r="D67" i="68"/>
  <c r="D69" i="68" s="1"/>
  <c r="E71" i="68" s="1"/>
  <c r="E73" i="68" s="1"/>
  <c r="G33" i="68"/>
  <c r="M42" i="68"/>
  <c r="G28" i="68"/>
  <c r="S42" i="68"/>
  <c r="G42" i="68"/>
  <c r="G31" i="68"/>
  <c r="G23" i="68"/>
  <c r="G27" i="68"/>
  <c r="G32" i="68"/>
  <c r="F63" i="68"/>
  <c r="G63" i="68" s="1"/>
  <c r="G50" i="68"/>
  <c r="G59" i="68" s="1"/>
  <c r="F32" i="28"/>
  <c r="AN19" i="5"/>
  <c r="AO19" i="5" s="1"/>
  <c r="AN20" i="5"/>
  <c r="AO20" i="5" s="1"/>
  <c r="AL23" i="5"/>
  <c r="AM23" i="5" s="1"/>
  <c r="AN23" i="5" s="1"/>
  <c r="AO23" i="5" s="1"/>
  <c r="AP23" i="5" s="1"/>
  <c r="AQ23" i="5" s="1"/>
  <c r="BA11" i="5"/>
  <c r="BB11" i="5" s="1"/>
  <c r="AW20" i="5"/>
  <c r="AX20" i="5" s="1"/>
  <c r="AJ13" i="5"/>
  <c r="AK13" i="5" s="1"/>
  <c r="AU13" i="5"/>
  <c r="AV13" i="5" s="1"/>
  <c r="G51" i="68"/>
  <c r="G25" i="68"/>
  <c r="G29" i="68"/>
  <c r="G22" i="68"/>
  <c r="G30" i="68"/>
  <c r="D132" i="24"/>
  <c r="R63" i="69"/>
  <c r="S63" i="69" s="1"/>
  <c r="J91" i="68"/>
  <c r="K91" i="68" s="1"/>
  <c r="R62" i="69"/>
  <c r="S62" i="69" s="1"/>
  <c r="F117" i="54"/>
  <c r="R62" i="68"/>
  <c r="S62" i="68" s="1"/>
  <c r="R63" i="67"/>
  <c r="S63" i="67" s="1"/>
  <c r="R62" i="67"/>
  <c r="S62" i="67" s="1"/>
  <c r="F62" i="67"/>
  <c r="G62" i="67" s="1"/>
  <c r="AY17" i="6"/>
  <c r="AZ17" i="6" s="1"/>
  <c r="BJ13" i="6"/>
  <c r="BK13" i="6" s="1"/>
  <c r="BA14" i="5"/>
  <c r="BB14" i="5" s="1"/>
  <c r="N23" i="21"/>
  <c r="P23" i="21" s="1"/>
  <c r="O23" i="21"/>
  <c r="AY13" i="6"/>
  <c r="AZ13" i="6" s="1"/>
  <c r="AN15" i="5"/>
  <c r="AO15" i="5" s="1"/>
  <c r="AY7" i="6"/>
  <c r="AZ7" i="6" s="1"/>
  <c r="BI7" i="58"/>
  <c r="BJ7" i="58" s="1"/>
  <c r="AW16" i="6"/>
  <c r="AX16" i="6" s="1"/>
  <c r="AW19" i="6"/>
  <c r="AX19" i="6" s="1"/>
  <c r="BA24" i="5"/>
  <c r="BB24" i="5" s="1"/>
  <c r="BK6" i="58"/>
  <c r="BL6" i="58" s="1"/>
  <c r="BB16" i="58"/>
  <c r="BC16" i="58" s="1"/>
  <c r="BC21" i="5"/>
  <c r="BD21" i="5" s="1"/>
  <c r="BK10" i="58"/>
  <c r="BL10" i="58" s="1"/>
  <c r="BK15" i="58"/>
  <c r="BL15" i="58" s="1"/>
  <c r="BK8" i="58"/>
  <c r="BL8" i="58" s="1"/>
  <c r="AP11" i="5"/>
  <c r="AQ11" i="5" s="1"/>
  <c r="AX10" i="58"/>
  <c r="AY10" i="58" s="1"/>
  <c r="AW15" i="6"/>
  <c r="AX15" i="6" s="1"/>
  <c r="BA10" i="5"/>
  <c r="BB10" i="5" s="1"/>
  <c r="AZ6" i="58"/>
  <c r="BA6" i="58" s="1"/>
  <c r="AP10" i="5"/>
  <c r="AQ10" i="5" s="1"/>
  <c r="AX12" i="58"/>
  <c r="AY12" i="58" s="1"/>
  <c r="BH19" i="6"/>
  <c r="BI19" i="6" s="1"/>
  <c r="AX20" i="58"/>
  <c r="AY20" i="58" s="1"/>
  <c r="V52" i="69"/>
  <c r="P52" i="66"/>
  <c r="R52" i="66" s="1"/>
  <c r="V52" i="63"/>
  <c r="X52" i="63" s="1"/>
  <c r="J52" i="69"/>
  <c r="D52" i="66"/>
  <c r="J52" i="63"/>
  <c r="L52" i="63" s="1"/>
  <c r="D52" i="69"/>
  <c r="AB52" i="69" s="1"/>
  <c r="D52" i="63"/>
  <c r="J52" i="68"/>
  <c r="D52" i="68"/>
  <c r="AB52" i="68" s="1"/>
  <c r="V52" i="68"/>
  <c r="P52" i="69"/>
  <c r="D58" i="12"/>
  <c r="F58" i="12" s="1"/>
  <c r="V52" i="66"/>
  <c r="J52" i="67"/>
  <c r="D52" i="67"/>
  <c r="AB52" i="67" s="1"/>
  <c r="D52" i="61"/>
  <c r="V52" i="61"/>
  <c r="X52" i="61" s="1"/>
  <c r="D56" i="13"/>
  <c r="F56" i="13" s="1"/>
  <c r="D56" i="11"/>
  <c r="F56" i="11" s="1"/>
  <c r="D56" i="10"/>
  <c r="F56" i="10" s="1"/>
  <c r="J52" i="66"/>
  <c r="L52" i="66" s="1"/>
  <c r="P52" i="68"/>
  <c r="J52" i="61"/>
  <c r="L52" i="61" s="1"/>
  <c r="P52" i="63"/>
  <c r="R52" i="63" s="1"/>
  <c r="P52" i="67"/>
  <c r="F71" i="38"/>
  <c r="V52" i="67"/>
  <c r="P52" i="61"/>
  <c r="R52" i="61" s="1"/>
  <c r="D56" i="14"/>
  <c r="F56" i="14" s="1"/>
  <c r="B167" i="54"/>
  <c r="B60" i="42"/>
  <c r="I60" i="42" s="1"/>
  <c r="J60" i="42" s="1"/>
  <c r="H60" i="42"/>
  <c r="C105" i="11"/>
  <c r="L105" i="11"/>
  <c r="AP21" i="5"/>
  <c r="AQ21" i="5" s="1"/>
  <c r="AZ15" i="58"/>
  <c r="BA15" i="58" s="1"/>
  <c r="BH15" i="6"/>
  <c r="BI15" i="6" s="1"/>
  <c r="H55" i="41"/>
  <c r="H57" i="41" s="1"/>
  <c r="AT11" i="6"/>
  <c r="AC29" i="36"/>
  <c r="AD29" i="36" s="1"/>
  <c r="AH29" i="36"/>
  <c r="AI29" i="36"/>
  <c r="AA19" i="58"/>
  <c r="M21" i="58"/>
  <c r="L156" i="54" s="1"/>
  <c r="BL18" i="6"/>
  <c r="BM18" i="6" s="1"/>
  <c r="C226" i="24"/>
  <c r="B193" i="54"/>
  <c r="B197" i="54" s="1"/>
  <c r="M19" i="21"/>
  <c r="K86" i="19"/>
  <c r="K79" i="19"/>
  <c r="M80" i="19"/>
  <c r="F70" i="19"/>
  <c r="M70" i="19" s="1"/>
  <c r="M68" i="19"/>
  <c r="AY5" i="6"/>
  <c r="AZ5" i="6" s="1"/>
  <c r="O29" i="55"/>
  <c r="N31" i="55"/>
  <c r="O19" i="53"/>
  <c r="K19" i="53"/>
  <c r="BA19" i="5"/>
  <c r="BB19" i="5" s="1"/>
  <c r="AP21" i="58"/>
  <c r="J178" i="54" s="1"/>
  <c r="D95" i="69"/>
  <c r="G94" i="69"/>
  <c r="L34" i="24"/>
  <c r="BI20" i="58"/>
  <c r="BJ20" i="58" s="1"/>
  <c r="AC37" i="36"/>
  <c r="AD37" i="36" s="1"/>
  <c r="AI37" i="36"/>
  <c r="AH37" i="36"/>
  <c r="AA93" i="68"/>
  <c r="AY14" i="6"/>
  <c r="AZ14" i="6" s="1"/>
  <c r="D144" i="24"/>
  <c r="E144" i="24"/>
  <c r="E146" i="24" s="1"/>
  <c r="F144" i="24"/>
  <c r="BH16" i="6"/>
  <c r="BI16" i="6" s="1"/>
  <c r="BG13" i="58"/>
  <c r="BH13" i="58" s="1"/>
  <c r="G75" i="19"/>
  <c r="G85" i="19"/>
  <c r="M19" i="19"/>
  <c r="M45" i="19"/>
  <c r="R23" i="9"/>
  <c r="N23" i="9"/>
  <c r="V23" i="9" s="1"/>
  <c r="L24" i="9"/>
  <c r="Y15" i="33"/>
  <c r="X15" i="33"/>
  <c r="W15" i="33"/>
  <c r="Z15" i="33"/>
  <c r="M29" i="5"/>
  <c r="L68" i="24"/>
  <c r="G19" i="25" s="1"/>
  <c r="AW17" i="5"/>
  <c r="AX17" i="5" s="1"/>
  <c r="M32" i="19"/>
  <c r="F85" i="19"/>
  <c r="F75" i="19"/>
  <c r="AY12" i="6"/>
  <c r="AZ12" i="6" s="1"/>
  <c r="BJ14" i="6"/>
  <c r="BK14" i="6" s="1"/>
  <c r="T8" i="55"/>
  <c r="G60" i="24"/>
  <c r="J48" i="54"/>
  <c r="H40" i="49"/>
  <c r="H49" i="49" s="1"/>
  <c r="D57" i="15"/>
  <c r="F53" i="15"/>
  <c r="O59" i="19"/>
  <c r="N59" i="19"/>
  <c r="P59" i="19" s="1"/>
  <c r="Q19" i="58"/>
  <c r="J21" i="58"/>
  <c r="M21" i="21"/>
  <c r="M92" i="19"/>
  <c r="F93" i="19"/>
  <c r="N71" i="19"/>
  <c r="P71" i="19" s="1"/>
  <c r="AY25" i="5"/>
  <c r="AZ25" i="5" s="1"/>
  <c r="AV11" i="58"/>
  <c r="AW11" i="58" s="1"/>
  <c r="J79" i="19"/>
  <c r="J86" i="19"/>
  <c r="AN25" i="5"/>
  <c r="AO25" i="5" s="1"/>
  <c r="P55" i="54"/>
  <c r="AL17" i="5"/>
  <c r="AM17" i="5" s="1"/>
  <c r="Z18" i="33"/>
  <c r="Y18" i="33"/>
  <c r="X18" i="33"/>
  <c r="W18" i="33"/>
  <c r="L137" i="24"/>
  <c r="B101" i="10"/>
  <c r="A102" i="10"/>
  <c r="K15" i="55"/>
  <c r="J26" i="55"/>
  <c r="L63" i="69"/>
  <c r="M63" i="69" s="1"/>
  <c r="M35" i="69"/>
  <c r="M23" i="69"/>
  <c r="M24" i="69"/>
  <c r="M27" i="69"/>
  <c r="M25" i="69"/>
  <c r="M51" i="69"/>
  <c r="M52" i="69"/>
  <c r="M33" i="69"/>
  <c r="M26" i="69"/>
  <c r="M32" i="69"/>
  <c r="L62" i="69"/>
  <c r="M62" i="69" s="1"/>
  <c r="M28" i="69"/>
  <c r="M34" i="69"/>
  <c r="M53" i="69"/>
  <c r="M50" i="69"/>
  <c r="M59" i="69" s="1"/>
  <c r="J67" i="69"/>
  <c r="J69" i="69" s="1"/>
  <c r="K71" i="69" s="1"/>
  <c r="K73" i="69" s="1"/>
  <c r="M22" i="69"/>
  <c r="M30" i="69"/>
  <c r="M31" i="69"/>
  <c r="M29" i="69"/>
  <c r="C27" i="69"/>
  <c r="H27" i="69" s="1"/>
  <c r="N27" i="69" s="1"/>
  <c r="T27" i="69" s="1"/>
  <c r="H26" i="69"/>
  <c r="N26" i="69" s="1"/>
  <c r="T26" i="69" s="1"/>
  <c r="BJ5" i="6"/>
  <c r="BK5" i="6" s="1"/>
  <c r="BE11" i="6"/>
  <c r="I85" i="19"/>
  <c r="I75" i="19"/>
  <c r="W35" i="6"/>
  <c r="N34" i="55"/>
  <c r="O55" i="19"/>
  <c r="N55" i="19"/>
  <c r="P55" i="19" s="1"/>
  <c r="L100" i="10"/>
  <c r="C100" i="10"/>
  <c r="AI19" i="58"/>
  <c r="AI21" i="58" s="1"/>
  <c r="AE21" i="58"/>
  <c r="P67" i="68"/>
  <c r="P69" i="68" s="1"/>
  <c r="Q71" i="68" s="1"/>
  <c r="Q73" i="68" s="1"/>
  <c r="S29" i="68"/>
  <c r="S26" i="68"/>
  <c r="S50" i="68"/>
  <c r="S59" i="68" s="1"/>
  <c r="R63" i="68"/>
  <c r="S63" i="68" s="1"/>
  <c r="S33" i="68"/>
  <c r="S28" i="68"/>
  <c r="S30" i="68"/>
  <c r="S51" i="68"/>
  <c r="S25" i="68"/>
  <c r="S24" i="68"/>
  <c r="S32" i="68"/>
  <c r="S31" i="68"/>
  <c r="S34" i="68"/>
  <c r="S52" i="68"/>
  <c r="S22" i="68"/>
  <c r="S23" i="68"/>
  <c r="S27" i="68"/>
  <c r="S53" i="68"/>
  <c r="S35" i="68"/>
  <c r="M36" i="69"/>
  <c r="P116" i="54"/>
  <c r="G32" i="2"/>
  <c r="H32" i="2"/>
  <c r="O67" i="19"/>
  <c r="N67" i="19"/>
  <c r="P67" i="19" s="1"/>
  <c r="O36" i="21"/>
  <c r="O23" i="33"/>
  <c r="N27" i="33"/>
  <c r="B114" i="48"/>
  <c r="A115" i="48"/>
  <c r="L97" i="10"/>
  <c r="AQ21" i="58"/>
  <c r="AC25" i="36"/>
  <c r="AD25" i="36" s="1"/>
  <c r="AI25" i="36"/>
  <c r="AH25" i="36"/>
  <c r="S26" i="9"/>
  <c r="L61" i="42"/>
  <c r="I61" i="42"/>
  <c r="J61" i="42" s="1"/>
  <c r="P28" i="54"/>
  <c r="AA37" i="68"/>
  <c r="AA44" i="68" s="1"/>
  <c r="AA57" i="68" s="1"/>
  <c r="C67" i="26"/>
  <c r="G34" i="67"/>
  <c r="D67" i="67"/>
  <c r="D69" i="67" s="1"/>
  <c r="E71" i="67" s="1"/>
  <c r="E73" i="67" s="1"/>
  <c r="G29" i="67"/>
  <c r="G24" i="67"/>
  <c r="G33" i="67"/>
  <c r="S42" i="67"/>
  <c r="G26" i="67"/>
  <c r="Y42" i="67"/>
  <c r="G22" i="67"/>
  <c r="G23" i="67"/>
  <c r="G28" i="67"/>
  <c r="G52" i="67"/>
  <c r="G42" i="67"/>
  <c r="G35" i="67"/>
  <c r="G32" i="67"/>
  <c r="G31" i="67"/>
  <c r="G36" i="67"/>
  <c r="G30" i="67"/>
  <c r="G25" i="67"/>
  <c r="F63" i="67"/>
  <c r="G63" i="67" s="1"/>
  <c r="M42" i="67"/>
  <c r="G53" i="67"/>
  <c r="G27" i="67"/>
  <c r="G50" i="67"/>
  <c r="G59" i="67" s="1"/>
  <c r="G51" i="67"/>
  <c r="M27" i="5"/>
  <c r="N34" i="5" s="1"/>
  <c r="G20" i="19"/>
  <c r="M18" i="19"/>
  <c r="M47" i="19"/>
  <c r="T22" i="9"/>
  <c r="L5" i="24"/>
  <c r="L143" i="24"/>
  <c r="AU12" i="5"/>
  <c r="AV12" i="5" s="1"/>
  <c r="AJ12" i="5"/>
  <c r="AK12" i="5" s="1"/>
  <c r="A122" i="53"/>
  <c r="B122" i="53" s="1"/>
  <c r="B121" i="53"/>
  <c r="M31" i="19"/>
  <c r="F33" i="19"/>
  <c r="P7" i="54"/>
  <c r="BI12" i="58"/>
  <c r="BJ12" i="58" s="1"/>
  <c r="H176" i="54"/>
  <c r="C205" i="24"/>
  <c r="B176" i="54" s="1"/>
  <c r="L176" i="54"/>
  <c r="F176" i="54"/>
  <c r="D176" i="54"/>
  <c r="J176" i="54"/>
  <c r="M101" i="61"/>
  <c r="C101" i="61"/>
  <c r="F52" i="26"/>
  <c r="E52" i="26"/>
  <c r="F43" i="52"/>
  <c r="H33" i="52"/>
  <c r="AM21" i="58"/>
  <c r="BK9" i="58"/>
  <c r="BL9" i="58" s="1"/>
  <c r="AV13" i="58"/>
  <c r="AW13" i="58" s="1"/>
  <c r="M22" i="19"/>
  <c r="G82" i="19"/>
  <c r="G83" i="19" s="1"/>
  <c r="AW5" i="5"/>
  <c r="F46" i="19"/>
  <c r="M46" i="19" s="1"/>
  <c r="M44" i="19"/>
  <c r="P6" i="54"/>
  <c r="J15" i="54"/>
  <c r="A109" i="48"/>
  <c r="B110" i="48"/>
  <c r="BC15" i="5"/>
  <c r="BD15" i="5" s="1"/>
  <c r="N30" i="19"/>
  <c r="P30" i="19" s="1"/>
  <c r="O30" i="19"/>
  <c r="BJ20" i="6"/>
  <c r="BK20" i="6" s="1"/>
  <c r="BJ8" i="6"/>
  <c r="BK8" i="6" s="1"/>
  <c r="BK16" i="58"/>
  <c r="BL16" i="58" s="1"/>
  <c r="H87" i="21"/>
  <c r="H80" i="21"/>
  <c r="K61" i="42"/>
  <c r="D96" i="68"/>
  <c r="G95" i="68"/>
  <c r="H42" i="55"/>
  <c r="A103" i="61"/>
  <c r="B103" i="61" s="1"/>
  <c r="B102" i="61"/>
  <c r="F58" i="19"/>
  <c r="M58" i="19" s="1"/>
  <c r="M56" i="19"/>
  <c r="D49" i="43"/>
  <c r="F49" i="43" s="1"/>
  <c r="D48" i="44"/>
  <c r="F48" i="44" s="1"/>
  <c r="H67" i="38"/>
  <c r="AC13" i="36"/>
  <c r="AH13" i="36"/>
  <c r="AI13" i="36"/>
  <c r="X53" i="36"/>
  <c r="AU22" i="5"/>
  <c r="AV22" i="5" s="1"/>
  <c r="AJ22" i="5"/>
  <c r="AK22" i="5" s="1"/>
  <c r="AN21" i="58"/>
  <c r="H178" i="54" s="1"/>
  <c r="BH17" i="6"/>
  <c r="BI17" i="6" s="1"/>
  <c r="BH5" i="58"/>
  <c r="J57" i="55"/>
  <c r="I70" i="55"/>
  <c r="AC17" i="36"/>
  <c r="AD17" i="36" s="1"/>
  <c r="AH17" i="36"/>
  <c r="AI17" i="36"/>
  <c r="Q27" i="9"/>
  <c r="K28" i="9"/>
  <c r="M27" i="9"/>
  <c r="U27" i="9" s="1"/>
  <c r="A28" i="9" s="1"/>
  <c r="D96" i="67"/>
  <c r="H49" i="44"/>
  <c r="G49" i="44"/>
  <c r="Y26" i="68"/>
  <c r="Y27" i="68"/>
  <c r="X62" i="68"/>
  <c r="Y62" i="68" s="1"/>
  <c r="Y30" i="68"/>
  <c r="X63" i="68"/>
  <c r="Y63" i="68" s="1"/>
  <c r="Y24" i="68"/>
  <c r="Y22" i="68"/>
  <c r="Y29" i="68"/>
  <c r="Y34" i="68"/>
  <c r="Y31" i="68"/>
  <c r="Y28" i="68"/>
  <c r="Y51" i="68"/>
  <c r="Y53" i="68"/>
  <c r="Y25" i="68"/>
  <c r="Y23" i="68"/>
  <c r="Y33" i="68"/>
  <c r="Y50" i="68"/>
  <c r="Y59" i="68" s="1"/>
  <c r="Y32" i="68"/>
  <c r="Y52" i="68"/>
  <c r="V67" i="68"/>
  <c r="V69" i="68" s="1"/>
  <c r="W71" i="68" s="1"/>
  <c r="W73" i="68" s="1"/>
  <c r="Y35" i="68"/>
  <c r="F57" i="41"/>
  <c r="D49" i="2"/>
  <c r="C49" i="2"/>
  <c r="C57" i="2" s="1"/>
  <c r="M81" i="19"/>
  <c r="S38" i="18"/>
  <c r="S37" i="18"/>
  <c r="S10" i="18"/>
  <c r="S36" i="18"/>
  <c r="S16" i="18"/>
  <c r="S35" i="18"/>
  <c r="S6" i="18"/>
  <c r="S13" i="18"/>
  <c r="S9" i="18"/>
  <c r="S44" i="18"/>
  <c r="S42" i="18"/>
  <c r="R20" i="18"/>
  <c r="H59" i="18" s="1"/>
  <c r="H60" i="18" s="1"/>
  <c r="S31" i="18"/>
  <c r="S33" i="18"/>
  <c r="S8" i="18"/>
  <c r="S39" i="18"/>
  <c r="S11" i="18"/>
  <c r="S7" i="18"/>
  <c r="S41" i="18"/>
  <c r="S14" i="18"/>
  <c r="S12" i="18"/>
  <c r="S32" i="18"/>
  <c r="S40" i="18"/>
  <c r="S17" i="18"/>
  <c r="S5" i="18"/>
  <c r="S15" i="18"/>
  <c r="S34" i="18"/>
  <c r="S43" i="18"/>
  <c r="G19" i="53"/>
  <c r="D117" i="54"/>
  <c r="C113" i="48"/>
  <c r="L113" i="48"/>
  <c r="A95" i="10"/>
  <c r="B95" i="10" s="1"/>
  <c r="B96" i="10"/>
  <c r="D98" i="54"/>
  <c r="D106" i="54" s="1"/>
  <c r="W40" i="5"/>
  <c r="AL21" i="58"/>
  <c r="F178" i="54" s="1"/>
  <c r="S29" i="69"/>
  <c r="S26" i="69"/>
  <c r="S27" i="69"/>
  <c r="S24" i="69"/>
  <c r="P67" i="69"/>
  <c r="P69" i="69" s="1"/>
  <c r="Q71" i="69" s="1"/>
  <c r="Q73" i="69" s="1"/>
  <c r="S51" i="69"/>
  <c r="S52" i="69"/>
  <c r="S32" i="69"/>
  <c r="S22" i="69"/>
  <c r="S50" i="69"/>
  <c r="S59" i="69" s="1"/>
  <c r="S35" i="69"/>
  <c r="S33" i="69"/>
  <c r="S30" i="69"/>
  <c r="S25" i="69"/>
  <c r="S34" i="69"/>
  <c r="S23" i="69"/>
  <c r="S31" i="69"/>
  <c r="S53" i="69"/>
  <c r="S28" i="69"/>
  <c r="P67" i="67"/>
  <c r="P69" i="67" s="1"/>
  <c r="Q71" i="67" s="1"/>
  <c r="Q73" i="67" s="1"/>
  <c r="S33" i="67"/>
  <c r="S34" i="67"/>
  <c r="S30" i="67"/>
  <c r="S25" i="67"/>
  <c r="S52" i="67"/>
  <c r="S32" i="67"/>
  <c r="S22" i="67"/>
  <c r="S50" i="67"/>
  <c r="S59" i="67" s="1"/>
  <c r="S53" i="67"/>
  <c r="S35" i="67"/>
  <c r="S26" i="67"/>
  <c r="S24" i="67"/>
  <c r="S29" i="67"/>
  <c r="S27" i="67"/>
  <c r="S51" i="67"/>
  <c r="S31" i="67"/>
  <c r="S28" i="67"/>
  <c r="S23" i="67"/>
  <c r="AY5" i="58"/>
  <c r="BF11" i="58"/>
  <c r="T18" i="55"/>
  <c r="A107" i="11"/>
  <c r="B107" i="11" s="1"/>
  <c r="B106" i="11"/>
  <c r="F92" i="67"/>
  <c r="G92" i="67" s="1"/>
  <c r="F95" i="67"/>
  <c r="G95" i="67" s="1"/>
  <c r="F101" i="67"/>
  <c r="F102" i="67"/>
  <c r="F98" i="67"/>
  <c r="F96" i="67"/>
  <c r="F99" i="67"/>
  <c r="F97" i="67"/>
  <c r="F100" i="67"/>
  <c r="F103" i="67"/>
  <c r="F94" i="67"/>
  <c r="G94" i="67" s="1"/>
  <c r="F93" i="67"/>
  <c r="G93" i="67" s="1"/>
  <c r="F91" i="67"/>
  <c r="G91" i="67" s="1"/>
  <c r="D81" i="67"/>
  <c r="D83" i="67" s="1"/>
  <c r="D62" i="38"/>
  <c r="D76" i="38"/>
  <c r="D78" i="38"/>
  <c r="D75" i="38"/>
  <c r="D73" i="38"/>
  <c r="D77" i="38"/>
  <c r="D74" i="38"/>
  <c r="D79" i="38"/>
  <c r="D109" i="49"/>
  <c r="G109" i="49" s="1"/>
  <c r="D111" i="49"/>
  <c r="G111" i="49" s="1"/>
  <c r="D112" i="49"/>
  <c r="D110" i="49"/>
  <c r="G110" i="49" s="1"/>
  <c r="E83" i="49"/>
  <c r="E85" i="49" s="1"/>
  <c r="AY10" i="6"/>
  <c r="AZ10" i="6" s="1"/>
  <c r="O17" i="19"/>
  <c r="N17" i="19"/>
  <c r="P17" i="19" s="1"/>
  <c r="AE14" i="33"/>
  <c r="AB14" i="33"/>
  <c r="AC14" i="33"/>
  <c r="AD14" i="33"/>
  <c r="O43" i="19"/>
  <c r="N43" i="19"/>
  <c r="P43" i="19" s="1"/>
  <c r="T111" i="53"/>
  <c r="C111" i="53"/>
  <c r="L111" i="48"/>
  <c r="C111" i="48"/>
  <c r="AC21" i="36"/>
  <c r="AD21" i="36" s="1"/>
  <c r="AI21" i="36"/>
  <c r="AH21" i="36"/>
  <c r="T120" i="53"/>
  <c r="C120" i="53"/>
  <c r="M35" i="19"/>
  <c r="F82" i="19"/>
  <c r="BB9" i="58"/>
  <c r="BC9" i="58" s="1"/>
  <c r="AY18" i="5"/>
  <c r="AZ18" i="5" s="1"/>
  <c r="F79" i="21"/>
  <c r="H94" i="21"/>
  <c r="M94" i="21" s="1"/>
  <c r="M93" i="21"/>
  <c r="I86" i="21"/>
  <c r="C43" i="20" l="1"/>
  <c r="D38" i="20" s="1"/>
  <c r="F38" i="20" s="1"/>
  <c r="G12" i="70"/>
  <c r="I12" i="70" s="1"/>
  <c r="AK37" i="69"/>
  <c r="D177" i="54"/>
  <c r="V22" i="61"/>
  <c r="X22" i="61" s="1"/>
  <c r="R22" i="61"/>
  <c r="B33" i="63"/>
  <c r="F87" i="21"/>
  <c r="G48" i="43"/>
  <c r="F57" i="36"/>
  <c r="J29" i="54" s="1"/>
  <c r="G35" i="24"/>
  <c r="G33" i="25" s="1"/>
  <c r="AH53" i="36"/>
  <c r="F52" i="61"/>
  <c r="AA52" i="61" s="1"/>
  <c r="AB52" i="61" s="1"/>
  <c r="F53" i="61"/>
  <c r="AA53" i="61" s="1"/>
  <c r="AB53" i="61" s="1"/>
  <c r="E34" i="10"/>
  <c r="F34" i="10" s="1"/>
  <c r="C42" i="10" s="1"/>
  <c r="D37" i="10" s="1"/>
  <c r="F37" i="10" s="1"/>
  <c r="F38" i="10" s="1"/>
  <c r="B33" i="61"/>
  <c r="E34" i="13"/>
  <c r="F34" i="13" s="1"/>
  <c r="G34" i="13" s="1"/>
  <c r="B33" i="69"/>
  <c r="E34" i="11"/>
  <c r="F34" i="11" s="1"/>
  <c r="H34" i="11" s="1"/>
  <c r="Y40" i="5"/>
  <c r="AL6" i="5"/>
  <c r="AM6" i="5" s="1"/>
  <c r="AN6" i="5" s="1"/>
  <c r="AO6" i="5" s="1"/>
  <c r="AP6" i="5" s="1"/>
  <c r="AQ6" i="5" s="1"/>
  <c r="AR6" i="5" s="1"/>
  <c r="AS6" i="5" s="1"/>
  <c r="N31" i="5"/>
  <c r="N36" i="5"/>
  <c r="M92" i="63"/>
  <c r="C92" i="63"/>
  <c r="C93" i="63"/>
  <c r="F33" i="44"/>
  <c r="F43" i="44" s="1"/>
  <c r="O26" i="33"/>
  <c r="Y6" i="33"/>
  <c r="W6" i="33"/>
  <c r="Z6" i="33"/>
  <c r="X6" i="33"/>
  <c r="C61" i="42"/>
  <c r="Z10" i="33"/>
  <c r="W10" i="33"/>
  <c r="X10" i="33"/>
  <c r="Y10" i="33"/>
  <c r="E76" i="38"/>
  <c r="E62" i="64"/>
  <c r="M62" i="64"/>
  <c r="N62" i="64" s="1"/>
  <c r="I62" i="64"/>
  <c r="J62" i="64" s="1"/>
  <c r="E60" i="64"/>
  <c r="M60" i="64"/>
  <c r="I60" i="64"/>
  <c r="E40" i="64"/>
  <c r="F40" i="64" s="1"/>
  <c r="I40" i="64"/>
  <c r="J40" i="64" s="1"/>
  <c r="M40" i="64"/>
  <c r="N40" i="64" s="1"/>
  <c r="E57" i="17"/>
  <c r="F57" i="17" s="1"/>
  <c r="E36" i="53"/>
  <c r="F36" i="53" s="1"/>
  <c r="F37" i="53" s="1"/>
  <c r="AL16" i="36"/>
  <c r="G6" i="25"/>
  <c r="G8" i="70"/>
  <c r="I8" i="70" s="1"/>
  <c r="K8" i="70" s="1"/>
  <c r="L8" i="70" s="1"/>
  <c r="O38" i="13"/>
  <c r="AL14" i="36"/>
  <c r="AL17" i="36"/>
  <c r="AL26" i="36"/>
  <c r="I81" i="53"/>
  <c r="C43" i="17"/>
  <c r="D38" i="17" s="1"/>
  <c r="F38" i="17" s="1"/>
  <c r="H38" i="17" s="1"/>
  <c r="H39" i="17" s="1"/>
  <c r="H40" i="17" s="1"/>
  <c r="H49" i="17" s="1"/>
  <c r="F36" i="22"/>
  <c r="G36" i="22" s="1"/>
  <c r="P109" i="54"/>
  <c r="G32" i="24"/>
  <c r="J26" i="54"/>
  <c r="J33" i="54" s="1"/>
  <c r="M56" i="53"/>
  <c r="I56" i="53"/>
  <c r="E56" i="53"/>
  <c r="M58" i="53"/>
  <c r="I58" i="53"/>
  <c r="J58" i="53" s="1"/>
  <c r="E58" i="53"/>
  <c r="F58" i="53" s="1"/>
  <c r="N37" i="53"/>
  <c r="L44" i="53"/>
  <c r="L39" i="53" s="1"/>
  <c r="N39" i="53" s="1"/>
  <c r="AL39" i="36"/>
  <c r="AL35" i="36"/>
  <c r="AL34" i="36"/>
  <c r="AL33" i="36"/>
  <c r="AL46" i="36"/>
  <c r="AL32" i="36"/>
  <c r="AL15" i="36"/>
  <c r="F100" i="24"/>
  <c r="B168" i="54" s="1"/>
  <c r="D168" i="54" s="1"/>
  <c r="F168" i="54" s="1"/>
  <c r="H168" i="54" s="1"/>
  <c r="J168" i="54" s="1"/>
  <c r="L168" i="54" s="1"/>
  <c r="G100" i="24"/>
  <c r="C179" i="24" s="1"/>
  <c r="B150" i="54" s="1"/>
  <c r="D150" i="54" s="1"/>
  <c r="F150" i="54" s="1"/>
  <c r="H150" i="54" s="1"/>
  <c r="J150" i="54" s="1"/>
  <c r="L150" i="54" s="1"/>
  <c r="B99" i="41"/>
  <c r="A100" i="41"/>
  <c r="I76" i="21"/>
  <c r="G32" i="44"/>
  <c r="C50" i="47"/>
  <c r="T23" i="33"/>
  <c r="T27" i="33" s="1"/>
  <c r="C98" i="41"/>
  <c r="L98" i="41"/>
  <c r="M81" i="21"/>
  <c r="O81" i="21" s="1"/>
  <c r="E75" i="38"/>
  <c r="E56" i="49" s="1"/>
  <c r="F56" i="49" s="1"/>
  <c r="Q36" i="13"/>
  <c r="P36" i="13"/>
  <c r="Q35" i="6"/>
  <c r="AL27" i="36"/>
  <c r="AL47" i="36"/>
  <c r="AL45" i="36"/>
  <c r="AL30" i="36"/>
  <c r="AL29" i="36"/>
  <c r="AL51" i="36"/>
  <c r="AL37" i="36"/>
  <c r="AL24" i="36"/>
  <c r="AL13" i="36"/>
  <c r="AL28" i="36"/>
  <c r="AL40" i="36"/>
  <c r="AL23" i="36"/>
  <c r="AL25" i="36"/>
  <c r="AL38" i="36"/>
  <c r="AL44" i="36"/>
  <c r="AL19" i="36"/>
  <c r="AL49" i="36"/>
  <c r="F62" i="36"/>
  <c r="AL21" i="36"/>
  <c r="AL18" i="36"/>
  <c r="AL22" i="36"/>
  <c r="AL36" i="36"/>
  <c r="AL20" i="36"/>
  <c r="AL50" i="36"/>
  <c r="AL11" i="36"/>
  <c r="AL42" i="36"/>
  <c r="AL43" i="36"/>
  <c r="AL31" i="36"/>
  <c r="AL41" i="36"/>
  <c r="AL12" i="36"/>
  <c r="E74" i="38"/>
  <c r="E56" i="48" s="1"/>
  <c r="F56" i="48" s="1"/>
  <c r="M57" i="53"/>
  <c r="N57" i="53" s="1"/>
  <c r="E78" i="38"/>
  <c r="E77" i="38"/>
  <c r="E56" i="20" s="1"/>
  <c r="F56" i="20" s="1"/>
  <c r="Z26" i="6"/>
  <c r="Z36" i="6" s="1"/>
  <c r="E79" i="38"/>
  <c r="E57" i="22" s="1"/>
  <c r="F57" i="22" s="1"/>
  <c r="E62" i="38"/>
  <c r="H62" i="38" s="1"/>
  <c r="J62" i="38" s="1"/>
  <c r="M82" i="21"/>
  <c r="J156" i="54"/>
  <c r="E119" i="24"/>
  <c r="B156" i="54" s="1"/>
  <c r="H117" i="54"/>
  <c r="J117" i="54" s="1"/>
  <c r="F80" i="38"/>
  <c r="F82" i="38" s="1"/>
  <c r="E57" i="49"/>
  <c r="F57" i="49" s="1"/>
  <c r="E57" i="48"/>
  <c r="F57" i="48" s="1"/>
  <c r="G80" i="38"/>
  <c r="G82" i="38" s="1"/>
  <c r="E57" i="20"/>
  <c r="F57" i="20" s="1"/>
  <c r="F33" i="43"/>
  <c r="F43" i="43" s="1"/>
  <c r="H32" i="43"/>
  <c r="G71" i="24" s="1"/>
  <c r="E34" i="14"/>
  <c r="F34" i="14" s="1"/>
  <c r="H34" i="14" s="1"/>
  <c r="B33" i="66"/>
  <c r="W33" i="66" s="1"/>
  <c r="X33" i="66" s="1"/>
  <c r="B33" i="67"/>
  <c r="AB33" i="67" s="1"/>
  <c r="B33" i="68"/>
  <c r="AB33" i="68" s="1"/>
  <c r="C206" i="24"/>
  <c r="B177" i="54" s="1"/>
  <c r="J177" i="54"/>
  <c r="L177" i="54"/>
  <c r="H177" i="54"/>
  <c r="G86" i="21"/>
  <c r="M58" i="21"/>
  <c r="G76" i="21"/>
  <c r="G83" i="21"/>
  <c r="G84" i="21" s="1"/>
  <c r="W20" i="33"/>
  <c r="X20" i="33"/>
  <c r="Z20" i="33"/>
  <c r="Y20" i="33"/>
  <c r="X17" i="33"/>
  <c r="Z17" i="33"/>
  <c r="Y17" i="33"/>
  <c r="W17" i="33"/>
  <c r="W11" i="33"/>
  <c r="Y11" i="33"/>
  <c r="Z11" i="33"/>
  <c r="X11" i="33"/>
  <c r="G59" i="21"/>
  <c r="M57" i="21"/>
  <c r="I83" i="21"/>
  <c r="I84" i="21" s="1"/>
  <c r="W16" i="33"/>
  <c r="X16" i="33"/>
  <c r="Y16" i="33"/>
  <c r="Z16" i="33"/>
  <c r="B117" i="49"/>
  <c r="A118" i="49"/>
  <c r="N56" i="21"/>
  <c r="P56" i="21" s="1"/>
  <c r="O56" i="21"/>
  <c r="L116" i="49"/>
  <c r="C116" i="49"/>
  <c r="N60" i="21"/>
  <c r="P60" i="21" s="1"/>
  <c r="O60" i="21"/>
  <c r="G70" i="24"/>
  <c r="L70" i="24" s="1"/>
  <c r="G30" i="25" s="1"/>
  <c r="J57" i="54"/>
  <c r="P57" i="54" s="1"/>
  <c r="H37" i="41"/>
  <c r="H38" i="41" s="1"/>
  <c r="H47" i="41" s="1"/>
  <c r="H59" i="41" s="1"/>
  <c r="E80" i="41"/>
  <c r="F39" i="20"/>
  <c r="H38" i="20"/>
  <c r="H39" i="20" s="1"/>
  <c r="BH7" i="6"/>
  <c r="BI7" i="6" s="1"/>
  <c r="BJ7" i="6" s="1"/>
  <c r="BK7" i="6" s="1"/>
  <c r="BL7" i="6" s="1"/>
  <c r="BM7" i="6" s="1"/>
  <c r="F147" i="24"/>
  <c r="AV17" i="58"/>
  <c r="AW17" i="58" s="1"/>
  <c r="AX17" i="58" s="1"/>
  <c r="AY17" i="58" s="1"/>
  <c r="AZ17" i="58" s="1"/>
  <c r="BA17" i="58" s="1"/>
  <c r="BB17" i="58" s="1"/>
  <c r="BC17" i="58" s="1"/>
  <c r="AW7" i="5"/>
  <c r="AX7" i="5" s="1"/>
  <c r="AY7" i="5" s="1"/>
  <c r="AZ7" i="5" s="1"/>
  <c r="BA7" i="5" s="1"/>
  <c r="BB7" i="5" s="1"/>
  <c r="BC7" i="5" s="1"/>
  <c r="BD7" i="5" s="1"/>
  <c r="AA53" i="66"/>
  <c r="AB53" i="66" s="1"/>
  <c r="X7" i="33"/>
  <c r="X24" i="33" s="1"/>
  <c r="X28" i="33" s="1"/>
  <c r="U24" i="33"/>
  <c r="U28" i="33" s="1"/>
  <c r="W7" i="33"/>
  <c r="Z7" i="33"/>
  <c r="Y7" i="33"/>
  <c r="Y24" i="33" s="1"/>
  <c r="Y28" i="33" s="1"/>
  <c r="I34" i="21"/>
  <c r="M32" i="21"/>
  <c r="X8" i="33"/>
  <c r="X25" i="33" s="1"/>
  <c r="X29" i="33" s="1"/>
  <c r="W8" i="33"/>
  <c r="U25" i="33"/>
  <c r="U29" i="33" s="1"/>
  <c r="Y8" i="33"/>
  <c r="Y25" i="33" s="1"/>
  <c r="Y29" i="33" s="1"/>
  <c r="Z8" i="33"/>
  <c r="T30" i="28"/>
  <c r="C193" i="24"/>
  <c r="B164" i="54" s="1"/>
  <c r="D164" i="54" s="1"/>
  <c r="F164" i="54" s="1"/>
  <c r="H164" i="54" s="1"/>
  <c r="J164" i="54" s="1"/>
  <c r="L164" i="54" s="1"/>
  <c r="E162" i="24"/>
  <c r="O6" i="55"/>
  <c r="N13" i="55"/>
  <c r="M75" i="19"/>
  <c r="H79" i="21"/>
  <c r="D139" i="54"/>
  <c r="L139" i="54"/>
  <c r="Y9" i="33"/>
  <c r="W9" i="33"/>
  <c r="X9" i="33"/>
  <c r="Z9" i="33"/>
  <c r="AA53" i="63"/>
  <c r="AB53" i="63" s="1"/>
  <c r="Q38" i="12"/>
  <c r="G7" i="70"/>
  <c r="H7" i="70" s="1"/>
  <c r="G54" i="24"/>
  <c r="L54" i="24" s="1"/>
  <c r="H39" i="15"/>
  <c r="H48" i="15" s="1"/>
  <c r="L93" i="68"/>
  <c r="E33" i="66"/>
  <c r="F33" i="66" s="1"/>
  <c r="J12" i="70"/>
  <c r="H12" i="70"/>
  <c r="J13" i="70"/>
  <c r="I13" i="70"/>
  <c r="H13" i="70"/>
  <c r="AL31" i="67"/>
  <c r="AL35" i="67" s="1"/>
  <c r="AM31" i="67"/>
  <c r="AM35" i="67" s="1"/>
  <c r="J14" i="70"/>
  <c r="I14" i="70"/>
  <c r="H14" i="70"/>
  <c r="AJ27" i="5"/>
  <c r="P38" i="12"/>
  <c r="AL31" i="66"/>
  <c r="AL35" i="66" s="1"/>
  <c r="AM31" i="66"/>
  <c r="AM35" i="66" s="1"/>
  <c r="AL31" i="69"/>
  <c r="AL35" i="69" s="1"/>
  <c r="AM31" i="69"/>
  <c r="AM35" i="69" s="1"/>
  <c r="AM31" i="68"/>
  <c r="AM35" i="68" s="1"/>
  <c r="AL31" i="68"/>
  <c r="AL35" i="68" s="1"/>
  <c r="AK35" i="66"/>
  <c r="AK38" i="66" s="1"/>
  <c r="K76" i="21"/>
  <c r="L92" i="68"/>
  <c r="AA92" i="68"/>
  <c r="BE6" i="6"/>
  <c r="BF6" i="6" s="1"/>
  <c r="BG6" i="6" s="1"/>
  <c r="BH6" i="6" s="1"/>
  <c r="E133" i="24"/>
  <c r="H16" i="70"/>
  <c r="I16" i="70"/>
  <c r="C110" i="17"/>
  <c r="C111" i="17"/>
  <c r="H15" i="70"/>
  <c r="I15" i="70"/>
  <c r="K15" i="70" s="1"/>
  <c r="L15" i="70" s="1"/>
  <c r="AU6" i="6"/>
  <c r="AV6" i="6" s="1"/>
  <c r="AW6" i="6" s="1"/>
  <c r="AX6" i="6" s="1"/>
  <c r="AY6" i="6" s="1"/>
  <c r="AZ6" i="6" s="1"/>
  <c r="BA6" i="6" s="1"/>
  <c r="BB6" i="6" s="1"/>
  <c r="AS21" i="6"/>
  <c r="E60" i="38"/>
  <c r="P51" i="68" s="1"/>
  <c r="V35" i="6"/>
  <c r="J91" i="69"/>
  <c r="K91" i="69" s="1"/>
  <c r="AM31" i="61"/>
  <c r="AL31" i="61"/>
  <c r="L92" i="69"/>
  <c r="AA92" i="69"/>
  <c r="O37" i="11"/>
  <c r="O39" i="11"/>
  <c r="F52" i="63"/>
  <c r="V22" i="63"/>
  <c r="X22" i="63" s="1"/>
  <c r="R22" i="63"/>
  <c r="P36" i="11"/>
  <c r="G6" i="70"/>
  <c r="Q36" i="11"/>
  <c r="O38" i="11"/>
  <c r="M70" i="21"/>
  <c r="M72" i="21"/>
  <c r="O72" i="21" s="1"/>
  <c r="N68" i="21"/>
  <c r="P68" i="21" s="1"/>
  <c r="AA94" i="68"/>
  <c r="AK37" i="63"/>
  <c r="AK38" i="63"/>
  <c r="E33" i="63"/>
  <c r="F33" i="63" s="1"/>
  <c r="K33" i="63"/>
  <c r="L33" i="63" s="1"/>
  <c r="W33" i="63"/>
  <c r="X33" i="63" s="1"/>
  <c r="Q33" i="63"/>
  <c r="R33" i="63" s="1"/>
  <c r="AA17" i="66"/>
  <c r="G11" i="24"/>
  <c r="S15" i="66"/>
  <c r="S9" i="66"/>
  <c r="S13" i="66"/>
  <c r="S17" i="66"/>
  <c r="S8" i="66"/>
  <c r="S12" i="66"/>
  <c r="S11" i="66"/>
  <c r="S14" i="66"/>
  <c r="S10" i="66"/>
  <c r="R60" i="66"/>
  <c r="S16" i="66"/>
  <c r="F52" i="66"/>
  <c r="L80" i="21"/>
  <c r="L87" i="21"/>
  <c r="L93" i="69"/>
  <c r="AA93" i="69"/>
  <c r="M71" i="21"/>
  <c r="O39" i="15"/>
  <c r="O40" i="15"/>
  <c r="N94" i="68"/>
  <c r="J94" i="68"/>
  <c r="K94" i="68" s="1"/>
  <c r="J76" i="21"/>
  <c r="J86" i="21"/>
  <c r="M69" i="21"/>
  <c r="BB7" i="58"/>
  <c r="BC7" i="58" s="1"/>
  <c r="AY16" i="5"/>
  <c r="AZ16" i="5" s="1"/>
  <c r="BA16" i="5" s="1"/>
  <c r="BB16" i="5" s="1"/>
  <c r="BC16" i="5" s="1"/>
  <c r="BD16" i="5" s="1"/>
  <c r="AN16" i="5"/>
  <c r="AO16" i="5" s="1"/>
  <c r="AP16" i="5" s="1"/>
  <c r="AQ16" i="5" s="1"/>
  <c r="AR16" i="5" s="1"/>
  <c r="AS16" i="5" s="1"/>
  <c r="P33" i="54"/>
  <c r="AW9" i="5"/>
  <c r="AX9" i="5" s="1"/>
  <c r="AY9" i="5" s="1"/>
  <c r="AZ9" i="5" s="1"/>
  <c r="BA9" i="5" s="1"/>
  <c r="BB9" i="5" s="1"/>
  <c r="BC9" i="5" s="1"/>
  <c r="BD9" i="5" s="1"/>
  <c r="D156" i="54"/>
  <c r="F156" i="54"/>
  <c r="J47" i="54"/>
  <c r="H156" i="54"/>
  <c r="H40" i="48"/>
  <c r="H49" i="48" s="1"/>
  <c r="B66" i="6"/>
  <c r="C66" i="6"/>
  <c r="A67" i="6" s="1"/>
  <c r="AW8" i="5"/>
  <c r="AX8" i="5" s="1"/>
  <c r="AY8" i="5" s="1"/>
  <c r="AZ8" i="5" s="1"/>
  <c r="BA8" i="5" s="1"/>
  <c r="BB8" i="5" s="1"/>
  <c r="BC8" i="5" s="1"/>
  <c r="BD8" i="5" s="1"/>
  <c r="AW9" i="6"/>
  <c r="AX9" i="6" s="1"/>
  <c r="BA18" i="6"/>
  <c r="BB18" i="6" s="1"/>
  <c r="AL8" i="5"/>
  <c r="AM8" i="5" s="1"/>
  <c r="F8" i="26"/>
  <c r="E8" i="26"/>
  <c r="C114" i="17"/>
  <c r="L114" i="17"/>
  <c r="C98" i="67"/>
  <c r="M98" i="67"/>
  <c r="M99" i="63"/>
  <c r="C99" i="63"/>
  <c r="BK14" i="58"/>
  <c r="BL14" i="58" s="1"/>
  <c r="H77" i="55"/>
  <c r="T51" i="55"/>
  <c r="H77" i="25"/>
  <c r="T51" i="25"/>
  <c r="L38" i="55"/>
  <c r="K40" i="55"/>
  <c r="K41" i="55" s="1"/>
  <c r="BA20" i="6"/>
  <c r="BB20" i="6" s="1"/>
  <c r="B102" i="14"/>
  <c r="A103" i="14"/>
  <c r="E50" i="47"/>
  <c r="A116" i="17"/>
  <c r="B115" i="17"/>
  <c r="K65" i="42"/>
  <c r="M65" i="42"/>
  <c r="H65" i="42"/>
  <c r="H107" i="24"/>
  <c r="G118" i="24" s="1"/>
  <c r="G52" i="25"/>
  <c r="C96" i="69"/>
  <c r="M96" i="69"/>
  <c r="J50" i="47"/>
  <c r="AE19" i="33"/>
  <c r="AD19" i="33"/>
  <c r="AB19" i="33"/>
  <c r="AC19" i="33"/>
  <c r="T21" i="33"/>
  <c r="L50" i="47"/>
  <c r="R77" i="25"/>
  <c r="C101" i="14"/>
  <c r="L101" i="14"/>
  <c r="A99" i="68"/>
  <c r="B98" i="68"/>
  <c r="A99" i="66"/>
  <c r="B98" i="66"/>
  <c r="E80" i="48"/>
  <c r="F40" i="48"/>
  <c r="F49" i="48" s="1"/>
  <c r="S18" i="18"/>
  <c r="M50" i="47"/>
  <c r="BL12" i="6"/>
  <c r="BM12" i="6" s="1"/>
  <c r="G50" i="47"/>
  <c r="H50" i="47"/>
  <c r="A98" i="69"/>
  <c r="B97" i="69"/>
  <c r="BB8" i="58"/>
  <c r="BC8" i="58" s="1"/>
  <c r="AR7" i="5"/>
  <c r="AS7" i="5" s="1"/>
  <c r="W5" i="33"/>
  <c r="Z5" i="33"/>
  <c r="X5" i="33"/>
  <c r="Y5" i="33"/>
  <c r="AE12" i="33"/>
  <c r="AC12" i="33"/>
  <c r="AB12" i="33"/>
  <c r="AD12" i="33"/>
  <c r="L66" i="42"/>
  <c r="C66" i="42"/>
  <c r="G66" i="42"/>
  <c r="I66" i="42" s="1"/>
  <c r="J66" i="42" s="1"/>
  <c r="D67" i="42"/>
  <c r="U23" i="33"/>
  <c r="U27" i="33" s="1"/>
  <c r="D193" i="54" s="1"/>
  <c r="D197" i="54" s="1"/>
  <c r="U21" i="33"/>
  <c r="D50" i="47"/>
  <c r="B64" i="47" s="1"/>
  <c r="J77" i="25"/>
  <c r="N33" i="55"/>
  <c r="M63" i="55"/>
  <c r="S23" i="33"/>
  <c r="S27" i="33" s="1"/>
  <c r="D153" i="54" s="1"/>
  <c r="S21" i="33"/>
  <c r="M97" i="68"/>
  <c r="C97" i="68"/>
  <c r="F50" i="47"/>
  <c r="C93" i="67"/>
  <c r="C92" i="67"/>
  <c r="M92" i="67"/>
  <c r="AJ13" i="33"/>
  <c r="AG13" i="33"/>
  <c r="AI13" i="33"/>
  <c r="AH13" i="33"/>
  <c r="B67" i="42"/>
  <c r="A68" i="42"/>
  <c r="C97" i="66"/>
  <c r="M97" i="66"/>
  <c r="K68" i="55"/>
  <c r="L55" i="55"/>
  <c r="I50" i="47"/>
  <c r="A100" i="67"/>
  <c r="B99" i="67"/>
  <c r="A101" i="63"/>
  <c r="B100" i="63"/>
  <c r="K50" i="47"/>
  <c r="T32" i="28"/>
  <c r="F33" i="28"/>
  <c r="T33" i="28" s="1"/>
  <c r="AW13" i="5"/>
  <c r="AX13" i="5" s="1"/>
  <c r="AP20" i="5"/>
  <c r="AQ20" i="5" s="1"/>
  <c r="AR20" i="5" s="1"/>
  <c r="AS20" i="5" s="1"/>
  <c r="AP9" i="5"/>
  <c r="AQ9" i="5" s="1"/>
  <c r="BA23" i="5"/>
  <c r="BB23" i="5" s="1"/>
  <c r="AP19" i="5"/>
  <c r="AQ19" i="5" s="1"/>
  <c r="AR19" i="5" s="1"/>
  <c r="AS19" i="5" s="1"/>
  <c r="AY20" i="5"/>
  <c r="AZ20" i="5" s="1"/>
  <c r="BA20" i="5" s="1"/>
  <c r="BB20" i="5" s="1"/>
  <c r="BC20" i="5" s="1"/>
  <c r="BD20" i="5" s="1"/>
  <c r="AR23" i="5"/>
  <c r="AS23" i="5" s="1"/>
  <c r="AL13" i="5"/>
  <c r="AM13" i="5" s="1"/>
  <c r="AN13" i="5" s="1"/>
  <c r="AO13" i="5" s="1"/>
  <c r="AU27" i="5"/>
  <c r="BC11" i="5"/>
  <c r="BD11" i="5" s="1"/>
  <c r="L144" i="24"/>
  <c r="G23" i="25" s="1"/>
  <c r="AW22" i="5"/>
  <c r="AX22" i="5" s="1"/>
  <c r="AV27" i="5"/>
  <c r="BL8" i="6"/>
  <c r="BM8" i="6" s="1"/>
  <c r="BA25" i="5"/>
  <c r="BB25" i="5" s="1"/>
  <c r="BM15" i="58"/>
  <c r="BN15" i="58" s="1"/>
  <c r="BM6" i="58"/>
  <c r="BN6" i="58" s="1"/>
  <c r="AP18" i="5"/>
  <c r="AQ18" i="5" s="1"/>
  <c r="BM17" i="58"/>
  <c r="BN17" i="58" s="1"/>
  <c r="BC14" i="5"/>
  <c r="BD14" i="5" s="1"/>
  <c r="BJ17" i="6"/>
  <c r="BK17" i="6" s="1"/>
  <c r="BL20" i="6"/>
  <c r="BM20" i="6" s="1"/>
  <c r="BL5" i="6"/>
  <c r="BM5" i="6" s="1"/>
  <c r="BL14" i="6"/>
  <c r="BM14" i="6" s="1"/>
  <c r="BB18" i="58"/>
  <c r="BC18" i="58" s="1"/>
  <c r="BM10" i="58"/>
  <c r="BN10" i="58" s="1"/>
  <c r="BC24" i="5"/>
  <c r="BD24" i="5" s="1"/>
  <c r="AY16" i="6"/>
  <c r="AZ16" i="6" s="1"/>
  <c r="BA13" i="6"/>
  <c r="BB13" i="6" s="1"/>
  <c r="BA10" i="6"/>
  <c r="BB10" i="6" s="1"/>
  <c r="AX13" i="58"/>
  <c r="AY13" i="58" s="1"/>
  <c r="AN17" i="5"/>
  <c r="AO17" i="5" s="1"/>
  <c r="BL9" i="6"/>
  <c r="BM9" i="6" s="1"/>
  <c r="AR11" i="5"/>
  <c r="AS11" i="5" s="1"/>
  <c r="BM9" i="58"/>
  <c r="BN9" i="58" s="1"/>
  <c r="BJ15" i="6"/>
  <c r="BK15" i="6" s="1"/>
  <c r="AN5" i="5"/>
  <c r="AO5" i="5" s="1"/>
  <c r="AA95" i="67"/>
  <c r="N95" i="67"/>
  <c r="L95" i="67"/>
  <c r="J95" i="67"/>
  <c r="K95" i="67" s="1"/>
  <c r="AL22" i="5"/>
  <c r="AM22" i="5" s="1"/>
  <c r="BK12" i="58"/>
  <c r="BL12" i="58" s="1"/>
  <c r="AK27" i="5"/>
  <c r="AP25" i="5"/>
  <c r="AQ25" i="5" s="1"/>
  <c r="BK20" i="58"/>
  <c r="BL20" i="58" s="1"/>
  <c r="AR21" i="5"/>
  <c r="AS21" i="5" s="1"/>
  <c r="AZ20" i="58"/>
  <c r="BA20" i="58" s="1"/>
  <c r="BA17" i="6"/>
  <c r="BB17" i="6" s="1"/>
  <c r="D113" i="49"/>
  <c r="G112" i="49"/>
  <c r="B109" i="48"/>
  <c r="C110" i="48" s="1"/>
  <c r="O34" i="55"/>
  <c r="L19" i="58"/>
  <c r="Q21" i="58"/>
  <c r="G79" i="19"/>
  <c r="G86" i="19"/>
  <c r="BJ16" i="6"/>
  <c r="BK16" i="6" s="1"/>
  <c r="D96" i="69"/>
  <c r="G95" i="69"/>
  <c r="N80" i="19"/>
  <c r="P80" i="19" s="1"/>
  <c r="O80" i="19"/>
  <c r="AT19" i="58"/>
  <c r="AT21" i="58" s="1"/>
  <c r="BE19" i="58"/>
  <c r="BE21" i="58" s="1"/>
  <c r="AA21" i="58"/>
  <c r="H56" i="11"/>
  <c r="BK7" i="58"/>
  <c r="BL7" i="58" s="1"/>
  <c r="BL13" i="6"/>
  <c r="BM13" i="6" s="1"/>
  <c r="BA18" i="5"/>
  <c r="BB18" i="5" s="1"/>
  <c r="E55" i="48"/>
  <c r="C106" i="11"/>
  <c r="L106" i="11"/>
  <c r="AZ5" i="58"/>
  <c r="BA5" i="58" s="1"/>
  <c r="E82" i="41"/>
  <c r="F61" i="41"/>
  <c r="G96" i="67"/>
  <c r="D97" i="67"/>
  <c r="BI5" i="58"/>
  <c r="AD13" i="36"/>
  <c r="AC53" i="36"/>
  <c r="G72" i="24"/>
  <c r="J59" i="54"/>
  <c r="BM16" i="58"/>
  <c r="BN16" i="58" s="1"/>
  <c r="B115" i="48"/>
  <c r="A116" i="48"/>
  <c r="BI13" i="58"/>
  <c r="BJ13" i="58" s="1"/>
  <c r="G9" i="25"/>
  <c r="S27" i="9"/>
  <c r="V19" i="58"/>
  <c r="V21" i="58" s="1"/>
  <c r="AA38" i="58" s="1"/>
  <c r="AA50" i="58" s="1"/>
  <c r="AA51" i="58" s="1"/>
  <c r="BB15" i="58"/>
  <c r="BC15" i="58" s="1"/>
  <c r="AZ10" i="58"/>
  <c r="BA10" i="58" s="1"/>
  <c r="C44" i="12"/>
  <c r="D39" i="12" s="1"/>
  <c r="F39" i="12" s="1"/>
  <c r="F40" i="12" s="1"/>
  <c r="H36" i="12"/>
  <c r="AY19" i="6"/>
  <c r="AZ19" i="6" s="1"/>
  <c r="AA94" i="67"/>
  <c r="N94" i="67"/>
  <c r="L94" i="67"/>
  <c r="J94" i="67"/>
  <c r="K94" i="67" s="1"/>
  <c r="Q28" i="9"/>
  <c r="M28" i="9"/>
  <c r="U28" i="9" s="1"/>
  <c r="A29" i="9" s="1"/>
  <c r="K29" i="9"/>
  <c r="AX11" i="58"/>
  <c r="AY11" i="58" s="1"/>
  <c r="BA12" i="6"/>
  <c r="BB12" i="6" s="1"/>
  <c r="AY17" i="5"/>
  <c r="AZ17" i="5" s="1"/>
  <c r="BA14" i="6"/>
  <c r="BB14" i="6" s="1"/>
  <c r="BC19" i="5"/>
  <c r="BD19" i="5" s="1"/>
  <c r="BA5" i="6"/>
  <c r="D167" i="54"/>
  <c r="AR10" i="5"/>
  <c r="AS10" i="5" s="1"/>
  <c r="BB6" i="58"/>
  <c r="BC6" i="58" s="1"/>
  <c r="BC10" i="5"/>
  <c r="BD10" i="5" s="1"/>
  <c r="BM8" i="58"/>
  <c r="BN8" i="58" s="1"/>
  <c r="BA7" i="6"/>
  <c r="BB7" i="6" s="1"/>
  <c r="K111" i="49"/>
  <c r="H111" i="49"/>
  <c r="I111" i="49"/>
  <c r="J111" i="49" s="1"/>
  <c r="J106" i="54"/>
  <c r="D118" i="54"/>
  <c r="D119" i="54" s="1"/>
  <c r="G48" i="44"/>
  <c r="H48" i="44"/>
  <c r="H51" i="44" s="1"/>
  <c r="F51" i="44"/>
  <c r="G52" i="26"/>
  <c r="C121" i="53"/>
  <c r="T121" i="53"/>
  <c r="F59" i="41"/>
  <c r="A103" i="10"/>
  <c r="B102" i="10"/>
  <c r="H53" i="15"/>
  <c r="H57" i="15" s="1"/>
  <c r="F57" i="15"/>
  <c r="H56" i="13"/>
  <c r="H109" i="49"/>
  <c r="I109" i="49"/>
  <c r="J109" i="49" s="1"/>
  <c r="E55" i="20"/>
  <c r="AA91" i="67"/>
  <c r="J91" i="67"/>
  <c r="K91" i="67" s="1"/>
  <c r="AA92" i="67"/>
  <c r="L92" i="67"/>
  <c r="J92" i="67"/>
  <c r="K92" i="67" s="1"/>
  <c r="C107" i="11"/>
  <c r="L107" i="11"/>
  <c r="C96" i="10"/>
  <c r="L96" i="10"/>
  <c r="S45" i="18"/>
  <c r="S48" i="18" s="1"/>
  <c r="F59" i="36"/>
  <c r="J59" i="36" s="1"/>
  <c r="F61" i="36"/>
  <c r="G49" i="43"/>
  <c r="H49" i="43"/>
  <c r="H52" i="43" s="1"/>
  <c r="F52" i="43"/>
  <c r="M102" i="61"/>
  <c r="C102" i="61"/>
  <c r="N95" i="68"/>
  <c r="L95" i="68"/>
  <c r="AA95" i="68"/>
  <c r="J95" i="68"/>
  <c r="K95" i="68" s="1"/>
  <c r="H43" i="52"/>
  <c r="F55" i="52"/>
  <c r="H55" i="52" s="1"/>
  <c r="I52" i="26"/>
  <c r="H52" i="26"/>
  <c r="K52" i="26" s="1"/>
  <c r="N52" i="26" s="1"/>
  <c r="C122" i="53"/>
  <c r="T122" i="53"/>
  <c r="T23" i="9"/>
  <c r="G78" i="19"/>
  <c r="M20" i="19"/>
  <c r="C97" i="10"/>
  <c r="L114" i="48"/>
  <c r="C114" i="48"/>
  <c r="K80" i="21"/>
  <c r="K87" i="21"/>
  <c r="C101" i="10"/>
  <c r="L101" i="10"/>
  <c r="AB18" i="33"/>
  <c r="AC18" i="33"/>
  <c r="AE18" i="33"/>
  <c r="AD18" i="33"/>
  <c r="P48" i="54"/>
  <c r="F86" i="19"/>
  <c r="F79" i="19"/>
  <c r="M85" i="19"/>
  <c r="AC15" i="33"/>
  <c r="AB15" i="33"/>
  <c r="AD15" i="33"/>
  <c r="AE15" i="33"/>
  <c r="R24" i="9"/>
  <c r="L25" i="9"/>
  <c r="N24" i="9"/>
  <c r="V24" i="9" s="1"/>
  <c r="O31" i="55"/>
  <c r="P29" i="55"/>
  <c r="AU11" i="6"/>
  <c r="AT21" i="6"/>
  <c r="H56" i="14"/>
  <c r="G132" i="24"/>
  <c r="N35" i="19"/>
  <c r="P35" i="19" s="1"/>
  <c r="O35" i="19"/>
  <c r="E55" i="49"/>
  <c r="K57" i="55"/>
  <c r="J70" i="55"/>
  <c r="AL12" i="5"/>
  <c r="AM12" i="5" s="1"/>
  <c r="N47" i="19"/>
  <c r="P47" i="19" s="1"/>
  <c r="O47" i="19"/>
  <c r="C68" i="26"/>
  <c r="BF11" i="6"/>
  <c r="BG11" i="6" s="1"/>
  <c r="E147" i="24"/>
  <c r="L15" i="55"/>
  <c r="K26" i="55"/>
  <c r="F83" i="19"/>
  <c r="M83" i="19" s="1"/>
  <c r="M82" i="19"/>
  <c r="AG14" i="33"/>
  <c r="AI14" i="33"/>
  <c r="AJ14" i="33"/>
  <c r="AH14" i="33"/>
  <c r="H110" i="49"/>
  <c r="I110" i="49"/>
  <c r="J110" i="49" s="1"/>
  <c r="K110" i="49"/>
  <c r="E56" i="22"/>
  <c r="D80" i="38"/>
  <c r="H73" i="38"/>
  <c r="E55" i="17"/>
  <c r="AA93" i="67"/>
  <c r="L93" i="67"/>
  <c r="J93" i="67"/>
  <c r="K93" i="67" s="1"/>
  <c r="BG11" i="58"/>
  <c r="AI53" i="36"/>
  <c r="M103" i="61"/>
  <c r="C103" i="61"/>
  <c r="G96" i="68"/>
  <c r="D97" i="68"/>
  <c r="L110" i="48"/>
  <c r="AX5" i="5"/>
  <c r="O22" i="19"/>
  <c r="N22" i="19"/>
  <c r="P22" i="19" s="1"/>
  <c r="M33" i="19"/>
  <c r="F78" i="19"/>
  <c r="AW12" i="5"/>
  <c r="D146" i="24"/>
  <c r="I79" i="19"/>
  <c r="I86" i="19"/>
  <c r="J27" i="55"/>
  <c r="J64" i="55"/>
  <c r="J65" i="55" s="1"/>
  <c r="L60" i="24"/>
  <c r="N29" i="5"/>
  <c r="D60" i="38"/>
  <c r="M40" i="5"/>
  <c r="N94" i="69"/>
  <c r="L94" i="69"/>
  <c r="AA94" i="69"/>
  <c r="J94" i="69"/>
  <c r="K94" i="69" s="1"/>
  <c r="H56" i="10"/>
  <c r="H58" i="12"/>
  <c r="BJ19" i="6"/>
  <c r="BK19" i="6" s="1"/>
  <c r="AZ12" i="58"/>
  <c r="BA12" i="58" s="1"/>
  <c r="AY15" i="6"/>
  <c r="AZ15" i="6" s="1"/>
  <c r="F146" i="24"/>
  <c r="BM18" i="58"/>
  <c r="BN18" i="58" s="1"/>
  <c r="AP15" i="5"/>
  <c r="AQ15" i="5" s="1"/>
  <c r="L59" i="24"/>
  <c r="I80" i="21"/>
  <c r="I87" i="21"/>
  <c r="T40" i="66" l="1"/>
  <c r="V35" i="66" s="1"/>
  <c r="X35" i="66" s="1"/>
  <c r="X36" i="66" s="1"/>
  <c r="K33" i="61"/>
  <c r="L33" i="61" s="1"/>
  <c r="E33" i="61"/>
  <c r="F33" i="61" s="1"/>
  <c r="AA22" i="61"/>
  <c r="H8" i="70"/>
  <c r="K33" i="66"/>
  <c r="L33" i="66" s="1"/>
  <c r="H40" i="66" s="1"/>
  <c r="J35" i="66" s="1"/>
  <c r="L35" i="66" s="1"/>
  <c r="L36" i="66" s="1"/>
  <c r="L37" i="66" s="1"/>
  <c r="L44" i="66" s="1"/>
  <c r="Q33" i="66"/>
  <c r="R33" i="66" s="1"/>
  <c r="N40" i="66" s="1"/>
  <c r="P35" i="66" s="1"/>
  <c r="R35" i="66" s="1"/>
  <c r="R36" i="66" s="1"/>
  <c r="P78" i="66" s="1"/>
  <c r="H34" i="13"/>
  <c r="E33" i="69"/>
  <c r="K33" i="69"/>
  <c r="W33" i="69"/>
  <c r="X33" i="69" s="1"/>
  <c r="Q33" i="69"/>
  <c r="C42" i="13"/>
  <c r="D37" i="13" s="1"/>
  <c r="F37" i="13" s="1"/>
  <c r="F38" i="13" s="1"/>
  <c r="E81" i="13" s="1"/>
  <c r="F44" i="44"/>
  <c r="H44" i="44" s="1"/>
  <c r="M86" i="21"/>
  <c r="N86" i="21" s="1"/>
  <c r="P86" i="21" s="1"/>
  <c r="H34" i="10"/>
  <c r="C42" i="11"/>
  <c r="D37" i="11" s="1"/>
  <c r="F37" i="11" s="1"/>
  <c r="F38" i="11" s="1"/>
  <c r="F39" i="11" s="1"/>
  <c r="F48" i="11" s="1"/>
  <c r="W33" i="61"/>
  <c r="X33" i="61" s="1"/>
  <c r="Q33" i="61"/>
  <c r="R33" i="61" s="1"/>
  <c r="M84" i="21"/>
  <c r="C42" i="14"/>
  <c r="D37" i="14" s="1"/>
  <c r="F37" i="14" s="1"/>
  <c r="F38" i="14" s="1"/>
  <c r="F39" i="14" s="1"/>
  <c r="F48" i="14" s="1"/>
  <c r="AB6" i="33"/>
  <c r="AE6" i="33"/>
  <c r="AC6" i="33"/>
  <c r="AD6" i="33"/>
  <c r="AD10" i="33"/>
  <c r="AE10" i="33"/>
  <c r="AB10" i="33"/>
  <c r="AC10" i="33"/>
  <c r="H33" i="44"/>
  <c r="F60" i="64"/>
  <c r="Q60" i="64"/>
  <c r="D48" i="64"/>
  <c r="D43" i="64" s="1"/>
  <c r="F43" i="64" s="1"/>
  <c r="F41" i="64"/>
  <c r="P40" i="64"/>
  <c r="P41" i="64" s="1"/>
  <c r="J60" i="64"/>
  <c r="H48" i="64"/>
  <c r="H43" i="64" s="1"/>
  <c r="J43" i="64" s="1"/>
  <c r="H78" i="38"/>
  <c r="K78" i="38" s="1"/>
  <c r="E61" i="64"/>
  <c r="M61" i="64"/>
  <c r="N61" i="64" s="1"/>
  <c r="I61" i="64"/>
  <c r="J61" i="64" s="1"/>
  <c r="L48" i="64"/>
  <c r="L43" i="64" s="1"/>
  <c r="N43" i="64" s="1"/>
  <c r="N41" i="64"/>
  <c r="M64" i="64"/>
  <c r="N60" i="64"/>
  <c r="F62" i="64"/>
  <c r="Q62" i="64"/>
  <c r="C44" i="22"/>
  <c r="D39" i="22" s="1"/>
  <c r="F39" i="22" s="1"/>
  <c r="F40" i="22" s="1"/>
  <c r="E81" i="22" s="1"/>
  <c r="P36" i="53"/>
  <c r="P37" i="53" s="1"/>
  <c r="D44" i="53"/>
  <c r="D39" i="53" s="1"/>
  <c r="F39" i="53" s="1"/>
  <c r="F40" i="53" s="1"/>
  <c r="E81" i="53" s="1"/>
  <c r="N72" i="21"/>
  <c r="P72" i="21" s="1"/>
  <c r="M83" i="21"/>
  <c r="O83" i="21" s="1"/>
  <c r="N81" i="21"/>
  <c r="P81" i="21" s="1"/>
  <c r="J46" i="54"/>
  <c r="P46" i="54" s="1"/>
  <c r="H74" i="38"/>
  <c r="K74" i="38" s="1"/>
  <c r="G58" i="24"/>
  <c r="L58" i="24" s="1"/>
  <c r="F39" i="17"/>
  <c r="E80" i="17" s="1"/>
  <c r="D111" i="17" s="1"/>
  <c r="F37" i="22"/>
  <c r="C185" i="24"/>
  <c r="D199" i="24"/>
  <c r="F56" i="53"/>
  <c r="J56" i="53"/>
  <c r="P56" i="53"/>
  <c r="N58" i="53"/>
  <c r="R58" i="53" s="1"/>
  <c r="P58" i="53"/>
  <c r="N56" i="53"/>
  <c r="L6" i="54"/>
  <c r="L56" i="54"/>
  <c r="L22" i="54"/>
  <c r="L30" i="54"/>
  <c r="L14" i="54"/>
  <c r="L9" i="54"/>
  <c r="L18" i="54"/>
  <c r="L8" i="54"/>
  <c r="L42" i="54"/>
  <c r="L26" i="54"/>
  <c r="L11" i="54"/>
  <c r="L32" i="54"/>
  <c r="L23" i="54"/>
  <c r="L25" i="54"/>
  <c r="L48" i="54"/>
  <c r="L31" i="54"/>
  <c r="L28" i="54"/>
  <c r="L29" i="54"/>
  <c r="L20" i="54"/>
  <c r="L15" i="54"/>
  <c r="L55" i="54"/>
  <c r="L21" i="54"/>
  <c r="L19" i="54"/>
  <c r="L10" i="54"/>
  <c r="L7" i="54"/>
  <c r="B249" i="54"/>
  <c r="N40" i="53"/>
  <c r="H75" i="38"/>
  <c r="J75" i="38" s="1"/>
  <c r="I57" i="53"/>
  <c r="E57" i="53"/>
  <c r="E60" i="53" s="1"/>
  <c r="G56" i="25"/>
  <c r="R56" i="25" s="1"/>
  <c r="R69" i="25" s="1"/>
  <c r="R71" i="25" s="1"/>
  <c r="Y23" i="33"/>
  <c r="Y27" i="33" s="1"/>
  <c r="X23" i="33"/>
  <c r="X27" i="33" s="1"/>
  <c r="F153" i="54" s="1"/>
  <c r="B100" i="41"/>
  <c r="A101" i="41"/>
  <c r="Z23" i="33"/>
  <c r="Z27" i="33" s="1"/>
  <c r="F193" i="54" s="1"/>
  <c r="F197" i="54" s="1"/>
  <c r="L99" i="41"/>
  <c r="C99" i="41"/>
  <c r="H77" i="38"/>
  <c r="J77" i="38" s="1"/>
  <c r="E80" i="38"/>
  <c r="AL53" i="36"/>
  <c r="H76" i="38"/>
  <c r="J76" i="38" s="1"/>
  <c r="H79" i="38"/>
  <c r="J79" i="38" s="1"/>
  <c r="J58" i="54"/>
  <c r="P58" i="54" s="1"/>
  <c r="H33" i="43"/>
  <c r="L47" i="54"/>
  <c r="H59" i="15"/>
  <c r="AH33" i="68"/>
  <c r="AH33" i="67"/>
  <c r="AU21" i="6"/>
  <c r="V51" i="67"/>
  <c r="C117" i="49"/>
  <c r="L117" i="49"/>
  <c r="AE16" i="33"/>
  <c r="AB16" i="33"/>
  <c r="AD16" i="33"/>
  <c r="AC16" i="33"/>
  <c r="AC11" i="33"/>
  <c r="AD11" i="33"/>
  <c r="AE11" i="33"/>
  <c r="AB11" i="33"/>
  <c r="AC20" i="33"/>
  <c r="AB20" i="33"/>
  <c r="AD20" i="33"/>
  <c r="AE20" i="33"/>
  <c r="E64" i="47"/>
  <c r="AC17" i="33"/>
  <c r="AB17" i="33"/>
  <c r="AD17" i="33"/>
  <c r="AE17" i="33"/>
  <c r="B118" i="49"/>
  <c r="A119" i="49"/>
  <c r="M59" i="21"/>
  <c r="G79" i="21"/>
  <c r="G80" i="21"/>
  <c r="G87" i="21"/>
  <c r="L57" i="54"/>
  <c r="D93" i="41"/>
  <c r="D96" i="41"/>
  <c r="D97" i="41" s="1"/>
  <c r="D98" i="41" s="1"/>
  <c r="D94" i="41"/>
  <c r="D95" i="41"/>
  <c r="H40" i="20"/>
  <c r="H49" i="20" s="1"/>
  <c r="C62" i="24"/>
  <c r="L50" i="54"/>
  <c r="J50" i="54" s="1"/>
  <c r="P50" i="54" s="1"/>
  <c r="E80" i="20"/>
  <c r="F40" i="20"/>
  <c r="F49" i="20" s="1"/>
  <c r="D55" i="10"/>
  <c r="F55" i="10" s="1"/>
  <c r="H55" i="10" s="1"/>
  <c r="P51" i="69"/>
  <c r="BE21" i="6"/>
  <c r="AW27" i="5"/>
  <c r="AD8" i="33"/>
  <c r="AD25" i="33" s="1"/>
  <c r="AD29" i="33" s="1"/>
  <c r="Z25" i="33"/>
  <c r="Z29" i="33" s="1"/>
  <c r="AE8" i="33"/>
  <c r="AC8" i="33"/>
  <c r="AC25" i="33" s="1"/>
  <c r="AC29" i="33" s="1"/>
  <c r="AB8" i="33"/>
  <c r="D168" i="24"/>
  <c r="G53" i="25"/>
  <c r="H168" i="24"/>
  <c r="P6" i="55"/>
  <c r="O13" i="55"/>
  <c r="AC7" i="33"/>
  <c r="AC24" i="33" s="1"/>
  <c r="AC28" i="33" s="1"/>
  <c r="Z24" i="33"/>
  <c r="Z28" i="33" s="1"/>
  <c r="AE7" i="33"/>
  <c r="AD7" i="33"/>
  <c r="AD24" i="33" s="1"/>
  <c r="AD28" i="33" s="1"/>
  <c r="AB7" i="33"/>
  <c r="X21" i="33"/>
  <c r="I79" i="21"/>
  <c r="M34" i="21"/>
  <c r="AE9" i="33"/>
  <c r="AB9" i="33"/>
  <c r="AD9" i="33"/>
  <c r="AC9" i="33"/>
  <c r="I7" i="70"/>
  <c r="K7" i="70" s="1"/>
  <c r="L7" i="70" s="1"/>
  <c r="G11" i="70"/>
  <c r="J11" i="70" s="1"/>
  <c r="AK37" i="66"/>
  <c r="C40" i="66"/>
  <c r="D35" i="66" s="1"/>
  <c r="F35" i="66" s="1"/>
  <c r="P47" i="54"/>
  <c r="BF21" i="6"/>
  <c r="BI6" i="6"/>
  <c r="BJ6" i="6" s="1"/>
  <c r="BK6" i="6" s="1"/>
  <c r="M76" i="21"/>
  <c r="P51" i="66"/>
  <c r="R51" i="66" s="1"/>
  <c r="P51" i="63"/>
  <c r="R51" i="63" s="1"/>
  <c r="D51" i="66"/>
  <c r="D55" i="14"/>
  <c r="F55" i="14" s="1"/>
  <c r="H55" i="14" s="1"/>
  <c r="D51" i="63"/>
  <c r="V51" i="69"/>
  <c r="E71" i="38"/>
  <c r="D57" i="12"/>
  <c r="F57" i="12" s="1"/>
  <c r="H57" i="12" s="1"/>
  <c r="D51" i="67"/>
  <c r="AB51" i="67" s="1"/>
  <c r="P51" i="61"/>
  <c r="R51" i="61" s="1"/>
  <c r="J51" i="68"/>
  <c r="P51" i="67"/>
  <c r="V51" i="61"/>
  <c r="X51" i="61" s="1"/>
  <c r="J51" i="69"/>
  <c r="V51" i="63"/>
  <c r="X51" i="63" s="1"/>
  <c r="D55" i="13"/>
  <c r="F55" i="13" s="1"/>
  <c r="H55" i="13" s="1"/>
  <c r="V51" i="66"/>
  <c r="D51" i="68"/>
  <c r="AB51" i="68" s="1"/>
  <c r="D51" i="61"/>
  <c r="J51" i="67"/>
  <c r="D55" i="11"/>
  <c r="F55" i="11" s="1"/>
  <c r="H55" i="11" s="1"/>
  <c r="D51" i="69"/>
  <c r="AB51" i="69" s="1"/>
  <c r="J51" i="66"/>
  <c r="L51" i="66" s="1"/>
  <c r="J51" i="61"/>
  <c r="L51" i="61" s="1"/>
  <c r="J51" i="63"/>
  <c r="L51" i="63" s="1"/>
  <c r="V51" i="68"/>
  <c r="F51" i="63"/>
  <c r="AA52" i="63"/>
  <c r="AA22" i="63"/>
  <c r="I6" i="70"/>
  <c r="K6" i="70" s="1"/>
  <c r="L6" i="70" s="1"/>
  <c r="H6" i="70"/>
  <c r="H40" i="63"/>
  <c r="J35" i="63" s="1"/>
  <c r="L35" i="63" s="1"/>
  <c r="L36" i="63" s="1"/>
  <c r="C40" i="63"/>
  <c r="D35" i="63" s="1"/>
  <c r="F35" i="63" s="1"/>
  <c r="N40" i="63"/>
  <c r="P35" i="63" s="1"/>
  <c r="R35" i="63" s="1"/>
  <c r="R36" i="63" s="1"/>
  <c r="AA33" i="63"/>
  <c r="AB33" i="63" s="1"/>
  <c r="T40" i="63"/>
  <c r="V35" i="63" s="1"/>
  <c r="X35" i="63" s="1"/>
  <c r="AA52" i="66"/>
  <c r="AB52" i="66" s="1"/>
  <c r="L11" i="24"/>
  <c r="L39" i="24" s="1"/>
  <c r="G20" i="24"/>
  <c r="G39" i="24" s="1"/>
  <c r="H20" i="24" s="1"/>
  <c r="F51" i="66"/>
  <c r="J87" i="21"/>
  <c r="J80" i="21"/>
  <c r="BM14" i="58"/>
  <c r="BN14" i="58" s="1"/>
  <c r="M97" i="69"/>
  <c r="C97" i="69"/>
  <c r="M98" i="68"/>
  <c r="C98" i="68"/>
  <c r="AL27" i="5"/>
  <c r="AV11" i="6"/>
  <c r="AV21" i="6" s="1"/>
  <c r="K64" i="47"/>
  <c r="A102" i="63"/>
  <c r="B101" i="63"/>
  <c r="C101" i="63" s="1"/>
  <c r="O33" i="55"/>
  <c r="N63" i="55"/>
  <c r="A99" i="69"/>
  <c r="B98" i="69"/>
  <c r="D109" i="48"/>
  <c r="G109" i="48" s="1"/>
  <c r="H109" i="48" s="1"/>
  <c r="D111" i="48"/>
  <c r="G111" i="48" s="1"/>
  <c r="D112" i="48"/>
  <c r="D110" i="48"/>
  <c r="G110" i="48" s="1"/>
  <c r="E83" i="48"/>
  <c r="E85" i="48" s="1"/>
  <c r="B99" i="68"/>
  <c r="A100" i="68"/>
  <c r="B103" i="14"/>
  <c r="A104" i="14"/>
  <c r="H8" i="26"/>
  <c r="K8" i="26" s="1"/>
  <c r="N8" i="26" s="1"/>
  <c r="I8" i="26"/>
  <c r="H66" i="42"/>
  <c r="K66" i="42"/>
  <c r="M66" i="42"/>
  <c r="G8" i="26"/>
  <c r="D9" i="26" s="1"/>
  <c r="C99" i="67"/>
  <c r="M99" i="67"/>
  <c r="L68" i="55"/>
  <c r="M55" i="55"/>
  <c r="B68" i="42"/>
  <c r="A69" i="42"/>
  <c r="AD5" i="33"/>
  <c r="AE5" i="33"/>
  <c r="AB5" i="33"/>
  <c r="AC5" i="33"/>
  <c r="Z21" i="33"/>
  <c r="H64" i="47"/>
  <c r="M98" i="66"/>
  <c r="C98" i="66"/>
  <c r="L115" i="17"/>
  <c r="C115" i="17"/>
  <c r="C102" i="14"/>
  <c r="L102" i="14"/>
  <c r="M38" i="55"/>
  <c r="L40" i="55"/>
  <c r="L41" i="55" s="1"/>
  <c r="AN8" i="5"/>
  <c r="AO8" i="5" s="1"/>
  <c r="AY9" i="6"/>
  <c r="AZ9" i="6" s="1"/>
  <c r="BA9" i="6" s="1"/>
  <c r="BB9" i="6" s="1"/>
  <c r="B67" i="6"/>
  <c r="C67" i="6" s="1"/>
  <c r="A68" i="6" s="1"/>
  <c r="C100" i="63"/>
  <c r="M100" i="63"/>
  <c r="A101" i="67"/>
  <c r="B100" i="67"/>
  <c r="L67" i="42"/>
  <c r="C67" i="42"/>
  <c r="AM13" i="33"/>
  <c r="AL13" i="33"/>
  <c r="AN13" i="33"/>
  <c r="AO13" i="33"/>
  <c r="G67" i="42"/>
  <c r="I67" i="42" s="1"/>
  <c r="J67" i="42" s="1"/>
  <c r="D68" i="42"/>
  <c r="AG12" i="33"/>
  <c r="AI12" i="33"/>
  <c r="AH12" i="33"/>
  <c r="AJ12" i="33"/>
  <c r="A100" i="66"/>
  <c r="B99" i="66"/>
  <c r="AJ19" i="33"/>
  <c r="AG19" i="33"/>
  <c r="AI19" i="33"/>
  <c r="AH19" i="33"/>
  <c r="A117" i="17"/>
  <c r="B116" i="17"/>
  <c r="Y21" i="33"/>
  <c r="F35" i="28"/>
  <c r="F36" i="28" s="1"/>
  <c r="T36" i="28" s="1"/>
  <c r="BC23" i="5"/>
  <c r="BD23" i="5" s="1"/>
  <c r="AP13" i="5"/>
  <c r="AQ13" i="5" s="1"/>
  <c r="AR13" i="5" s="1"/>
  <c r="AS13" i="5" s="1"/>
  <c r="AR9" i="5"/>
  <c r="AS9" i="5" s="1"/>
  <c r="AY13" i="5"/>
  <c r="AZ13" i="5" s="1"/>
  <c r="BA13" i="5" s="1"/>
  <c r="BB13" i="5" s="1"/>
  <c r="AZ13" i="58"/>
  <c r="BA13" i="58" s="1"/>
  <c r="AN22" i="5"/>
  <c r="AO22" i="5" s="1"/>
  <c r="BL15" i="6"/>
  <c r="BM15" i="6" s="1"/>
  <c r="BL17" i="6"/>
  <c r="BM17" i="6" s="1"/>
  <c r="J96" i="68"/>
  <c r="K96" i="68" s="1"/>
  <c r="N96" i="68"/>
  <c r="L96" i="68"/>
  <c r="AA96" i="68"/>
  <c r="E59" i="17"/>
  <c r="H61" i="17" s="1"/>
  <c r="F55" i="17"/>
  <c r="BB10" i="58"/>
  <c r="BC10" i="58" s="1"/>
  <c r="BL16" i="6"/>
  <c r="BM16" i="6" s="1"/>
  <c r="BM12" i="58"/>
  <c r="BN12" i="58" s="1"/>
  <c r="M15" i="55"/>
  <c r="L26" i="55"/>
  <c r="D53" i="26"/>
  <c r="L71" i="24"/>
  <c r="H39" i="12"/>
  <c r="H40" i="12" s="1"/>
  <c r="BK13" i="58"/>
  <c r="BL13" i="58" s="1"/>
  <c r="A117" i="48"/>
  <c r="B116" i="48"/>
  <c r="D98" i="67"/>
  <c r="G97" i="67"/>
  <c r="H37" i="10"/>
  <c r="J95" i="69"/>
  <c r="K95" i="69" s="1"/>
  <c r="AA95" i="69"/>
  <c r="N95" i="69"/>
  <c r="L95" i="69"/>
  <c r="M112" i="49"/>
  <c r="I112" i="49"/>
  <c r="J112" i="49" s="1"/>
  <c r="H112" i="49"/>
  <c r="K112" i="49"/>
  <c r="BB20" i="58"/>
  <c r="BC20" i="58" s="1"/>
  <c r="BM20" i="58"/>
  <c r="BN20" i="58" s="1"/>
  <c r="BC25" i="5"/>
  <c r="BD25" i="5" s="1"/>
  <c r="AR15" i="5"/>
  <c r="AS15" i="5" s="1"/>
  <c r="BB12" i="58"/>
  <c r="BC12" i="58" s="1"/>
  <c r="BB5" i="58"/>
  <c r="AP5" i="5"/>
  <c r="AQ5" i="5" s="1"/>
  <c r="AP17" i="5"/>
  <c r="AQ17" i="5" s="1"/>
  <c r="G146" i="24"/>
  <c r="G165" i="24" s="1"/>
  <c r="D147" i="24"/>
  <c r="E148" i="24" s="1"/>
  <c r="M79" i="19"/>
  <c r="BA15" i="6"/>
  <c r="BB15" i="6" s="1"/>
  <c r="BL19" i="6"/>
  <c r="BM19" i="6" s="1"/>
  <c r="AX12" i="5"/>
  <c r="AX27" i="5" s="1"/>
  <c r="AY5" i="5"/>
  <c r="F54" i="43"/>
  <c r="H54" i="43" s="1"/>
  <c r="H43" i="43"/>
  <c r="AN12" i="5"/>
  <c r="AO12" i="5" s="1"/>
  <c r="R25" i="9"/>
  <c r="T25" i="9" s="1"/>
  <c r="N25" i="9"/>
  <c r="V25" i="9" s="1"/>
  <c r="L26" i="9"/>
  <c r="M86" i="19"/>
  <c r="AJ18" i="33"/>
  <c r="AG18" i="33"/>
  <c r="AI18" i="33"/>
  <c r="AH18" i="33"/>
  <c r="E82" i="15"/>
  <c r="E83" i="15" s="1"/>
  <c r="F61" i="15"/>
  <c r="F59" i="15"/>
  <c r="BA17" i="5"/>
  <c r="BB17" i="5" s="1"/>
  <c r="AZ11" i="58"/>
  <c r="BA11" i="58" s="1"/>
  <c r="L115" i="48"/>
  <c r="C115" i="48"/>
  <c r="P59" i="54"/>
  <c r="L59" i="54"/>
  <c r="L96" i="67"/>
  <c r="AA96" i="67"/>
  <c r="N96" i="67"/>
  <c r="J96" i="67"/>
  <c r="K96" i="67" s="1"/>
  <c r="F55" i="48"/>
  <c r="E59" i="48"/>
  <c r="H61" i="48" s="1"/>
  <c r="E82" i="10"/>
  <c r="F39" i="10"/>
  <c r="F48" i="10" s="1"/>
  <c r="BF19" i="58"/>
  <c r="G96" i="69"/>
  <c r="D97" i="69"/>
  <c r="P34" i="55"/>
  <c r="D114" i="49"/>
  <c r="G113" i="49"/>
  <c r="AM27" i="5"/>
  <c r="BA16" i="6"/>
  <c r="BB16" i="6" s="1"/>
  <c r="AR18" i="5"/>
  <c r="AS18" i="5" s="1"/>
  <c r="AY22" i="5"/>
  <c r="AZ22" i="5" s="1"/>
  <c r="J42" i="55"/>
  <c r="F56" i="22"/>
  <c r="E60" i="22"/>
  <c r="K27" i="55"/>
  <c r="K42" i="55" s="1"/>
  <c r="K64" i="55"/>
  <c r="K65" i="55" s="1"/>
  <c r="BH11" i="6"/>
  <c r="BH21" i="6" s="1"/>
  <c r="BG21" i="6"/>
  <c r="AW11" i="6"/>
  <c r="AW21" i="6" s="1"/>
  <c r="AI15" i="33"/>
  <c r="AJ15" i="33"/>
  <c r="AG15" i="33"/>
  <c r="AH15" i="33"/>
  <c r="AE23" i="33"/>
  <c r="AE27" i="33" s="1"/>
  <c r="O85" i="19"/>
  <c r="N85" i="19"/>
  <c r="P85" i="19" s="1"/>
  <c r="E59" i="20"/>
  <c r="F55" i="20"/>
  <c r="B103" i="10"/>
  <c r="A104" i="10"/>
  <c r="BA19" i="6"/>
  <c r="BB19" i="6" s="1"/>
  <c r="F100" i="41"/>
  <c r="F94" i="41"/>
  <c r="F95" i="41"/>
  <c r="F98" i="41"/>
  <c r="F101" i="41"/>
  <c r="F104" i="41"/>
  <c r="F105" i="41"/>
  <c r="F103" i="41"/>
  <c r="F97" i="41"/>
  <c r="F93" i="41"/>
  <c r="F96" i="41"/>
  <c r="F99" i="41"/>
  <c r="F102" i="41"/>
  <c r="E83" i="41"/>
  <c r="E85" i="41" s="1"/>
  <c r="BC18" i="5"/>
  <c r="BD18" i="5" s="1"/>
  <c r="BM7" i="58"/>
  <c r="BN7" i="58" s="1"/>
  <c r="AR25" i="5"/>
  <c r="AS25" i="5" s="1"/>
  <c r="J73" i="38"/>
  <c r="K73" i="38"/>
  <c r="AL14" i="33"/>
  <c r="AN14" i="33"/>
  <c r="AO14" i="33"/>
  <c r="AM14" i="33"/>
  <c r="N82" i="19"/>
  <c r="P82" i="19" s="1"/>
  <c r="O82" i="19"/>
  <c r="L57" i="55"/>
  <c r="K70" i="55"/>
  <c r="Q29" i="55"/>
  <c r="P31" i="55"/>
  <c r="J50" i="61"/>
  <c r="L50" i="61" s="1"/>
  <c r="J50" i="63"/>
  <c r="P50" i="61"/>
  <c r="V50" i="63"/>
  <c r="P50" i="68"/>
  <c r="P55" i="68" s="1"/>
  <c r="P50" i="63"/>
  <c r="D50" i="69"/>
  <c r="D50" i="66"/>
  <c r="F50" i="66" s="1"/>
  <c r="J50" i="67"/>
  <c r="D50" i="63"/>
  <c r="F50" i="63" s="1"/>
  <c r="V50" i="68"/>
  <c r="J50" i="68"/>
  <c r="V50" i="69"/>
  <c r="D56" i="12"/>
  <c r="H60" i="38"/>
  <c r="V50" i="66"/>
  <c r="J50" i="69"/>
  <c r="D71" i="38"/>
  <c r="D82" i="38" s="1"/>
  <c r="D50" i="61"/>
  <c r="F50" i="61" s="1"/>
  <c r="D50" i="68"/>
  <c r="P50" i="66"/>
  <c r="D54" i="13"/>
  <c r="V50" i="67"/>
  <c r="J50" i="66"/>
  <c r="D54" i="10"/>
  <c r="D54" i="14"/>
  <c r="V50" i="61"/>
  <c r="P50" i="69"/>
  <c r="D54" i="11"/>
  <c r="P50" i="67"/>
  <c r="D50" i="67"/>
  <c r="S28" i="9"/>
  <c r="D98" i="68"/>
  <c r="G97" i="68"/>
  <c r="BH11" i="58"/>
  <c r="C69" i="26"/>
  <c r="E59" i="49"/>
  <c r="H61" i="49" s="1"/>
  <c r="F55" i="49"/>
  <c r="T24" i="9"/>
  <c r="J61" i="36"/>
  <c r="F63" i="36"/>
  <c r="J63" i="36" s="1"/>
  <c r="C102" i="10"/>
  <c r="L102" i="10"/>
  <c r="J136" i="54"/>
  <c r="D249" i="54"/>
  <c r="F167" i="54"/>
  <c r="BB5" i="6"/>
  <c r="K30" i="9"/>
  <c r="Q29" i="9"/>
  <c r="M29" i="9"/>
  <c r="U29" i="9" s="1"/>
  <c r="A30" i="9" s="1"/>
  <c r="E84" i="12"/>
  <c r="F41" i="12"/>
  <c r="F50" i="12" s="1"/>
  <c r="L72" i="24"/>
  <c r="BJ5" i="58"/>
  <c r="D69" i="41"/>
  <c r="D71" i="41" s="1"/>
  <c r="E73" i="41" s="1"/>
  <c r="G30" i="41"/>
  <c r="G23" i="41"/>
  <c r="G31" i="41"/>
  <c r="G36" i="41"/>
  <c r="G35" i="41"/>
  <c r="G24" i="41"/>
  <c r="G26" i="41"/>
  <c r="G54" i="41"/>
  <c r="G27" i="41"/>
  <c r="G45" i="41"/>
  <c r="G34" i="41"/>
  <c r="G25" i="41"/>
  <c r="G32" i="41"/>
  <c r="G33" i="41"/>
  <c r="G22" i="41"/>
  <c r="G28" i="41"/>
  <c r="G29" i="41"/>
  <c r="F64" i="41"/>
  <c r="G64" i="41" s="1"/>
  <c r="G37" i="41"/>
  <c r="G53" i="41"/>
  <c r="G61" i="41" s="1"/>
  <c r="G55" i="41"/>
  <c r="AU19" i="58"/>
  <c r="O86" i="21" l="1"/>
  <c r="J78" i="66"/>
  <c r="AA33" i="69"/>
  <c r="T40" i="69"/>
  <c r="V35" i="69" s="1"/>
  <c r="X35" i="69" s="1"/>
  <c r="V78" i="66"/>
  <c r="V81" i="66" s="1"/>
  <c r="V83" i="66" s="1"/>
  <c r="X59" i="66"/>
  <c r="Y35" i="66" s="1"/>
  <c r="X37" i="66"/>
  <c r="X44" i="66" s="1"/>
  <c r="X57" i="66" s="1"/>
  <c r="F53" i="44"/>
  <c r="H53" i="44" s="1"/>
  <c r="AA33" i="66"/>
  <c r="AB33" i="66" s="1"/>
  <c r="R37" i="66"/>
  <c r="R44" i="66" s="1"/>
  <c r="H37" i="11"/>
  <c r="H38" i="11" s="1"/>
  <c r="J38" i="54" s="1"/>
  <c r="P38" i="54" s="1"/>
  <c r="F39" i="13"/>
  <c r="F48" i="13" s="1"/>
  <c r="H37" i="13"/>
  <c r="H38" i="13" s="1"/>
  <c r="J40" i="54" s="1"/>
  <c r="L40" i="54" s="1"/>
  <c r="E82" i="11"/>
  <c r="D96" i="11" s="1"/>
  <c r="H38" i="10"/>
  <c r="G43" i="24" s="1"/>
  <c r="H43" i="24" s="1"/>
  <c r="H37" i="14"/>
  <c r="H38" i="14" s="1"/>
  <c r="G47" i="24" s="1"/>
  <c r="L47" i="24" s="1"/>
  <c r="E81" i="14"/>
  <c r="D95" i="14" s="1"/>
  <c r="AA33" i="61"/>
  <c r="J74" i="38"/>
  <c r="AJ10" i="33"/>
  <c r="AG10" i="33"/>
  <c r="AI10" i="33"/>
  <c r="AH10" i="33"/>
  <c r="AG6" i="33"/>
  <c r="AI6" i="33"/>
  <c r="AH6" i="33"/>
  <c r="AH21" i="33" s="1"/>
  <c r="AJ6" i="33"/>
  <c r="J78" i="38"/>
  <c r="F61" i="64"/>
  <c r="P61" i="64" s="1"/>
  <c r="Q61" i="64"/>
  <c r="N64" i="64"/>
  <c r="M87" i="64" s="1"/>
  <c r="N44" i="64"/>
  <c r="J64" i="64"/>
  <c r="I87" i="64" s="1"/>
  <c r="E64" i="64"/>
  <c r="I64" i="64"/>
  <c r="P60" i="64"/>
  <c r="P39" i="53"/>
  <c r="P40" i="53" s="1"/>
  <c r="P41" i="53" s="1"/>
  <c r="P50" i="53" s="1"/>
  <c r="P62" i="64"/>
  <c r="F44" i="64"/>
  <c r="P43" i="64"/>
  <c r="P44" i="64" s="1"/>
  <c r="J44" i="64"/>
  <c r="S56" i="25"/>
  <c r="S69" i="25" s="1"/>
  <c r="S71" i="25" s="1"/>
  <c r="S60" i="25" s="1"/>
  <c r="F41" i="22"/>
  <c r="F50" i="22" s="1"/>
  <c r="H39" i="22"/>
  <c r="H40" i="22" s="1"/>
  <c r="L51" i="54" s="1"/>
  <c r="J51" i="54" s="1"/>
  <c r="P51" i="54" s="1"/>
  <c r="F41" i="53"/>
  <c r="F50" i="53" s="1"/>
  <c r="R56" i="53"/>
  <c r="N83" i="21"/>
  <c r="P83" i="21" s="1"/>
  <c r="D110" i="17"/>
  <c r="J53" i="54"/>
  <c r="L53" i="54" s="1"/>
  <c r="L46" i="54"/>
  <c r="J56" i="25"/>
  <c r="J69" i="25" s="1"/>
  <c r="J71" i="25" s="1"/>
  <c r="J60" i="25" s="1"/>
  <c r="D109" i="17"/>
  <c r="D112" i="17"/>
  <c r="D113" i="17" s="1"/>
  <c r="D114" i="17" s="1"/>
  <c r="F40" i="17"/>
  <c r="F49" i="17" s="1"/>
  <c r="G62" i="24"/>
  <c r="L62" i="24" s="1"/>
  <c r="K79" i="38"/>
  <c r="K75" i="38"/>
  <c r="D113" i="53"/>
  <c r="D114" i="53" s="1"/>
  <c r="D115" i="53" s="1"/>
  <c r="D111" i="53"/>
  <c r="D110" i="53"/>
  <c r="D112" i="53"/>
  <c r="K77" i="38"/>
  <c r="P57" i="53"/>
  <c r="R10" i="53" s="1"/>
  <c r="O56" i="25"/>
  <c r="I53" i="47" s="1"/>
  <c r="L53" i="47"/>
  <c r="I56" i="25"/>
  <c r="C53" i="47" s="1"/>
  <c r="H56" i="25"/>
  <c r="H69" i="25" s="1"/>
  <c r="H71" i="25" s="1"/>
  <c r="H60" i="25" s="1"/>
  <c r="K56" i="25"/>
  <c r="E53" i="47" s="1"/>
  <c r="N56" i="25"/>
  <c r="H53" i="47" s="1"/>
  <c r="P56" i="25"/>
  <c r="J53" i="47" s="1"/>
  <c r="M56" i="25"/>
  <c r="M69" i="25" s="1"/>
  <c r="M71" i="25" s="1"/>
  <c r="M75" i="25" s="1"/>
  <c r="M79" i="25" s="1"/>
  <c r="Q56" i="25"/>
  <c r="Q69" i="25" s="1"/>
  <c r="Q71" i="25" s="1"/>
  <c r="Q60" i="25" s="1"/>
  <c r="L56" i="25"/>
  <c r="L69" i="25" s="1"/>
  <c r="L71" i="25" s="1"/>
  <c r="L60" i="25" s="1"/>
  <c r="L33" i="54"/>
  <c r="J49" i="54"/>
  <c r="G61" i="24"/>
  <c r="H61" i="24" s="1"/>
  <c r="M81" i="53"/>
  <c r="N41" i="53"/>
  <c r="N50" i="53" s="1"/>
  <c r="F57" i="53"/>
  <c r="M60" i="53"/>
  <c r="J57" i="53"/>
  <c r="I60" i="53"/>
  <c r="M87" i="21"/>
  <c r="H80" i="38"/>
  <c r="J80" i="38" s="1"/>
  <c r="M101" i="63"/>
  <c r="AD21" i="33"/>
  <c r="M80" i="21"/>
  <c r="A102" i="41"/>
  <c r="B101" i="41"/>
  <c r="C100" i="41"/>
  <c r="L100" i="41"/>
  <c r="L58" i="54"/>
  <c r="K76" i="38"/>
  <c r="E82" i="38"/>
  <c r="V55" i="67"/>
  <c r="L118" i="49"/>
  <c r="C118" i="49"/>
  <c r="AI17" i="33"/>
  <c r="AH17" i="33"/>
  <c r="AG17" i="33"/>
  <c r="AJ17" i="33"/>
  <c r="AG16" i="33"/>
  <c r="AJ16" i="33"/>
  <c r="AI16" i="33"/>
  <c r="AH16" i="33"/>
  <c r="AH20" i="33"/>
  <c r="AI20" i="33"/>
  <c r="AJ20" i="33"/>
  <c r="B119" i="49"/>
  <c r="A120" i="49"/>
  <c r="AI11" i="33"/>
  <c r="AJ11" i="33"/>
  <c r="AH11" i="33"/>
  <c r="AG11" i="33"/>
  <c r="G93" i="41"/>
  <c r="I93" i="41" s="1"/>
  <c r="J93" i="41" s="1"/>
  <c r="G97" i="41"/>
  <c r="H97" i="41" s="1"/>
  <c r="G96" i="41"/>
  <c r="G94" i="41"/>
  <c r="H61" i="20"/>
  <c r="G95" i="41"/>
  <c r="H95" i="41" s="1"/>
  <c r="P55" i="69"/>
  <c r="V55" i="68"/>
  <c r="AG9" i="33"/>
  <c r="AJ9" i="33"/>
  <c r="AI9" i="33"/>
  <c r="AH9" i="33"/>
  <c r="AI8" i="33"/>
  <c r="AI25" i="33" s="1"/>
  <c r="AI29" i="33" s="1"/>
  <c r="AH8" i="33"/>
  <c r="AH25" i="33" s="1"/>
  <c r="AH29" i="33" s="1"/>
  <c r="AG8" i="33"/>
  <c r="AE25" i="33"/>
  <c r="AE29" i="33" s="1"/>
  <c r="AJ8" i="33"/>
  <c r="AD23" i="33"/>
  <c r="AD27" i="33" s="1"/>
  <c r="AJ7" i="33"/>
  <c r="AH7" i="33"/>
  <c r="AH24" i="33" s="1"/>
  <c r="AH28" i="33" s="1"/>
  <c r="AE24" i="33"/>
  <c r="AE28" i="33" s="1"/>
  <c r="AG7" i="33"/>
  <c r="AI7" i="33"/>
  <c r="AI24" i="33" s="1"/>
  <c r="AI28" i="33" s="1"/>
  <c r="Q6" i="55"/>
  <c r="P13" i="55"/>
  <c r="P55" i="67"/>
  <c r="I11" i="70"/>
  <c r="K11" i="70" s="1"/>
  <c r="L11" i="70" s="1"/>
  <c r="H11" i="70"/>
  <c r="F36" i="66"/>
  <c r="AA35" i="66"/>
  <c r="L55" i="61"/>
  <c r="J80" i="61" s="1"/>
  <c r="J55" i="68"/>
  <c r="J55" i="69"/>
  <c r="V55" i="69"/>
  <c r="J55" i="67"/>
  <c r="F51" i="61"/>
  <c r="AA51" i="61" s="1"/>
  <c r="AB51" i="61" s="1"/>
  <c r="F55" i="63"/>
  <c r="D80" i="63" s="1"/>
  <c r="F102" i="63" s="1"/>
  <c r="AA51" i="63"/>
  <c r="AB51" i="63" s="1"/>
  <c r="V55" i="61"/>
  <c r="X50" i="61"/>
  <c r="X55" i="61" s="1"/>
  <c r="V80" i="61" s="1"/>
  <c r="P55" i="61"/>
  <c r="R50" i="61"/>
  <c r="R55" i="61" s="1"/>
  <c r="P80" i="61" s="1"/>
  <c r="J55" i="61"/>
  <c r="V55" i="66"/>
  <c r="V55" i="63"/>
  <c r="X50" i="63"/>
  <c r="X55" i="63" s="1"/>
  <c r="V80" i="63" s="1"/>
  <c r="P55" i="63"/>
  <c r="R50" i="63"/>
  <c r="R55" i="63" s="1"/>
  <c r="P80" i="63" s="1"/>
  <c r="J55" i="63"/>
  <c r="L50" i="63"/>
  <c r="L55" i="63" s="1"/>
  <c r="J80" i="63" s="1"/>
  <c r="AB52" i="63"/>
  <c r="H13" i="24"/>
  <c r="H32" i="24"/>
  <c r="L37" i="63"/>
  <c r="L44" i="63" s="1"/>
  <c r="J78" i="63"/>
  <c r="F36" i="63"/>
  <c r="P78" i="63"/>
  <c r="R37" i="63"/>
  <c r="R44" i="63" s="1"/>
  <c r="X36" i="63"/>
  <c r="AA35" i="63"/>
  <c r="AA36" i="63" s="1"/>
  <c r="H25" i="24"/>
  <c r="H15" i="24"/>
  <c r="H7" i="24"/>
  <c r="H16" i="24"/>
  <c r="H9" i="24"/>
  <c r="H70" i="24"/>
  <c r="H50" i="24"/>
  <c r="H36" i="24"/>
  <c r="H19" i="24"/>
  <c r="H53" i="24"/>
  <c r="H72" i="24"/>
  <c r="H14" i="24"/>
  <c r="H68" i="24"/>
  <c r="H10" i="24"/>
  <c r="H31" i="24"/>
  <c r="H28" i="24"/>
  <c r="G8" i="25"/>
  <c r="G13" i="25" s="1"/>
  <c r="H71" i="24"/>
  <c r="H58" i="24"/>
  <c r="H35" i="24"/>
  <c r="H37" i="24"/>
  <c r="H26" i="24"/>
  <c r="H29" i="24"/>
  <c r="H8" i="24"/>
  <c r="H23" i="24"/>
  <c r="H6" i="24"/>
  <c r="H24" i="24"/>
  <c r="H59" i="24"/>
  <c r="H60" i="24"/>
  <c r="H11" i="24"/>
  <c r="C172" i="24"/>
  <c r="B143" i="54" s="1"/>
  <c r="H54" i="24"/>
  <c r="H51" i="24"/>
  <c r="H38" i="24"/>
  <c r="H27" i="24"/>
  <c r="H5" i="24"/>
  <c r="H34" i="24"/>
  <c r="H69" i="24"/>
  <c r="H12" i="24"/>
  <c r="F55" i="66"/>
  <c r="AA51" i="66"/>
  <c r="AB51" i="66" s="1"/>
  <c r="J55" i="66"/>
  <c r="L50" i="66"/>
  <c r="P55" i="66"/>
  <c r="R50" i="66"/>
  <c r="E86" i="15"/>
  <c r="E85" i="15"/>
  <c r="G45" i="24"/>
  <c r="H45" i="24" s="1"/>
  <c r="J39" i="54"/>
  <c r="L39" i="54" s="1"/>
  <c r="H41" i="12"/>
  <c r="H50" i="12" s="1"/>
  <c r="BI11" i="6"/>
  <c r="B68" i="6"/>
  <c r="C68" i="6" s="1"/>
  <c r="A69" i="6" s="1"/>
  <c r="AP8" i="5"/>
  <c r="AQ8" i="5" s="1"/>
  <c r="AR8" i="5" s="1"/>
  <c r="AS8" i="5" s="1"/>
  <c r="B102" i="63"/>
  <c r="A103" i="63"/>
  <c r="B103" i="63" s="1"/>
  <c r="B100" i="66"/>
  <c r="A101" i="66"/>
  <c r="AC21" i="33"/>
  <c r="AC23" i="33"/>
  <c r="AC27" i="33" s="1"/>
  <c r="H153" i="54" s="1"/>
  <c r="A70" i="42"/>
  <c r="B69" i="42"/>
  <c r="M99" i="68"/>
  <c r="C99" i="68"/>
  <c r="H111" i="48"/>
  <c r="K111" i="48"/>
  <c r="I111" i="48"/>
  <c r="J111" i="48" s="1"/>
  <c r="A102" i="67"/>
  <c r="B101" i="67"/>
  <c r="B100" i="68"/>
  <c r="A101" i="68"/>
  <c r="D113" i="48"/>
  <c r="G112" i="48"/>
  <c r="A100" i="69"/>
  <c r="B99" i="69"/>
  <c r="T35" i="28"/>
  <c r="C116" i="17"/>
  <c r="L116" i="17"/>
  <c r="AO12" i="33"/>
  <c r="AN12" i="33"/>
  <c r="AL12" i="33"/>
  <c r="AM12" i="33"/>
  <c r="D69" i="42"/>
  <c r="G68" i="42"/>
  <c r="I68" i="42" s="1"/>
  <c r="J68" i="42" s="1"/>
  <c r="N38" i="55"/>
  <c r="M40" i="55"/>
  <c r="M41" i="55" s="1"/>
  <c r="C68" i="42"/>
  <c r="L68" i="42"/>
  <c r="E9" i="26"/>
  <c r="F9" i="26"/>
  <c r="A105" i="14"/>
  <c r="B104" i="14"/>
  <c r="P33" i="55"/>
  <c r="O63" i="55"/>
  <c r="M99" i="66"/>
  <c r="C99" i="66"/>
  <c r="A118" i="17"/>
  <c r="B117" i="17"/>
  <c r="AL19" i="33"/>
  <c r="AM19" i="33"/>
  <c r="AO19" i="33"/>
  <c r="AN19" i="33"/>
  <c r="K67" i="42"/>
  <c r="M67" i="42"/>
  <c r="H67" i="42"/>
  <c r="C100" i="67"/>
  <c r="M100" i="67"/>
  <c r="AJ5" i="33"/>
  <c r="AH5" i="33"/>
  <c r="AG5" i="33"/>
  <c r="AI5" i="33"/>
  <c r="AI21" i="33" s="1"/>
  <c r="N55" i="55"/>
  <c r="M68" i="55"/>
  <c r="I109" i="48"/>
  <c r="J109" i="48" s="1"/>
  <c r="C103" i="14"/>
  <c r="L103" i="14"/>
  <c r="H110" i="48"/>
  <c r="K110" i="48"/>
  <c r="I110" i="48"/>
  <c r="J110" i="48" s="1"/>
  <c r="M98" i="69"/>
  <c r="C98" i="69"/>
  <c r="AE21" i="33"/>
  <c r="H193" i="54" s="1"/>
  <c r="H197" i="54" s="1"/>
  <c r="G34" i="25"/>
  <c r="F37" i="28"/>
  <c r="T37" i="28" s="1"/>
  <c r="BC13" i="5"/>
  <c r="BD13" i="5" s="1"/>
  <c r="BC17" i="5"/>
  <c r="BD17" i="5" s="1"/>
  <c r="AR17" i="5"/>
  <c r="AS17" i="5" s="1"/>
  <c r="AR5" i="5"/>
  <c r="BB11" i="58"/>
  <c r="BC11" i="58" s="1"/>
  <c r="AP12" i="5"/>
  <c r="AQ12" i="5" s="1"/>
  <c r="AO27" i="5"/>
  <c r="BB13" i="58"/>
  <c r="BC13" i="58" s="1"/>
  <c r="F54" i="10"/>
  <c r="D59" i="10"/>
  <c r="BJ11" i="6"/>
  <c r="BK11" i="6" s="1"/>
  <c r="BK21" i="6" s="1"/>
  <c r="BL6" i="6"/>
  <c r="BM6" i="6" s="1"/>
  <c r="BM13" i="58"/>
  <c r="BN13" i="58" s="1"/>
  <c r="BK5" i="58"/>
  <c r="BL5" i="58" s="1"/>
  <c r="Q30" i="9"/>
  <c r="S30" i="9" s="1"/>
  <c r="K31" i="9"/>
  <c r="M30" i="9"/>
  <c r="U30" i="9" s="1"/>
  <c r="A31" i="9" s="1"/>
  <c r="N97" i="68"/>
  <c r="AA97" i="68"/>
  <c r="J97" i="68"/>
  <c r="K97" i="68" s="1"/>
  <c r="L97" i="68"/>
  <c r="D55" i="68"/>
  <c r="AB50" i="68"/>
  <c r="D55" i="66"/>
  <c r="F60" i="22"/>
  <c r="BA22" i="5"/>
  <c r="BB22" i="5" s="1"/>
  <c r="I113" i="49"/>
  <c r="J113" i="49" s="1"/>
  <c r="K113" i="49"/>
  <c r="M113" i="49"/>
  <c r="H113" i="49"/>
  <c r="Q34" i="55"/>
  <c r="R26" i="9"/>
  <c r="L27" i="9"/>
  <c r="N26" i="9"/>
  <c r="V26" i="9" s="1"/>
  <c r="AZ5" i="5"/>
  <c r="N97" i="67"/>
  <c r="J97" i="67"/>
  <c r="K97" i="67" s="1"/>
  <c r="L97" i="67"/>
  <c r="AA97" i="67"/>
  <c r="N15" i="55"/>
  <c r="M26" i="55"/>
  <c r="AP22" i="5"/>
  <c r="AQ22" i="5" s="1"/>
  <c r="F54" i="11"/>
  <c r="D59" i="11"/>
  <c r="L70" i="55"/>
  <c r="M57" i="55"/>
  <c r="C103" i="10"/>
  <c r="L103" i="10"/>
  <c r="R75" i="25"/>
  <c r="R79" i="25" s="1"/>
  <c r="R60" i="25"/>
  <c r="BG19" i="58"/>
  <c r="BG21" i="58" s="1"/>
  <c r="BF21" i="58"/>
  <c r="S29" i="9"/>
  <c r="L64" i="55"/>
  <c r="L65" i="55" s="1"/>
  <c r="L27" i="55"/>
  <c r="L42" i="55" s="1"/>
  <c r="F59" i="17"/>
  <c r="F59" i="49"/>
  <c r="D99" i="68"/>
  <c r="G98" i="68"/>
  <c r="D55" i="67"/>
  <c r="AB50" i="67"/>
  <c r="D55" i="61"/>
  <c r="H71" i="38"/>
  <c r="J60" i="38"/>
  <c r="D55" i="69"/>
  <c r="AB50" i="69"/>
  <c r="R29" i="55"/>
  <c r="Q31" i="55"/>
  <c r="AX11" i="6"/>
  <c r="G114" i="49"/>
  <c r="D115" i="49"/>
  <c r="G97" i="69"/>
  <c r="D98" i="69"/>
  <c r="F59" i="48"/>
  <c r="G24" i="15"/>
  <c r="F65" i="15"/>
  <c r="G65" i="15" s="1"/>
  <c r="G22" i="15"/>
  <c r="G27" i="15"/>
  <c r="G29" i="15"/>
  <c r="G33" i="15"/>
  <c r="G28" i="15"/>
  <c r="F64" i="15"/>
  <c r="D69" i="15"/>
  <c r="G46" i="15"/>
  <c r="G32" i="15"/>
  <c r="G23" i="15"/>
  <c r="G31" i="15"/>
  <c r="G25" i="15"/>
  <c r="G30" i="15"/>
  <c r="G35" i="15"/>
  <c r="G26" i="15"/>
  <c r="G56" i="15"/>
  <c r="G37" i="15"/>
  <c r="G38" i="15"/>
  <c r="BI21" i="6"/>
  <c r="C178" i="24"/>
  <c r="B149" i="54" s="1"/>
  <c r="D149" i="54" s="1"/>
  <c r="F149" i="54" s="1"/>
  <c r="H149" i="54" s="1"/>
  <c r="J149" i="54" s="1"/>
  <c r="L149" i="54" s="1"/>
  <c r="BC5" i="58"/>
  <c r="D99" i="67"/>
  <c r="G98" i="67"/>
  <c r="C116" i="48"/>
  <c r="L116" i="48"/>
  <c r="AV19" i="58"/>
  <c r="AV21" i="58" s="1"/>
  <c r="AU21" i="58"/>
  <c r="H167" i="54"/>
  <c r="F249" i="54"/>
  <c r="BI11" i="58"/>
  <c r="F59" i="20"/>
  <c r="D97" i="10"/>
  <c r="D98" i="10"/>
  <c r="D96" i="10"/>
  <c r="D95" i="10"/>
  <c r="AN27" i="5"/>
  <c r="C70" i="26"/>
  <c r="D59" i="14"/>
  <c r="F54" i="14"/>
  <c r="F54" i="13"/>
  <c r="D59" i="13"/>
  <c r="F56" i="12"/>
  <c r="D61" i="12"/>
  <c r="F61" i="12" s="1"/>
  <c r="F63" i="12" s="1"/>
  <c r="D55" i="63"/>
  <c r="A105" i="10"/>
  <c r="B104" i="10"/>
  <c r="AM15" i="33"/>
  <c r="AO15" i="33"/>
  <c r="AL15" i="33"/>
  <c r="AN15" i="33"/>
  <c r="N96" i="69"/>
  <c r="L96" i="69"/>
  <c r="AA96" i="69"/>
  <c r="J96" i="69"/>
  <c r="K96" i="69" s="1"/>
  <c r="AL18" i="33"/>
  <c r="AM18" i="33"/>
  <c r="AO18" i="33"/>
  <c r="AN18" i="33"/>
  <c r="AY12" i="5"/>
  <c r="AZ12" i="5" s="1"/>
  <c r="D99" i="41"/>
  <c r="G98" i="41"/>
  <c r="B117" i="48"/>
  <c r="A118" i="48"/>
  <c r="E53" i="26"/>
  <c r="F53" i="26"/>
  <c r="Y36" i="66" l="1"/>
  <c r="AA35" i="69"/>
  <c r="X36" i="69"/>
  <c r="AA36" i="69"/>
  <c r="AH33" i="69"/>
  <c r="AB33" i="69"/>
  <c r="X63" i="66"/>
  <c r="Y63" i="66" s="1"/>
  <c r="Y23" i="66"/>
  <c r="Y30" i="66"/>
  <c r="Y22" i="66"/>
  <c r="V67" i="66"/>
  <c r="V69" i="66" s="1"/>
  <c r="W71" i="66" s="1"/>
  <c r="W73" i="66" s="1"/>
  <c r="X62" i="66"/>
  <c r="Y62" i="66" s="1"/>
  <c r="Y51" i="66"/>
  <c r="Y31" i="66"/>
  <c r="Y53" i="66"/>
  <c r="Y27" i="66"/>
  <c r="Y29" i="66"/>
  <c r="Y25" i="66"/>
  <c r="Y24" i="66"/>
  <c r="Y50" i="66"/>
  <c r="Y52" i="66"/>
  <c r="Y32" i="66"/>
  <c r="Y26" i="66"/>
  <c r="Y34" i="66"/>
  <c r="Y28" i="66"/>
  <c r="Y33" i="66"/>
  <c r="G46" i="24"/>
  <c r="L46" i="24" s="1"/>
  <c r="G17" i="25" s="1"/>
  <c r="AA36" i="66"/>
  <c r="G49" i="24" s="1"/>
  <c r="H39" i="11"/>
  <c r="H48" i="11" s="1"/>
  <c r="G44" i="24"/>
  <c r="H44" i="24" s="1"/>
  <c r="H39" i="13"/>
  <c r="H48" i="13" s="1"/>
  <c r="D98" i="11"/>
  <c r="D99" i="11" s="1"/>
  <c r="D95" i="11"/>
  <c r="J37" i="54"/>
  <c r="L37" i="54" s="1"/>
  <c r="D97" i="11"/>
  <c r="H39" i="10"/>
  <c r="H48" i="10" s="1"/>
  <c r="J41" i="54"/>
  <c r="P41" i="54" s="1"/>
  <c r="H39" i="14"/>
  <c r="H48" i="14" s="1"/>
  <c r="D96" i="14"/>
  <c r="D97" i="14"/>
  <c r="D98" i="14" s="1"/>
  <c r="AH33" i="61"/>
  <c r="AB33" i="61" s="1"/>
  <c r="D94" i="14"/>
  <c r="AN6" i="33"/>
  <c r="AL6" i="33"/>
  <c r="AM6" i="33"/>
  <c r="AO6" i="33"/>
  <c r="AO10" i="33"/>
  <c r="AM10" i="33"/>
  <c r="AN10" i="33"/>
  <c r="AL10" i="33"/>
  <c r="F64" i="64"/>
  <c r="E87" i="64" s="1"/>
  <c r="E85" i="64"/>
  <c r="F45" i="64"/>
  <c r="F54" i="64" s="1"/>
  <c r="J45" i="64"/>
  <c r="J54" i="64" s="1"/>
  <c r="J66" i="64" s="1"/>
  <c r="J68" i="64"/>
  <c r="I85" i="64"/>
  <c r="I88" i="64" s="1"/>
  <c r="J86" i="64" s="1"/>
  <c r="Q64" i="64"/>
  <c r="S64" i="64" s="1"/>
  <c r="P64" i="64"/>
  <c r="N45" i="64"/>
  <c r="N54" i="64" s="1"/>
  <c r="N66" i="64" s="1"/>
  <c r="M85" i="64"/>
  <c r="N68" i="64"/>
  <c r="G63" i="24"/>
  <c r="R44" i="64"/>
  <c r="P45" i="64"/>
  <c r="P54" i="64" s="1"/>
  <c r="S75" i="25"/>
  <c r="S79" i="25" s="1"/>
  <c r="J75" i="25"/>
  <c r="J79" i="25" s="1"/>
  <c r="M53" i="47"/>
  <c r="D53" i="47"/>
  <c r="H41" i="22"/>
  <c r="H50" i="22" s="1"/>
  <c r="H62" i="22" s="1"/>
  <c r="C64" i="24"/>
  <c r="G64" i="24" s="1"/>
  <c r="L64" i="24" s="1"/>
  <c r="H62" i="24"/>
  <c r="P60" i="53"/>
  <c r="P62" i="53" s="1"/>
  <c r="O69" i="25"/>
  <c r="O71" i="25" s="1"/>
  <c r="O75" i="25" s="1"/>
  <c r="O79" i="25" s="1"/>
  <c r="H75" i="25"/>
  <c r="H79" i="25" s="1"/>
  <c r="H58" i="25"/>
  <c r="I4" i="25" s="1"/>
  <c r="B53" i="47"/>
  <c r="I69" i="25"/>
  <c r="I71" i="25" s="1"/>
  <c r="I60" i="25" s="1"/>
  <c r="L75" i="25"/>
  <c r="L79" i="25" s="1"/>
  <c r="N69" i="25"/>
  <c r="N71" i="25" s="1"/>
  <c r="N75" i="25" s="1"/>
  <c r="N79" i="25" s="1"/>
  <c r="F53" i="47"/>
  <c r="H67" i="47"/>
  <c r="P69" i="25"/>
  <c r="P71" i="25" s="1"/>
  <c r="P60" i="25" s="1"/>
  <c r="K69" i="25"/>
  <c r="K71" i="25" s="1"/>
  <c r="K60" i="25" s="1"/>
  <c r="Q75" i="25"/>
  <c r="Q79" i="25" s="1"/>
  <c r="K53" i="47"/>
  <c r="M60" i="25"/>
  <c r="T56" i="25"/>
  <c r="H56" i="55" s="1"/>
  <c r="H58" i="55" s="1"/>
  <c r="H80" i="55" s="1"/>
  <c r="G53" i="47"/>
  <c r="L61" i="24"/>
  <c r="G20" i="25" s="1"/>
  <c r="J60" i="53"/>
  <c r="J64" i="53" s="1"/>
  <c r="K60" i="53" s="1"/>
  <c r="P49" i="54"/>
  <c r="L49" i="54"/>
  <c r="H82" i="38"/>
  <c r="J82" i="38" s="1"/>
  <c r="N60" i="53"/>
  <c r="N64" i="53" s="1"/>
  <c r="R57" i="53"/>
  <c r="F60" i="53"/>
  <c r="F62" i="53" s="1"/>
  <c r="AJ21" i="33"/>
  <c r="C101" i="41"/>
  <c r="L101" i="41"/>
  <c r="B102" i="41"/>
  <c r="A103" i="41"/>
  <c r="K94" i="41"/>
  <c r="I97" i="41"/>
  <c r="J97" i="41" s="1"/>
  <c r="M97" i="41"/>
  <c r="H94" i="41"/>
  <c r="H93" i="41"/>
  <c r="I94" i="41"/>
  <c r="J94" i="41" s="1"/>
  <c r="AO16" i="33"/>
  <c r="AN16" i="33"/>
  <c r="AL16" i="33"/>
  <c r="AM16" i="33"/>
  <c r="A121" i="49"/>
  <c r="B121" i="49" s="1"/>
  <c r="B120" i="49"/>
  <c r="L119" i="49"/>
  <c r="C119" i="49"/>
  <c r="AN17" i="33"/>
  <c r="AO17" i="33"/>
  <c r="AM17" i="33"/>
  <c r="AL17" i="33"/>
  <c r="AH23" i="33"/>
  <c r="AH27" i="33" s="1"/>
  <c r="J153" i="54" s="1"/>
  <c r="AO11" i="33"/>
  <c r="AL11" i="33"/>
  <c r="AN11" i="33"/>
  <c r="AM11" i="33"/>
  <c r="AN20" i="33"/>
  <c r="AM20" i="33"/>
  <c r="AL20" i="33"/>
  <c r="AO20" i="33"/>
  <c r="I96" i="41"/>
  <c r="J96" i="41" s="1"/>
  <c r="K97" i="41"/>
  <c r="H96" i="41"/>
  <c r="M96" i="41"/>
  <c r="K95" i="41"/>
  <c r="K96" i="41"/>
  <c r="I95" i="41"/>
  <c r="J95" i="41" s="1"/>
  <c r="P40" i="54"/>
  <c r="AM7" i="33"/>
  <c r="AM24" i="33" s="1"/>
  <c r="AM28" i="33" s="1"/>
  <c r="AL7" i="33"/>
  <c r="AN7" i="33"/>
  <c r="AN24" i="33" s="1"/>
  <c r="AN28" i="33" s="1"/>
  <c r="AO7" i="33"/>
  <c r="AO24" i="33" s="1"/>
  <c r="AO28" i="33" s="1"/>
  <c r="AJ24" i="33"/>
  <c r="AJ28" i="33" s="1"/>
  <c r="R6" i="55"/>
  <c r="Q13" i="55"/>
  <c r="AN9" i="33"/>
  <c r="AM9" i="33"/>
  <c r="AO9" i="33"/>
  <c r="AL9" i="33"/>
  <c r="AJ23" i="33"/>
  <c r="AJ27" i="33" s="1"/>
  <c r="J193" i="54" s="1"/>
  <c r="J197" i="54" s="1"/>
  <c r="AN8" i="33"/>
  <c r="AN25" i="33" s="1"/>
  <c r="AN29" i="33" s="1"/>
  <c r="AM8" i="33"/>
  <c r="AM25" i="33" s="1"/>
  <c r="AM29" i="33" s="1"/>
  <c r="AL8" i="33"/>
  <c r="AJ25" i="33"/>
  <c r="AJ29" i="33" s="1"/>
  <c r="AO8" i="33"/>
  <c r="AO25" i="33" s="1"/>
  <c r="AO29" i="33" s="1"/>
  <c r="D78" i="66"/>
  <c r="F37" i="66"/>
  <c r="F44" i="66" s="1"/>
  <c r="F57" i="66" s="1"/>
  <c r="F91" i="63"/>
  <c r="BJ21" i="6"/>
  <c r="F103" i="63"/>
  <c r="F98" i="63"/>
  <c r="F97" i="63"/>
  <c r="F101" i="63"/>
  <c r="F95" i="63"/>
  <c r="F99" i="63"/>
  <c r="F100" i="63"/>
  <c r="F92" i="63"/>
  <c r="F96" i="63"/>
  <c r="F94" i="63"/>
  <c r="F93" i="63"/>
  <c r="F55" i="61"/>
  <c r="D80" i="61" s="1"/>
  <c r="F98" i="61" s="1"/>
  <c r="AA50" i="61"/>
  <c r="L57" i="63"/>
  <c r="P81" i="63"/>
  <c r="P83" i="63" s="1"/>
  <c r="J81" i="63"/>
  <c r="J83" i="63" s="1"/>
  <c r="R57" i="63"/>
  <c r="R59" i="63"/>
  <c r="S26" i="63" s="1"/>
  <c r="L59" i="63"/>
  <c r="M36" i="63" s="1"/>
  <c r="AA50" i="63"/>
  <c r="F37" i="63"/>
  <c r="F44" i="63" s="1"/>
  <c r="F57" i="63" s="1"/>
  <c r="D78" i="63"/>
  <c r="F59" i="63"/>
  <c r="G36" i="63" s="1"/>
  <c r="G53" i="24"/>
  <c r="AA37" i="63"/>
  <c r="AA44" i="63" s="1"/>
  <c r="X59" i="63"/>
  <c r="X37" i="63"/>
  <c r="X44" i="63" s="1"/>
  <c r="X57" i="63" s="1"/>
  <c r="V78" i="63"/>
  <c r="V81" i="63" s="1"/>
  <c r="V83" i="63" s="1"/>
  <c r="C174" i="24"/>
  <c r="C176" i="24" s="1"/>
  <c r="H39" i="24"/>
  <c r="R55" i="66"/>
  <c r="D80" i="66"/>
  <c r="F59" i="66"/>
  <c r="L55" i="66"/>
  <c r="AA50" i="66"/>
  <c r="H47" i="24"/>
  <c r="G34" i="12"/>
  <c r="G35" i="12"/>
  <c r="G61" i="15"/>
  <c r="L45" i="24"/>
  <c r="G16" i="25" s="1"/>
  <c r="P39" i="54"/>
  <c r="L38" i="54"/>
  <c r="L43" i="24"/>
  <c r="B105" i="14"/>
  <c r="A106" i="14"/>
  <c r="B106" i="14" s="1"/>
  <c r="C99" i="69"/>
  <c r="M99" i="69"/>
  <c r="B101" i="68"/>
  <c r="A102" i="68"/>
  <c r="M101" i="67"/>
  <c r="C101" i="67"/>
  <c r="A71" i="42"/>
  <c r="B70" i="42"/>
  <c r="C117" i="17"/>
  <c r="L117" i="17"/>
  <c r="O38" i="55"/>
  <c r="N40" i="55"/>
  <c r="N41" i="55" s="1"/>
  <c r="A101" i="69"/>
  <c r="B100" i="69"/>
  <c r="C100" i="68"/>
  <c r="M100" i="68"/>
  <c r="A103" i="67"/>
  <c r="B103" i="67" s="1"/>
  <c r="B102" i="67"/>
  <c r="C100" i="66"/>
  <c r="M100" i="66"/>
  <c r="AI23" i="33"/>
  <c r="AI27" i="33" s="1"/>
  <c r="B118" i="17"/>
  <c r="A119" i="17"/>
  <c r="Q33" i="55"/>
  <c r="P63" i="55"/>
  <c r="H9" i="26"/>
  <c r="K9" i="26" s="1"/>
  <c r="N9" i="26" s="1"/>
  <c r="I9" i="26"/>
  <c r="M68" i="42"/>
  <c r="H68" i="42"/>
  <c r="K68" i="42"/>
  <c r="H112" i="48"/>
  <c r="I112" i="48"/>
  <c r="J112" i="48" s="1"/>
  <c r="K112" i="48"/>
  <c r="M112" i="48"/>
  <c r="M103" i="63"/>
  <c r="C103" i="63"/>
  <c r="B69" i="6"/>
  <c r="C69" i="6" s="1"/>
  <c r="A70" i="6" s="1"/>
  <c r="O55" i="55"/>
  <c r="N68" i="55"/>
  <c r="AL5" i="33"/>
  <c r="AO5" i="33"/>
  <c r="AM5" i="33"/>
  <c r="AN5" i="33"/>
  <c r="L104" i="14"/>
  <c r="C104" i="14"/>
  <c r="G9" i="26"/>
  <c r="D10" i="26" s="1"/>
  <c r="G69" i="42"/>
  <c r="I69" i="42" s="1"/>
  <c r="J69" i="42" s="1"/>
  <c r="D70" i="42"/>
  <c r="D114" i="48"/>
  <c r="G113" i="48"/>
  <c r="C69" i="42"/>
  <c r="L69" i="42"/>
  <c r="B101" i="66"/>
  <c r="A102" i="66"/>
  <c r="M102" i="63"/>
  <c r="C102" i="63"/>
  <c r="AW19" i="58"/>
  <c r="AX19" i="58" s="1"/>
  <c r="AX21" i="58" s="1"/>
  <c r="D115" i="17"/>
  <c r="AY27" i="5"/>
  <c r="BA12" i="5"/>
  <c r="BB12" i="5" s="1"/>
  <c r="AR12" i="5"/>
  <c r="AS12" i="5" s="1"/>
  <c r="AQ27" i="5"/>
  <c r="D116" i="49"/>
  <c r="G115" i="49"/>
  <c r="H54" i="11"/>
  <c r="H59" i="11" s="1"/>
  <c r="F59" i="11"/>
  <c r="BM5" i="58"/>
  <c r="BN5" i="58" s="1"/>
  <c r="K114" i="49"/>
  <c r="H114" i="49"/>
  <c r="M114" i="49"/>
  <c r="I114" i="49"/>
  <c r="J114" i="49" s="1"/>
  <c r="G99" i="68"/>
  <c r="D100" i="68"/>
  <c r="AR22" i="5"/>
  <c r="AS22" i="5" s="1"/>
  <c r="AZ27" i="5"/>
  <c r="BA5" i="5"/>
  <c r="L28" i="9"/>
  <c r="R27" i="9"/>
  <c r="T27" i="9" s="1"/>
  <c r="N27" i="9"/>
  <c r="V27" i="9" s="1"/>
  <c r="BC22" i="5"/>
  <c r="BD22" i="5" s="1"/>
  <c r="M31" i="9"/>
  <c r="U31" i="9" s="1"/>
  <c r="A32" i="9" s="1"/>
  <c r="K32" i="9"/>
  <c r="Q31" i="9"/>
  <c r="L117" i="48"/>
  <c r="C117" i="48"/>
  <c r="B105" i="10"/>
  <c r="A106" i="10"/>
  <c r="C71" i="26"/>
  <c r="AA97" i="69"/>
  <c r="L97" i="69"/>
  <c r="N97" i="69"/>
  <c r="J97" i="69"/>
  <c r="K97" i="69" s="1"/>
  <c r="AA98" i="68"/>
  <c r="N98" i="68"/>
  <c r="J98" i="68"/>
  <c r="K98" i="68" s="1"/>
  <c r="L98" i="68"/>
  <c r="E82" i="17"/>
  <c r="E83" i="17" s="1"/>
  <c r="E85" i="17" s="1"/>
  <c r="F63" i="17"/>
  <c r="G59" i="17" s="1"/>
  <c r="F61" i="17"/>
  <c r="N57" i="55"/>
  <c r="M70" i="55"/>
  <c r="E83" i="22"/>
  <c r="E84" i="22" s="1"/>
  <c r="E86" i="22" s="1"/>
  <c r="F64" i="22"/>
  <c r="G60" i="22" s="1"/>
  <c r="F62" i="22"/>
  <c r="BL11" i="6"/>
  <c r="BM11" i="6" s="1"/>
  <c r="BM21" i="6" s="1"/>
  <c r="I53" i="26"/>
  <c r="H53" i="26"/>
  <c r="K53" i="26" s="1"/>
  <c r="N53" i="26" s="1"/>
  <c r="D116" i="53"/>
  <c r="G53" i="26"/>
  <c r="I98" i="41"/>
  <c r="J98" i="41" s="1"/>
  <c r="K98" i="41"/>
  <c r="M98" i="41"/>
  <c r="H98" i="41"/>
  <c r="AP27" i="5"/>
  <c r="H54" i="13"/>
  <c r="H59" i="13" s="1"/>
  <c r="F59" i="13"/>
  <c r="F63" i="20"/>
  <c r="G59" i="20" s="1"/>
  <c r="E82" i="20"/>
  <c r="E83" i="20" s="1"/>
  <c r="E85" i="20" s="1"/>
  <c r="F61" i="20"/>
  <c r="J167" i="54"/>
  <c r="H249" i="54"/>
  <c r="D143" i="54"/>
  <c r="B145" i="54"/>
  <c r="B147" i="54" s="1"/>
  <c r="N98" i="67"/>
  <c r="L98" i="67"/>
  <c r="AA98" i="67"/>
  <c r="J98" i="67"/>
  <c r="K98" i="67" s="1"/>
  <c r="F63" i="48"/>
  <c r="E82" i="48"/>
  <c r="F61" i="48"/>
  <c r="R31" i="55"/>
  <c r="S29" i="55"/>
  <c r="M64" i="55"/>
  <c r="M65" i="55" s="1"/>
  <c r="M27" i="55"/>
  <c r="M42" i="55" s="1"/>
  <c r="T26" i="9"/>
  <c r="R34" i="55"/>
  <c r="AS5" i="5"/>
  <c r="H56" i="12"/>
  <c r="H61" i="12" s="1"/>
  <c r="H63" i="12" s="1"/>
  <c r="G64" i="15"/>
  <c r="G34" i="15"/>
  <c r="B118" i="48"/>
  <c r="A119" i="48"/>
  <c r="G99" i="41"/>
  <c r="D100" i="41"/>
  <c r="L104" i="10"/>
  <c r="C104" i="10"/>
  <c r="G59" i="12"/>
  <c r="E86" i="12"/>
  <c r="E87" i="12" s="1"/>
  <c r="E89" i="12" s="1"/>
  <c r="G58" i="12"/>
  <c r="F65" i="12"/>
  <c r="G56" i="12" s="1"/>
  <c r="H54" i="14"/>
  <c r="H59" i="14" s="1"/>
  <c r="F59" i="14"/>
  <c r="D99" i="10"/>
  <c r="BJ11" i="58"/>
  <c r="G99" i="67"/>
  <c r="D100" i="67"/>
  <c r="D71" i="15"/>
  <c r="E73" i="15" s="1"/>
  <c r="E75" i="15" s="1"/>
  <c r="E69" i="15"/>
  <c r="D99" i="69"/>
  <c r="G98" i="69"/>
  <c r="AY11" i="6"/>
  <c r="AY21" i="6" s="1"/>
  <c r="AX21" i="6"/>
  <c r="J71" i="38"/>
  <c r="E82" i="49"/>
  <c r="F63" i="49"/>
  <c r="G59" i="49" s="1"/>
  <c r="F61" i="49"/>
  <c r="BH19" i="58"/>
  <c r="O15" i="55"/>
  <c r="N26" i="55"/>
  <c r="F59" i="10"/>
  <c r="H54" i="10"/>
  <c r="H59" i="10" s="1"/>
  <c r="H46" i="24" l="1"/>
  <c r="V78" i="69"/>
  <c r="V81" i="69" s="1"/>
  <c r="V83" i="69" s="1"/>
  <c r="X59" i="69"/>
  <c r="X37" i="69"/>
  <c r="X44" i="69" s="1"/>
  <c r="X57" i="69" s="1"/>
  <c r="G50" i="24"/>
  <c r="L50" i="24" s="1"/>
  <c r="AA37" i="69"/>
  <c r="AA44" i="69" s="1"/>
  <c r="AA57" i="69" s="1"/>
  <c r="AA37" i="66"/>
  <c r="AA44" i="66" s="1"/>
  <c r="L41" i="54"/>
  <c r="P37" i="54"/>
  <c r="P138" i="54" s="1"/>
  <c r="Q139" i="54" s="1"/>
  <c r="J44" i="54"/>
  <c r="L44" i="54" s="1"/>
  <c r="H61" i="14"/>
  <c r="L44" i="24"/>
  <c r="G15" i="25" s="1"/>
  <c r="H61" i="11"/>
  <c r="H61" i="13"/>
  <c r="H61" i="10"/>
  <c r="F66" i="64"/>
  <c r="F68" i="64"/>
  <c r="G64" i="64" s="1"/>
  <c r="AN23" i="33"/>
  <c r="AN27" i="33" s="1"/>
  <c r="I90" i="64"/>
  <c r="E88" i="64"/>
  <c r="E90" i="64" s="1"/>
  <c r="J85" i="64"/>
  <c r="J88" i="64"/>
  <c r="J87" i="64"/>
  <c r="P66" i="64"/>
  <c r="O64" i="64"/>
  <c r="N71" i="64"/>
  <c r="N72" i="64"/>
  <c r="M76" i="64"/>
  <c r="M78" i="64" s="1"/>
  <c r="M80" i="64" s="1"/>
  <c r="O44" i="64"/>
  <c r="M88" i="64"/>
  <c r="N85" i="64" s="1"/>
  <c r="L63" i="24"/>
  <c r="G21" i="25" s="1"/>
  <c r="H63" i="24"/>
  <c r="J72" i="64"/>
  <c r="I76" i="64"/>
  <c r="I78" i="64" s="1"/>
  <c r="I80" i="64" s="1"/>
  <c r="J71" i="64"/>
  <c r="K44" i="64"/>
  <c r="K64" i="64"/>
  <c r="K67" i="47"/>
  <c r="B67" i="47"/>
  <c r="E67" i="47"/>
  <c r="I73" i="38"/>
  <c r="H64" i="24"/>
  <c r="G66" i="24"/>
  <c r="H66" i="24" s="1"/>
  <c r="I76" i="38"/>
  <c r="I61" i="38"/>
  <c r="I71" i="38"/>
  <c r="I80" i="38"/>
  <c r="I82" i="38"/>
  <c r="I60" i="38"/>
  <c r="I62" i="38"/>
  <c r="I70" i="38"/>
  <c r="I75" i="38"/>
  <c r="I63" i="38"/>
  <c r="I68" i="38"/>
  <c r="O60" i="25"/>
  <c r="H80" i="25"/>
  <c r="I4" i="55"/>
  <c r="K75" i="25"/>
  <c r="K79" i="25" s="1"/>
  <c r="H2" i="25"/>
  <c r="H1" i="25" s="1"/>
  <c r="H2" i="55"/>
  <c r="H1" i="55" s="1"/>
  <c r="I44" i="55"/>
  <c r="B70" i="47"/>
  <c r="I44" i="25"/>
  <c r="I58" i="25" s="1"/>
  <c r="C70" i="47" s="1"/>
  <c r="I83" i="53"/>
  <c r="I84" i="53" s="1"/>
  <c r="J83" i="53" s="1"/>
  <c r="J62" i="53"/>
  <c r="N62" i="53"/>
  <c r="I75" i="25"/>
  <c r="I79" i="25" s="1"/>
  <c r="H69" i="55"/>
  <c r="H71" i="55" s="1"/>
  <c r="H60" i="55" s="1"/>
  <c r="N60" i="25"/>
  <c r="P75" i="25"/>
  <c r="P79" i="25" s="1"/>
  <c r="I56" i="55"/>
  <c r="J56" i="55" s="1"/>
  <c r="K56" i="55" s="1"/>
  <c r="I77" i="38"/>
  <c r="I74" i="38"/>
  <c r="I78" i="38"/>
  <c r="I65" i="38"/>
  <c r="I69" i="38"/>
  <c r="I79" i="38"/>
  <c r="I67" i="38"/>
  <c r="I66" i="38"/>
  <c r="I64" i="38"/>
  <c r="F64" i="53"/>
  <c r="G60" i="53" s="1"/>
  <c r="E83" i="53"/>
  <c r="R60" i="53"/>
  <c r="M83" i="53"/>
  <c r="O60" i="53"/>
  <c r="K40" i="53"/>
  <c r="I72" i="53"/>
  <c r="I74" i="53" s="1"/>
  <c r="I76" i="53" s="1"/>
  <c r="J68" i="53"/>
  <c r="J67" i="53"/>
  <c r="AM21" i="33"/>
  <c r="AO23" i="33"/>
  <c r="AO27" i="33" s="1"/>
  <c r="L193" i="54" s="1"/>
  <c r="L197" i="54" s="1"/>
  <c r="A104" i="41"/>
  <c r="B103" i="41"/>
  <c r="L102" i="41"/>
  <c r="C102" i="41"/>
  <c r="C120" i="49"/>
  <c r="L120" i="49"/>
  <c r="L121" i="49"/>
  <c r="C121" i="49"/>
  <c r="AN21" i="33"/>
  <c r="S6" i="55"/>
  <c r="S13" i="55" s="1"/>
  <c r="R13" i="55"/>
  <c r="AO21" i="33"/>
  <c r="D93" i="66"/>
  <c r="D91" i="66"/>
  <c r="D94" i="66"/>
  <c r="D95" i="66" s="1"/>
  <c r="D96" i="66" s="1"/>
  <c r="D97" i="66" s="1"/>
  <c r="D98" i="66" s="1"/>
  <c r="D99" i="66" s="1"/>
  <c r="D100" i="66" s="1"/>
  <c r="D101" i="66" s="1"/>
  <c r="D92" i="66"/>
  <c r="BL21" i="6"/>
  <c r="F100" i="61"/>
  <c r="F102" i="61"/>
  <c r="F95" i="61"/>
  <c r="M23" i="63"/>
  <c r="F99" i="61"/>
  <c r="F94" i="61"/>
  <c r="F93" i="61"/>
  <c r="F96" i="61"/>
  <c r="F97" i="61"/>
  <c r="F103" i="61"/>
  <c r="F91" i="61"/>
  <c r="F92" i="61"/>
  <c r="F101" i="61"/>
  <c r="M31" i="63"/>
  <c r="M32" i="63"/>
  <c r="M52" i="63"/>
  <c r="M29" i="63"/>
  <c r="M27" i="63"/>
  <c r="M50" i="63"/>
  <c r="M30" i="63"/>
  <c r="J67" i="63"/>
  <c r="J69" i="63" s="1"/>
  <c r="K71" i="63" s="1"/>
  <c r="K73" i="63" s="1"/>
  <c r="M53" i="63"/>
  <c r="L62" i="63"/>
  <c r="M62" i="63" s="1"/>
  <c r="M35" i="63"/>
  <c r="M28" i="63"/>
  <c r="M25" i="63"/>
  <c r="M24" i="63"/>
  <c r="M33" i="63"/>
  <c r="S29" i="63"/>
  <c r="AA55" i="61"/>
  <c r="AB50" i="61"/>
  <c r="M34" i="63"/>
  <c r="M26" i="63"/>
  <c r="L63" i="63"/>
  <c r="M63" i="63" s="1"/>
  <c r="M51" i="63"/>
  <c r="M22" i="63"/>
  <c r="S30" i="63"/>
  <c r="S22" i="63"/>
  <c r="S36" i="63"/>
  <c r="S33" i="63"/>
  <c r="S50" i="63"/>
  <c r="S28" i="63"/>
  <c r="S51" i="63"/>
  <c r="P67" i="63"/>
  <c r="P69" i="63" s="1"/>
  <c r="Q71" i="63" s="1"/>
  <c r="Q73" i="63" s="1"/>
  <c r="S52" i="63"/>
  <c r="S23" i="63"/>
  <c r="S27" i="63"/>
  <c r="S25" i="63"/>
  <c r="R62" i="63"/>
  <c r="S62" i="63" s="1"/>
  <c r="S53" i="63"/>
  <c r="S24" i="63"/>
  <c r="S35" i="63"/>
  <c r="S34" i="63"/>
  <c r="S31" i="63"/>
  <c r="R63" i="63"/>
  <c r="S63" i="63" s="1"/>
  <c r="S32" i="63"/>
  <c r="AA55" i="63"/>
  <c r="AC10" i="63" s="1"/>
  <c r="AB50" i="63"/>
  <c r="G25" i="63"/>
  <c r="M42" i="63"/>
  <c r="G50" i="63"/>
  <c r="G24" i="63"/>
  <c r="F62" i="63"/>
  <c r="G62" i="63" s="1"/>
  <c r="G26" i="63"/>
  <c r="G27" i="63"/>
  <c r="Y42" i="63"/>
  <c r="D67" i="63"/>
  <c r="D69" i="63" s="1"/>
  <c r="E71" i="63" s="1"/>
  <c r="E73" i="63" s="1"/>
  <c r="S42" i="63"/>
  <c r="G42" i="63"/>
  <c r="G31" i="63"/>
  <c r="G28" i="63"/>
  <c r="G30" i="63"/>
  <c r="G22" i="63"/>
  <c r="G34" i="63"/>
  <c r="G32" i="63"/>
  <c r="G51" i="63"/>
  <c r="F63" i="63"/>
  <c r="G63" i="63" s="1"/>
  <c r="G29" i="63"/>
  <c r="G52" i="63"/>
  <c r="G53" i="63"/>
  <c r="G23" i="63"/>
  <c r="G33" i="63"/>
  <c r="G35" i="63"/>
  <c r="D93" i="63"/>
  <c r="G93" i="63" s="1"/>
  <c r="D91" i="63"/>
  <c r="G91" i="63" s="1"/>
  <c r="D94" i="63"/>
  <c r="D81" i="63"/>
  <c r="D83" i="63" s="1"/>
  <c r="D92" i="63"/>
  <c r="G92" i="63" s="1"/>
  <c r="Y36" i="63"/>
  <c r="Y32" i="63"/>
  <c r="X62" i="63"/>
  <c r="Y62" i="63" s="1"/>
  <c r="Y53" i="63"/>
  <c r="Y28" i="63"/>
  <c r="Y25" i="63"/>
  <c r="Y30" i="63"/>
  <c r="Y52" i="63"/>
  <c r="Y31" i="63"/>
  <c r="Y50" i="63"/>
  <c r="Y51" i="63"/>
  <c r="Y23" i="63"/>
  <c r="Y29" i="63"/>
  <c r="X63" i="63"/>
  <c r="Y63" i="63" s="1"/>
  <c r="Y27" i="63"/>
  <c r="Y34" i="63"/>
  <c r="Y24" i="63"/>
  <c r="V67" i="63"/>
  <c r="V69" i="63" s="1"/>
  <c r="W71" i="63" s="1"/>
  <c r="W73" i="63" s="1"/>
  <c r="Y22" i="63"/>
  <c r="Y26" i="63"/>
  <c r="Y33" i="63"/>
  <c r="Y35" i="63"/>
  <c r="L49" i="24"/>
  <c r="L53" i="24"/>
  <c r="H49" i="24"/>
  <c r="J80" i="66"/>
  <c r="J81" i="66" s="1"/>
  <c r="J83" i="66" s="1"/>
  <c r="L59" i="66"/>
  <c r="L57" i="66"/>
  <c r="P80" i="66"/>
  <c r="P81" i="66" s="1"/>
  <c r="P83" i="66" s="1"/>
  <c r="R59" i="66"/>
  <c r="R57" i="66"/>
  <c r="AA55" i="66"/>
  <c r="AB50" i="66"/>
  <c r="M42" i="66"/>
  <c r="F63" i="66"/>
  <c r="G63" i="66" s="1"/>
  <c r="S42" i="66"/>
  <c r="G30" i="66"/>
  <c r="G36" i="66"/>
  <c r="F62" i="66"/>
  <c r="G62" i="66" s="1"/>
  <c r="G26" i="66"/>
  <c r="G32" i="66"/>
  <c r="G53" i="66"/>
  <c r="G33" i="66"/>
  <c r="Y42" i="66"/>
  <c r="Y59" i="66" s="1"/>
  <c r="G29" i="66"/>
  <c r="G25" i="66"/>
  <c r="G24" i="66"/>
  <c r="G28" i="66"/>
  <c r="G23" i="66"/>
  <c r="G34" i="66"/>
  <c r="G27" i="66"/>
  <c r="G42" i="66"/>
  <c r="G35" i="66"/>
  <c r="D67" i="66"/>
  <c r="D69" i="66" s="1"/>
  <c r="E71" i="66" s="1"/>
  <c r="E73" i="66" s="1"/>
  <c r="G31" i="66"/>
  <c r="G22" i="66"/>
  <c r="G52" i="66"/>
  <c r="G51" i="66"/>
  <c r="G50" i="66"/>
  <c r="F95" i="66"/>
  <c r="F92" i="66"/>
  <c r="F96" i="66"/>
  <c r="F93" i="66"/>
  <c r="F94" i="66"/>
  <c r="F103" i="66"/>
  <c r="F100" i="66"/>
  <c r="F101" i="66"/>
  <c r="F99" i="66"/>
  <c r="F98" i="66"/>
  <c r="F97" i="66"/>
  <c r="F91" i="66"/>
  <c r="F102" i="66"/>
  <c r="D81" i="66"/>
  <c r="D83" i="66" s="1"/>
  <c r="J60" i="54"/>
  <c r="L80" i="54" s="1"/>
  <c r="C94" i="12"/>
  <c r="C101" i="12"/>
  <c r="AZ11" i="6"/>
  <c r="AZ21" i="6" s="1"/>
  <c r="AW21" i="58"/>
  <c r="B70" i="6"/>
  <c r="C70" i="6" s="1"/>
  <c r="A71" i="6" s="1"/>
  <c r="C101" i="66"/>
  <c r="M101" i="66"/>
  <c r="I113" i="48"/>
  <c r="J113" i="48" s="1"/>
  <c r="H113" i="48"/>
  <c r="M113" i="48"/>
  <c r="K113" i="48"/>
  <c r="C102" i="67"/>
  <c r="M102" i="67"/>
  <c r="M100" i="69"/>
  <c r="C100" i="69"/>
  <c r="G114" i="48"/>
  <c r="D115" i="48"/>
  <c r="C103" i="67"/>
  <c r="M103" i="67"/>
  <c r="A102" i="69"/>
  <c r="B101" i="69"/>
  <c r="C118" i="17"/>
  <c r="L118" i="17"/>
  <c r="G70" i="42"/>
  <c r="I70" i="42" s="1"/>
  <c r="J70" i="42" s="1"/>
  <c r="D71" i="42"/>
  <c r="E10" i="26"/>
  <c r="F10" i="26"/>
  <c r="P55" i="55"/>
  <c r="O68" i="55"/>
  <c r="R33" i="55"/>
  <c r="Q63" i="55"/>
  <c r="C70" i="42"/>
  <c r="L70" i="42"/>
  <c r="A103" i="68"/>
  <c r="B103" i="68" s="1"/>
  <c r="B102" i="68"/>
  <c r="C106" i="14"/>
  <c r="L106" i="14"/>
  <c r="BA27" i="5"/>
  <c r="B102" i="66"/>
  <c r="A103" i="66"/>
  <c r="B103" i="66" s="1"/>
  <c r="K69" i="42"/>
  <c r="M69" i="42"/>
  <c r="H69" i="42"/>
  <c r="AM23" i="33"/>
  <c r="AM27" i="33" s="1"/>
  <c r="L153" i="54" s="1"/>
  <c r="B119" i="17"/>
  <c r="A120" i="17"/>
  <c r="P38" i="55"/>
  <c r="O40" i="55"/>
  <c r="O41" i="55" s="1"/>
  <c r="B71" i="42"/>
  <c r="A72" i="42"/>
  <c r="B72" i="42" s="1"/>
  <c r="C101" i="68"/>
  <c r="M101" i="68"/>
  <c r="C105" i="14"/>
  <c r="L105" i="14"/>
  <c r="AY19" i="58"/>
  <c r="AZ19" i="58" s="1"/>
  <c r="AZ21" i="58" s="1"/>
  <c r="D116" i="17"/>
  <c r="F115" i="49"/>
  <c r="F121" i="49"/>
  <c r="F114" i="49"/>
  <c r="F111" i="49"/>
  <c r="F119" i="49"/>
  <c r="F109" i="49"/>
  <c r="F118" i="49"/>
  <c r="F117" i="49"/>
  <c r="F112" i="49"/>
  <c r="F113" i="49"/>
  <c r="F120" i="49"/>
  <c r="F110" i="49"/>
  <c r="F116" i="49"/>
  <c r="D100" i="69"/>
  <c r="G99" i="69"/>
  <c r="L99" i="67"/>
  <c r="N99" i="67"/>
  <c r="AA99" i="67"/>
  <c r="J99" i="67"/>
  <c r="K99" i="67" s="1"/>
  <c r="K99" i="41"/>
  <c r="M99" i="41"/>
  <c r="H99" i="41"/>
  <c r="I99" i="41"/>
  <c r="J99" i="41" s="1"/>
  <c r="S34" i="55"/>
  <c r="S31" i="55"/>
  <c r="T31" i="55" s="1"/>
  <c r="F116" i="48"/>
  <c r="F111" i="48"/>
  <c r="F121" i="48"/>
  <c r="F119" i="48"/>
  <c r="F109" i="48"/>
  <c r="F117" i="48"/>
  <c r="F112" i="48"/>
  <c r="F113" i="48"/>
  <c r="F118" i="48"/>
  <c r="F110" i="48"/>
  <c r="F114" i="48"/>
  <c r="F120" i="48"/>
  <c r="F115" i="48"/>
  <c r="C72" i="26"/>
  <c r="D100" i="10"/>
  <c r="G26" i="12"/>
  <c r="G25" i="12"/>
  <c r="G28" i="12"/>
  <c r="G27" i="12"/>
  <c r="G37" i="12"/>
  <c r="G48" i="12"/>
  <c r="G33" i="12"/>
  <c r="G31" i="12"/>
  <c r="G24" i="12"/>
  <c r="G32" i="12"/>
  <c r="G29" i="12"/>
  <c r="D73" i="12"/>
  <c r="D75" i="12" s="1"/>
  <c r="E77" i="12" s="1"/>
  <c r="E79" i="12" s="1"/>
  <c r="G60" i="12"/>
  <c r="G30" i="12"/>
  <c r="F69" i="12"/>
  <c r="G69" i="12" s="1"/>
  <c r="F68" i="12"/>
  <c r="G68" i="12" s="1"/>
  <c r="G36" i="12"/>
  <c r="G40" i="12"/>
  <c r="G57" i="12"/>
  <c r="G39" i="12"/>
  <c r="F67" i="48"/>
  <c r="D97" i="48"/>
  <c r="G35" i="48"/>
  <c r="G47" i="48"/>
  <c r="D100" i="48"/>
  <c r="D96" i="48"/>
  <c r="G31" i="48"/>
  <c r="G26" i="48"/>
  <c r="G25" i="48"/>
  <c r="D89" i="48"/>
  <c r="D93" i="48"/>
  <c r="G24" i="48"/>
  <c r="D92" i="48"/>
  <c r="D71" i="48"/>
  <c r="E73" i="48" s="1"/>
  <c r="G28" i="48"/>
  <c r="D91" i="48"/>
  <c r="G36" i="48"/>
  <c r="D95" i="48"/>
  <c r="D99" i="48"/>
  <c r="G23" i="48"/>
  <c r="G29" i="48"/>
  <c r="G32" i="48"/>
  <c r="G22" i="48"/>
  <c r="G30" i="48"/>
  <c r="G34" i="48"/>
  <c r="G33" i="48"/>
  <c r="D98" i="48"/>
  <c r="G39" i="48"/>
  <c r="G27" i="48"/>
  <c r="D94" i="48"/>
  <c r="D90" i="48"/>
  <c r="G38" i="48"/>
  <c r="G57" i="48"/>
  <c r="G37" i="48"/>
  <c r="G56" i="48"/>
  <c r="F66" i="48"/>
  <c r="G55" i="48"/>
  <c r="L167" i="54"/>
  <c r="L249" i="54" s="1"/>
  <c r="J249" i="54"/>
  <c r="D71" i="20"/>
  <c r="E73" i="20" s="1"/>
  <c r="E75" i="20" s="1"/>
  <c r="G26" i="20"/>
  <c r="F67" i="20"/>
  <c r="G35" i="20"/>
  <c r="G31" i="20"/>
  <c r="G27" i="20"/>
  <c r="G22" i="20"/>
  <c r="G23" i="20"/>
  <c r="G24" i="20"/>
  <c r="G28" i="20"/>
  <c r="G32" i="20"/>
  <c r="G25" i="20"/>
  <c r="G47" i="20"/>
  <c r="G34" i="20"/>
  <c r="G30" i="20"/>
  <c r="G33" i="20"/>
  <c r="G29" i="20"/>
  <c r="G39" i="20"/>
  <c r="G36" i="20"/>
  <c r="G38" i="20"/>
  <c r="G37" i="20"/>
  <c r="F66" i="20"/>
  <c r="G56" i="20"/>
  <c r="G57" i="20"/>
  <c r="G55" i="20"/>
  <c r="O57" i="55"/>
  <c r="N70" i="55"/>
  <c r="F109" i="17"/>
  <c r="G109" i="17" s="1"/>
  <c r="F111" i="17"/>
  <c r="G111" i="17" s="1"/>
  <c r="F114" i="17"/>
  <c r="G114" i="17" s="1"/>
  <c r="F121" i="17"/>
  <c r="F115" i="17"/>
  <c r="G115" i="17" s="1"/>
  <c r="F116" i="17"/>
  <c r="F118" i="17"/>
  <c r="F119" i="17"/>
  <c r="F113" i="17"/>
  <c r="G113" i="17" s="1"/>
  <c r="F110" i="17"/>
  <c r="G110" i="17" s="1"/>
  <c r="F120" i="17"/>
  <c r="F112" i="17"/>
  <c r="G112" i="17" s="1"/>
  <c r="F117" i="17"/>
  <c r="AR27" i="5"/>
  <c r="G100" i="68"/>
  <c r="D101" i="68"/>
  <c r="K115" i="49"/>
  <c r="I115" i="49"/>
  <c r="J115" i="49" s="1"/>
  <c r="H115" i="49"/>
  <c r="M115" i="49"/>
  <c r="BC12" i="5"/>
  <c r="BD12" i="5" s="1"/>
  <c r="BI19" i="58"/>
  <c r="BI21" i="58" s="1"/>
  <c r="BH21" i="58"/>
  <c r="BA11" i="6"/>
  <c r="BA21" i="6" s="1"/>
  <c r="BK11" i="58"/>
  <c r="BL11" i="58" s="1"/>
  <c r="N64" i="55"/>
  <c r="N65" i="55" s="1"/>
  <c r="N27" i="55"/>
  <c r="N42" i="55" s="1"/>
  <c r="E83" i="14"/>
  <c r="E84" i="14" s="1"/>
  <c r="E86" i="14" s="1"/>
  <c r="F63" i="14"/>
  <c r="F61" i="14"/>
  <c r="AS27" i="5"/>
  <c r="T29" i="55"/>
  <c r="E83" i="13"/>
  <c r="E84" i="13" s="1"/>
  <c r="E86" i="13" s="1"/>
  <c r="F63" i="13"/>
  <c r="F61" i="13"/>
  <c r="D117" i="53"/>
  <c r="D100" i="11"/>
  <c r="A107" i="10"/>
  <c r="B107" i="10" s="1"/>
  <c r="B106" i="10"/>
  <c r="S31" i="9"/>
  <c r="BB5" i="5"/>
  <c r="J99" i="68"/>
  <c r="K99" i="68" s="1"/>
  <c r="AA99" i="68"/>
  <c r="N99" i="68"/>
  <c r="L99" i="68"/>
  <c r="E84" i="11"/>
  <c r="E85" i="11" s="1"/>
  <c r="E87" i="11" s="1"/>
  <c r="F63" i="11"/>
  <c r="F61" i="11"/>
  <c r="G116" i="49"/>
  <c r="D117" i="49"/>
  <c r="L118" i="48"/>
  <c r="C118" i="48"/>
  <c r="E84" i="10"/>
  <c r="E85" i="10" s="1"/>
  <c r="E87" i="10" s="1"/>
  <c r="F63" i="10"/>
  <c r="F61" i="10"/>
  <c r="P15" i="55"/>
  <c r="O26" i="55"/>
  <c r="G34" i="49"/>
  <c r="G31" i="49"/>
  <c r="G30" i="49"/>
  <c r="D92" i="49"/>
  <c r="D99" i="49"/>
  <c r="D100" i="49"/>
  <c r="D90" i="49"/>
  <c r="G25" i="49"/>
  <c r="G36" i="49"/>
  <c r="G29" i="49"/>
  <c r="G23" i="49"/>
  <c r="G28" i="49"/>
  <c r="D89" i="49"/>
  <c r="D98" i="49"/>
  <c r="G22" i="49"/>
  <c r="G32" i="49"/>
  <c r="G33" i="49"/>
  <c r="D95" i="49"/>
  <c r="D93" i="49"/>
  <c r="D96" i="49"/>
  <c r="G27" i="49"/>
  <c r="F66" i="49"/>
  <c r="G37" i="49"/>
  <c r="G24" i="49"/>
  <c r="F67" i="49"/>
  <c r="D91" i="49"/>
  <c r="G35" i="49"/>
  <c r="D97" i="49"/>
  <c r="D71" i="49"/>
  <c r="E73" i="49" s="1"/>
  <c r="G26" i="49"/>
  <c r="G47" i="49"/>
  <c r="D94" i="49"/>
  <c r="G39" i="49"/>
  <c r="G38" i="49"/>
  <c r="G57" i="49"/>
  <c r="G56" i="49"/>
  <c r="G55" i="49"/>
  <c r="AA98" i="69"/>
  <c r="N98" i="69"/>
  <c r="J98" i="69"/>
  <c r="K98" i="69" s="1"/>
  <c r="L98" i="69"/>
  <c r="D101" i="67"/>
  <c r="G100" i="67"/>
  <c r="D101" i="41"/>
  <c r="G100" i="41"/>
  <c r="A120" i="48"/>
  <c r="B119" i="48"/>
  <c r="G59" i="48"/>
  <c r="F143" i="54"/>
  <c r="D145" i="54"/>
  <c r="D147" i="54" s="1"/>
  <c r="D54" i="26"/>
  <c r="G29" i="22"/>
  <c r="G25" i="22"/>
  <c r="G24" i="22"/>
  <c r="D72" i="22"/>
  <c r="E74" i="22" s="1"/>
  <c r="E76" i="22" s="1"/>
  <c r="G27" i="22"/>
  <c r="G35" i="22"/>
  <c r="F67" i="22"/>
  <c r="G33" i="22"/>
  <c r="F68" i="22"/>
  <c r="G34" i="22"/>
  <c r="G26" i="22"/>
  <c r="G23" i="22"/>
  <c r="G58" i="22"/>
  <c r="G38" i="22"/>
  <c r="G30" i="22"/>
  <c r="G31" i="22"/>
  <c r="G32" i="22"/>
  <c r="G28" i="22"/>
  <c r="G48" i="22"/>
  <c r="G57" i="22"/>
  <c r="G39" i="22"/>
  <c r="G37" i="22"/>
  <c r="G40" i="22"/>
  <c r="G56" i="22"/>
  <c r="G38" i="17"/>
  <c r="F67" i="17"/>
  <c r="H67" i="17" s="1"/>
  <c r="G35" i="17"/>
  <c r="G36" i="17"/>
  <c r="G27" i="17"/>
  <c r="D99" i="17"/>
  <c r="G28" i="17"/>
  <c r="D90" i="17"/>
  <c r="G39" i="17"/>
  <c r="G30" i="17"/>
  <c r="D71" i="17"/>
  <c r="E73" i="17" s="1"/>
  <c r="D96" i="17"/>
  <c r="G25" i="17"/>
  <c r="D93" i="17"/>
  <c r="D92" i="17"/>
  <c r="D91" i="17"/>
  <c r="G26" i="17"/>
  <c r="G33" i="17"/>
  <c r="G31" i="17"/>
  <c r="D94" i="17"/>
  <c r="G32" i="17"/>
  <c r="G24" i="17"/>
  <c r="H63" i="17"/>
  <c r="G23" i="17"/>
  <c r="D95" i="17"/>
  <c r="D97" i="17"/>
  <c r="G37" i="17"/>
  <c r="D100" i="17"/>
  <c r="G34" i="17"/>
  <c r="D98" i="17"/>
  <c r="G22" i="17"/>
  <c r="D89" i="17"/>
  <c r="G29" i="17"/>
  <c r="F66" i="17"/>
  <c r="H66" i="17" s="1"/>
  <c r="G47" i="17"/>
  <c r="G57" i="17"/>
  <c r="G56" i="17"/>
  <c r="G55" i="17"/>
  <c r="L105" i="10"/>
  <c r="C105" i="10"/>
  <c r="Q32" i="9"/>
  <c r="S32" i="9" s="1"/>
  <c r="K33" i="9"/>
  <c r="M32" i="9"/>
  <c r="U32" i="9" s="1"/>
  <c r="A33" i="9" s="1"/>
  <c r="N28" i="9"/>
  <c r="V28" i="9" s="1"/>
  <c r="R28" i="9"/>
  <c r="L29" i="9"/>
  <c r="D99" i="14"/>
  <c r="Y36" i="69" l="1"/>
  <c r="V67" i="69"/>
  <c r="V69" i="69" s="1"/>
  <c r="W71" i="69" s="1"/>
  <c r="W73" i="69" s="1"/>
  <c r="Y53" i="69"/>
  <c r="Y22" i="69"/>
  <c r="Y28" i="69"/>
  <c r="Y51" i="69"/>
  <c r="Y31" i="69"/>
  <c r="Y32" i="69"/>
  <c r="Y27" i="69"/>
  <c r="Y25" i="69"/>
  <c r="Y30" i="69"/>
  <c r="Y26" i="69"/>
  <c r="Y34" i="69"/>
  <c r="X63" i="69"/>
  <c r="Y63" i="69" s="1"/>
  <c r="Y23" i="69"/>
  <c r="Y24" i="69"/>
  <c r="Y50" i="69"/>
  <c r="Y52" i="69"/>
  <c r="X62" i="69"/>
  <c r="Y62" i="69" s="1"/>
  <c r="Y29" i="69"/>
  <c r="Y33" i="69"/>
  <c r="Y35" i="69"/>
  <c r="F85" i="64"/>
  <c r="G42" i="64"/>
  <c r="G34" i="64"/>
  <c r="O41" i="64"/>
  <c r="K32" i="64"/>
  <c r="K43" i="64"/>
  <c r="G29" i="64"/>
  <c r="K33" i="64"/>
  <c r="O42" i="64"/>
  <c r="G41" i="64"/>
  <c r="O39" i="64"/>
  <c r="O31" i="64"/>
  <c r="O29" i="64"/>
  <c r="G40" i="64"/>
  <c r="O38" i="64"/>
  <c r="G39" i="64"/>
  <c r="G30" i="64"/>
  <c r="K61" i="64"/>
  <c r="O43" i="64"/>
  <c r="G62" i="64"/>
  <c r="K40" i="64"/>
  <c r="G27" i="64"/>
  <c r="G33" i="64"/>
  <c r="K31" i="64"/>
  <c r="K34" i="64"/>
  <c r="G28" i="64"/>
  <c r="G31" i="64"/>
  <c r="K41" i="64"/>
  <c r="F72" i="64"/>
  <c r="K42" i="64"/>
  <c r="E76" i="64"/>
  <c r="F78" i="64" s="1"/>
  <c r="F80" i="64" s="1"/>
  <c r="K52" i="64"/>
  <c r="K68" i="64" s="1"/>
  <c r="G36" i="64"/>
  <c r="G44" i="64"/>
  <c r="K60" i="64"/>
  <c r="O61" i="64"/>
  <c r="O40" i="64"/>
  <c r="K62" i="64"/>
  <c r="G38" i="64"/>
  <c r="O34" i="64"/>
  <c r="K29" i="64"/>
  <c r="K35" i="64"/>
  <c r="O30" i="64"/>
  <c r="O33" i="64"/>
  <c r="G52" i="64"/>
  <c r="O27" i="64"/>
  <c r="O52" i="64"/>
  <c r="O68" i="64" s="1"/>
  <c r="O28" i="64"/>
  <c r="K38" i="64"/>
  <c r="K39" i="64"/>
  <c r="G61" i="64"/>
  <c r="G43" i="64"/>
  <c r="O60" i="64"/>
  <c r="G60" i="64"/>
  <c r="O62" i="64"/>
  <c r="K30" i="64"/>
  <c r="O36" i="64"/>
  <c r="G32" i="64"/>
  <c r="K27" i="64"/>
  <c r="K36" i="64"/>
  <c r="K28" i="64"/>
  <c r="O32" i="64"/>
  <c r="G37" i="64"/>
  <c r="O35" i="64"/>
  <c r="G35" i="64"/>
  <c r="O37" i="64"/>
  <c r="F71" i="64"/>
  <c r="K37" i="64"/>
  <c r="T6" i="55"/>
  <c r="F87" i="64"/>
  <c r="F86" i="64"/>
  <c r="F88" i="64"/>
  <c r="N86" i="64"/>
  <c r="M90" i="64"/>
  <c r="N88" i="64"/>
  <c r="N87" i="64"/>
  <c r="I2" i="25"/>
  <c r="I1" i="25" s="1"/>
  <c r="I80" i="25"/>
  <c r="J44" i="25"/>
  <c r="J58" i="25" s="1"/>
  <c r="K44" i="25" s="1"/>
  <c r="K58" i="25" s="1"/>
  <c r="E70" i="47" s="1"/>
  <c r="H75" i="55"/>
  <c r="H79" i="55" s="1"/>
  <c r="J4" i="25"/>
  <c r="J69" i="55"/>
  <c r="J71" i="55" s="1"/>
  <c r="J75" i="55" s="1"/>
  <c r="J79" i="55" s="1"/>
  <c r="I58" i="55"/>
  <c r="J44" i="55" s="1"/>
  <c r="J58" i="55" s="1"/>
  <c r="J2" i="55" s="1"/>
  <c r="J1" i="55" s="1"/>
  <c r="I69" i="55"/>
  <c r="I71" i="55" s="1"/>
  <c r="I60" i="55" s="1"/>
  <c r="M84" i="53"/>
  <c r="N83" i="53" s="1"/>
  <c r="F117" i="53"/>
  <c r="G117" i="53" s="1"/>
  <c r="F121" i="53"/>
  <c r="F113" i="53"/>
  <c r="G113" i="53" s="1"/>
  <c r="F110" i="53"/>
  <c r="G110" i="53" s="1"/>
  <c r="F118" i="53"/>
  <c r="F119" i="53"/>
  <c r="F115" i="53"/>
  <c r="G115" i="53" s="1"/>
  <c r="F111" i="53"/>
  <c r="G111" i="53" s="1"/>
  <c r="F114" i="53"/>
  <c r="G114" i="53" s="1"/>
  <c r="F122" i="53"/>
  <c r="F112" i="53"/>
  <c r="G112" i="53" s="1"/>
  <c r="F120" i="53"/>
  <c r="F116" i="53"/>
  <c r="G116" i="53" s="1"/>
  <c r="Q116" i="53" s="1"/>
  <c r="R116" i="53" s="1"/>
  <c r="E84" i="53"/>
  <c r="J82" i="53"/>
  <c r="J81" i="53"/>
  <c r="I86" i="53"/>
  <c r="J84" i="53"/>
  <c r="O40" i="53"/>
  <c r="M72" i="53"/>
  <c r="M74" i="53" s="1"/>
  <c r="M76" i="53" s="1"/>
  <c r="N67" i="53"/>
  <c r="N68" i="53"/>
  <c r="D95" i="53"/>
  <c r="G34" i="53"/>
  <c r="O25" i="53"/>
  <c r="K27" i="53"/>
  <c r="O31" i="53"/>
  <c r="K23" i="53"/>
  <c r="K26" i="53"/>
  <c r="K48" i="53"/>
  <c r="K64" i="53" s="1"/>
  <c r="K24" i="53"/>
  <c r="K38" i="53"/>
  <c r="G27" i="53"/>
  <c r="D99" i="53"/>
  <c r="O28" i="53"/>
  <c r="O39" i="53"/>
  <c r="O30" i="53"/>
  <c r="K34" i="53"/>
  <c r="G28" i="53"/>
  <c r="O58" i="53"/>
  <c r="O27" i="53"/>
  <c r="E72" i="53"/>
  <c r="F74" i="53" s="1"/>
  <c r="G31" i="53"/>
  <c r="O29" i="53"/>
  <c r="G23" i="53"/>
  <c r="O37" i="53"/>
  <c r="D100" i="53"/>
  <c r="O32" i="53"/>
  <c r="G32" i="53"/>
  <c r="G25" i="53"/>
  <c r="K39" i="53"/>
  <c r="O26" i="53"/>
  <c r="K31" i="53"/>
  <c r="D97" i="53"/>
  <c r="G39" i="53"/>
  <c r="G48" i="53"/>
  <c r="D93" i="53"/>
  <c r="O56" i="53"/>
  <c r="K25" i="53"/>
  <c r="O35" i="53"/>
  <c r="G58" i="53"/>
  <c r="G40" i="53"/>
  <c r="K32" i="53"/>
  <c r="O33" i="53"/>
  <c r="O34" i="53"/>
  <c r="G37" i="53"/>
  <c r="F67" i="53"/>
  <c r="K28" i="53"/>
  <c r="K37" i="53"/>
  <c r="G56" i="53"/>
  <c r="D101" i="53"/>
  <c r="D90" i="53"/>
  <c r="G33" i="53"/>
  <c r="D91" i="53"/>
  <c r="F68" i="53"/>
  <c r="O24" i="53"/>
  <c r="O38" i="53"/>
  <c r="D98" i="53"/>
  <c r="D92" i="53"/>
  <c r="G35" i="53"/>
  <c r="K33" i="53"/>
  <c r="K58" i="53"/>
  <c r="K35" i="53"/>
  <c r="K29" i="53"/>
  <c r="O36" i="53"/>
  <c r="G38" i="53"/>
  <c r="G36" i="53"/>
  <c r="K30" i="53"/>
  <c r="O57" i="53"/>
  <c r="G30" i="53"/>
  <c r="K57" i="53"/>
  <c r="K36" i="53"/>
  <c r="G24" i="53"/>
  <c r="D94" i="53"/>
  <c r="D96" i="53"/>
  <c r="O23" i="53"/>
  <c r="G26" i="53"/>
  <c r="K56" i="53"/>
  <c r="G57" i="53"/>
  <c r="G29" i="53"/>
  <c r="O48" i="53"/>
  <c r="C103" i="41"/>
  <c r="L103" i="41"/>
  <c r="B104" i="41"/>
  <c r="A105" i="41"/>
  <c r="B105" i="41" s="1"/>
  <c r="G64" i="22"/>
  <c r="G93" i="66"/>
  <c r="J93" i="66" s="1"/>
  <c r="K93" i="66" s="1"/>
  <c r="G99" i="66"/>
  <c r="J99" i="66" s="1"/>
  <c r="K99" i="66" s="1"/>
  <c r="G94" i="66"/>
  <c r="AA94" i="66" s="1"/>
  <c r="G95" i="66"/>
  <c r="G97" i="66"/>
  <c r="J97" i="66" s="1"/>
  <c r="K97" i="66" s="1"/>
  <c r="G100" i="66"/>
  <c r="G96" i="66"/>
  <c r="G98" i="66"/>
  <c r="AA98" i="66" s="1"/>
  <c r="G91" i="66"/>
  <c r="AA91" i="66" s="1"/>
  <c r="G92" i="66"/>
  <c r="J92" i="66" s="1"/>
  <c r="K92" i="66" s="1"/>
  <c r="AY21" i="58"/>
  <c r="M59" i="63"/>
  <c r="S59" i="63"/>
  <c r="M114" i="17"/>
  <c r="AA57" i="63"/>
  <c r="H114" i="17"/>
  <c r="H110" i="17"/>
  <c r="I110" i="17"/>
  <c r="J110" i="17" s="1"/>
  <c r="K110" i="17"/>
  <c r="K111" i="17"/>
  <c r="H111" i="17"/>
  <c r="I111" i="17"/>
  <c r="J111" i="17" s="1"/>
  <c r="K114" i="17"/>
  <c r="H113" i="17"/>
  <c r="I113" i="17"/>
  <c r="J113" i="17" s="1"/>
  <c r="M113" i="17"/>
  <c r="K113" i="17"/>
  <c r="H109" i="17"/>
  <c r="I109" i="17"/>
  <c r="J109" i="17" s="1"/>
  <c r="I114" i="17"/>
  <c r="J114" i="17" s="1"/>
  <c r="K112" i="17"/>
  <c r="M112" i="17"/>
  <c r="H112" i="17"/>
  <c r="I112" i="17"/>
  <c r="J112" i="17" s="1"/>
  <c r="L78" i="54"/>
  <c r="AA91" i="63"/>
  <c r="J91" i="63"/>
  <c r="K91" i="63" s="1"/>
  <c r="G59" i="63"/>
  <c r="J92" i="63"/>
  <c r="K92" i="63" s="1"/>
  <c r="AA92" i="63"/>
  <c r="L92" i="63"/>
  <c r="AA93" i="63"/>
  <c r="J93" i="63"/>
  <c r="K93" i="63" s="1"/>
  <c r="L93" i="63"/>
  <c r="D95" i="63"/>
  <c r="G94" i="63"/>
  <c r="Y59" i="63"/>
  <c r="D102" i="66"/>
  <c r="G101" i="66"/>
  <c r="AC10" i="66"/>
  <c r="AA57" i="66"/>
  <c r="G59" i="66"/>
  <c r="M32" i="66"/>
  <c r="M29" i="66"/>
  <c r="M34" i="66"/>
  <c r="M27" i="66"/>
  <c r="M24" i="66"/>
  <c r="M36" i="66"/>
  <c r="M53" i="66"/>
  <c r="L62" i="66"/>
  <c r="M62" i="66" s="1"/>
  <c r="M35" i="66"/>
  <c r="M22" i="66"/>
  <c r="M28" i="66"/>
  <c r="M25" i="66"/>
  <c r="M33" i="66"/>
  <c r="M23" i="66"/>
  <c r="J67" i="66"/>
  <c r="J69" i="66" s="1"/>
  <c r="K71" i="66" s="1"/>
  <c r="K73" i="66" s="1"/>
  <c r="L63" i="66"/>
  <c r="M63" i="66" s="1"/>
  <c r="M52" i="66"/>
  <c r="M26" i="66"/>
  <c r="M31" i="66"/>
  <c r="M30" i="66"/>
  <c r="M51" i="66"/>
  <c r="M50" i="66"/>
  <c r="S53" i="66"/>
  <c r="S28" i="66"/>
  <c r="S22" i="66"/>
  <c r="S23" i="66"/>
  <c r="S25" i="66"/>
  <c r="S36" i="66"/>
  <c r="S32" i="66"/>
  <c r="S27" i="66"/>
  <c r="S52" i="66"/>
  <c r="S30" i="66"/>
  <c r="S24" i="66"/>
  <c r="S31" i="66"/>
  <c r="S26" i="66"/>
  <c r="S29" i="66"/>
  <c r="S35" i="66"/>
  <c r="P67" i="66"/>
  <c r="P69" i="66" s="1"/>
  <c r="Q71" i="66" s="1"/>
  <c r="Q73" i="66" s="1"/>
  <c r="S34" i="66"/>
  <c r="R63" i="66"/>
  <c r="S63" i="66" s="1"/>
  <c r="S33" i="66"/>
  <c r="S51" i="66"/>
  <c r="R62" i="66"/>
  <c r="S62" i="66" s="1"/>
  <c r="S50" i="66"/>
  <c r="L95" i="54"/>
  <c r="L74" i="54"/>
  <c r="G33" i="14"/>
  <c r="G32" i="14"/>
  <c r="G33" i="13"/>
  <c r="G32" i="13"/>
  <c r="L69" i="54"/>
  <c r="L77" i="54"/>
  <c r="G32" i="11"/>
  <c r="G33" i="11"/>
  <c r="J62" i="54"/>
  <c r="L62" i="54" s="1"/>
  <c r="L71" i="54"/>
  <c r="G33" i="10"/>
  <c r="G32" i="10"/>
  <c r="L136" i="54"/>
  <c r="L60" i="54"/>
  <c r="L67" i="54"/>
  <c r="L65" i="54"/>
  <c r="L117" i="54"/>
  <c r="L76" i="54"/>
  <c r="L75" i="54"/>
  <c r="L73" i="54"/>
  <c r="L68" i="54"/>
  <c r="L79" i="54"/>
  <c r="L106" i="54"/>
  <c r="L72" i="54"/>
  <c r="L64" i="54"/>
  <c r="L126" i="54"/>
  <c r="L66" i="54"/>
  <c r="BB11" i="6"/>
  <c r="BB21" i="6" s="1"/>
  <c r="B71" i="6"/>
  <c r="C71" i="6" s="1"/>
  <c r="A72" i="6" s="1"/>
  <c r="B72" i="6" s="1"/>
  <c r="C72" i="6" s="1"/>
  <c r="A73" i="6" s="1"/>
  <c r="B73" i="6" s="1"/>
  <c r="C73" i="6" s="1"/>
  <c r="A74" i="6" s="1"/>
  <c r="B74" i="6" s="1"/>
  <c r="C74" i="6" s="1"/>
  <c r="A75" i="6" s="1"/>
  <c r="B75" i="6" s="1"/>
  <c r="C75" i="6" s="1"/>
  <c r="A76" i="6" s="1"/>
  <c r="M103" i="66"/>
  <c r="C103" i="66"/>
  <c r="I10" i="26"/>
  <c r="H10" i="26"/>
  <c r="Q38" i="55"/>
  <c r="P40" i="55"/>
  <c r="P41" i="55" s="1"/>
  <c r="M102" i="66"/>
  <c r="C102" i="66"/>
  <c r="M102" i="68"/>
  <c r="C102" i="68"/>
  <c r="G10" i="26"/>
  <c r="D11" i="26" s="1"/>
  <c r="K10" i="26"/>
  <c r="N10" i="26" s="1"/>
  <c r="C72" i="42"/>
  <c r="L72" i="42"/>
  <c r="A121" i="17"/>
  <c r="B121" i="17" s="1"/>
  <c r="B120" i="17"/>
  <c r="C103" i="68"/>
  <c r="M103" i="68"/>
  <c r="Q55" i="55"/>
  <c r="P68" i="55"/>
  <c r="G71" i="42"/>
  <c r="D72" i="42"/>
  <c r="G72" i="42" s="1"/>
  <c r="M101" i="69"/>
  <c r="C101" i="69"/>
  <c r="G115" i="48"/>
  <c r="D116" i="48"/>
  <c r="C71" i="42"/>
  <c r="L71" i="42"/>
  <c r="I71" i="42"/>
  <c r="J71" i="42" s="1"/>
  <c r="C119" i="17"/>
  <c r="L119" i="17"/>
  <c r="S33" i="55"/>
  <c r="S63" i="55" s="1"/>
  <c r="R63" i="55"/>
  <c r="K70" i="42"/>
  <c r="H70" i="42"/>
  <c r="M70" i="42"/>
  <c r="A103" i="69"/>
  <c r="B103" i="69" s="1"/>
  <c r="B102" i="69"/>
  <c r="I114" i="48"/>
  <c r="J114" i="48" s="1"/>
  <c r="H114" i="48"/>
  <c r="K114" i="48"/>
  <c r="M114" i="48"/>
  <c r="BA19" i="58"/>
  <c r="BA21" i="58" s="1"/>
  <c r="G65" i="12"/>
  <c r="BJ19" i="58"/>
  <c r="BJ21" i="58" s="1"/>
  <c r="K115" i="17"/>
  <c r="M115" i="17"/>
  <c r="I115" i="17"/>
  <c r="J115" i="17" s="1"/>
  <c r="H115" i="17"/>
  <c r="D117" i="17"/>
  <c r="G116" i="17"/>
  <c r="G63" i="20"/>
  <c r="G63" i="17"/>
  <c r="F96" i="11"/>
  <c r="G96" i="11" s="1"/>
  <c r="F102" i="11"/>
  <c r="F98" i="11"/>
  <c r="G98" i="11" s="1"/>
  <c r="F100" i="11"/>
  <c r="G100" i="11" s="1"/>
  <c r="F97" i="11"/>
  <c r="G97" i="11" s="1"/>
  <c r="F101" i="11"/>
  <c r="F103" i="11"/>
  <c r="F99" i="11"/>
  <c r="G99" i="11" s="1"/>
  <c r="H99" i="11" s="1"/>
  <c r="F106" i="11"/>
  <c r="F95" i="11"/>
  <c r="G95" i="11" s="1"/>
  <c r="F105" i="11"/>
  <c r="F104" i="11"/>
  <c r="F107" i="11"/>
  <c r="D101" i="10"/>
  <c r="C119" i="48"/>
  <c r="L119" i="48"/>
  <c r="G101" i="67"/>
  <c r="D102" i="67"/>
  <c r="K116" i="49"/>
  <c r="I116" i="49"/>
  <c r="J116" i="49" s="1"/>
  <c r="H116" i="49"/>
  <c r="M116" i="49"/>
  <c r="BB27" i="5"/>
  <c r="BC5" i="5"/>
  <c r="BC27" i="5" s="1"/>
  <c r="D101" i="11"/>
  <c r="BM11" i="58"/>
  <c r="BN11" i="58" s="1"/>
  <c r="G63" i="48"/>
  <c r="C102" i="12"/>
  <c r="C95" i="12"/>
  <c r="AA99" i="69"/>
  <c r="N99" i="69"/>
  <c r="L99" i="69"/>
  <c r="J99" i="69"/>
  <c r="K99" i="69" s="1"/>
  <c r="D102" i="41"/>
  <c r="G101" i="41"/>
  <c r="O70" i="55"/>
  <c r="P57" i="55"/>
  <c r="L30" i="9"/>
  <c r="R29" i="9"/>
  <c r="N29" i="9"/>
  <c r="V29" i="9" s="1"/>
  <c r="G63" i="49"/>
  <c r="E94" i="49"/>
  <c r="F94" i="49" s="1"/>
  <c r="G94" i="49" s="1"/>
  <c r="E90" i="49"/>
  <c r="F90" i="49" s="1"/>
  <c r="G90" i="49" s="1"/>
  <c r="E75" i="49"/>
  <c r="E92" i="49"/>
  <c r="F92" i="49" s="1"/>
  <c r="G92" i="49" s="1"/>
  <c r="E89" i="49"/>
  <c r="F89" i="49" s="1"/>
  <c r="E97" i="49"/>
  <c r="F97" i="49" s="1"/>
  <c r="G97" i="49" s="1"/>
  <c r="E95" i="49"/>
  <c r="F95" i="49" s="1"/>
  <c r="G95" i="49" s="1"/>
  <c r="E93" i="49"/>
  <c r="F93" i="49" s="1"/>
  <c r="G93" i="49" s="1"/>
  <c r="E100" i="49"/>
  <c r="F100" i="49" s="1"/>
  <c r="G100" i="49" s="1"/>
  <c r="E96" i="49"/>
  <c r="F96" i="49" s="1"/>
  <c r="G96" i="49" s="1"/>
  <c r="E99" i="49"/>
  <c r="F99" i="49" s="1"/>
  <c r="G99" i="49" s="1"/>
  <c r="E98" i="49"/>
  <c r="F98" i="49" s="1"/>
  <c r="G98" i="49" s="1"/>
  <c r="E91" i="49"/>
  <c r="F91" i="49" s="1"/>
  <c r="G91" i="49" s="1"/>
  <c r="G57" i="10"/>
  <c r="G28" i="10"/>
  <c r="G46" i="10"/>
  <c r="G22" i="10"/>
  <c r="D71" i="10"/>
  <c r="D73" i="10" s="1"/>
  <c r="E75" i="10" s="1"/>
  <c r="E77" i="10" s="1"/>
  <c r="G25" i="10"/>
  <c r="G31" i="10"/>
  <c r="G23" i="10"/>
  <c r="G35" i="10"/>
  <c r="G27" i="10"/>
  <c r="G26" i="10"/>
  <c r="G24" i="10"/>
  <c r="G30" i="10"/>
  <c r="G29" i="10"/>
  <c r="F67" i="10"/>
  <c r="G67" i="10" s="1"/>
  <c r="F66" i="10"/>
  <c r="G66" i="10" s="1"/>
  <c r="G34" i="10"/>
  <c r="G56" i="10"/>
  <c r="G55" i="10"/>
  <c r="G38" i="10"/>
  <c r="G37" i="10"/>
  <c r="G54" i="10"/>
  <c r="L106" i="10"/>
  <c r="C106" i="10"/>
  <c r="D118" i="53"/>
  <c r="G23" i="13"/>
  <c r="G22" i="13"/>
  <c r="G28" i="13"/>
  <c r="G31" i="13"/>
  <c r="D71" i="13"/>
  <c r="D73" i="13" s="1"/>
  <c r="E75" i="13" s="1"/>
  <c r="E77" i="13" s="1"/>
  <c r="G29" i="13"/>
  <c r="G25" i="13"/>
  <c r="G30" i="13"/>
  <c r="G26" i="13"/>
  <c r="G35" i="13"/>
  <c r="G24" i="13"/>
  <c r="G46" i="13"/>
  <c r="G27" i="13"/>
  <c r="F66" i="13"/>
  <c r="G66" i="13" s="1"/>
  <c r="F67" i="13"/>
  <c r="G67" i="13" s="1"/>
  <c r="G57" i="13"/>
  <c r="G56" i="13"/>
  <c r="G37" i="13"/>
  <c r="G38" i="13"/>
  <c r="G55" i="13"/>
  <c r="G54" i="13"/>
  <c r="G31" i="14"/>
  <c r="G24" i="14"/>
  <c r="G25" i="14"/>
  <c r="G30" i="14"/>
  <c r="G57" i="14"/>
  <c r="G29" i="14"/>
  <c r="F67" i="14"/>
  <c r="G67" i="14" s="1"/>
  <c r="G26" i="14"/>
  <c r="G35" i="14"/>
  <c r="G22" i="14"/>
  <c r="D71" i="14"/>
  <c r="D73" i="14" s="1"/>
  <c r="E75" i="14" s="1"/>
  <c r="E77" i="14" s="1"/>
  <c r="G28" i="14"/>
  <c r="F66" i="14"/>
  <c r="G66" i="14" s="1"/>
  <c r="G23" i="14"/>
  <c r="G27" i="14"/>
  <c r="G46" i="14"/>
  <c r="G34" i="14"/>
  <c r="G56" i="14"/>
  <c r="G37" i="14"/>
  <c r="G55" i="14"/>
  <c r="G38" i="14"/>
  <c r="G54" i="14"/>
  <c r="C73" i="26"/>
  <c r="T34" i="55"/>
  <c r="G100" i="69"/>
  <c r="D101" i="69"/>
  <c r="D100" i="14"/>
  <c r="F54" i="26"/>
  <c r="E54" i="26"/>
  <c r="AA100" i="67"/>
  <c r="N100" i="67"/>
  <c r="L100" i="67"/>
  <c r="J100" i="67"/>
  <c r="K100" i="67" s="1"/>
  <c r="Q15" i="55"/>
  <c r="P26" i="55"/>
  <c r="G117" i="49"/>
  <c r="D118" i="49"/>
  <c r="N100" i="68"/>
  <c r="L100" i="68"/>
  <c r="AA100" i="68"/>
  <c r="J100" i="68"/>
  <c r="K100" i="68" s="1"/>
  <c r="Q33" i="9"/>
  <c r="M33" i="9"/>
  <c r="U33" i="9" s="1"/>
  <c r="A34" i="9" s="1"/>
  <c r="K34" i="9"/>
  <c r="E94" i="17"/>
  <c r="F94" i="17" s="1"/>
  <c r="G94" i="17" s="1"/>
  <c r="E90" i="17"/>
  <c r="F90" i="17" s="1"/>
  <c r="G90" i="17" s="1"/>
  <c r="E100" i="17"/>
  <c r="F100" i="17" s="1"/>
  <c r="G100" i="17" s="1"/>
  <c r="E96" i="17"/>
  <c r="F96" i="17" s="1"/>
  <c r="G96" i="17" s="1"/>
  <c r="E97" i="17"/>
  <c r="F97" i="17" s="1"/>
  <c r="G97" i="17" s="1"/>
  <c r="E91" i="17"/>
  <c r="F91" i="17" s="1"/>
  <c r="G91" i="17" s="1"/>
  <c r="E75" i="17"/>
  <c r="E93" i="17"/>
  <c r="F93" i="17" s="1"/>
  <c r="G93" i="17" s="1"/>
  <c r="E95" i="17"/>
  <c r="F95" i="17" s="1"/>
  <c r="G95" i="17" s="1"/>
  <c r="E89" i="17"/>
  <c r="F89" i="17" s="1"/>
  <c r="E99" i="17"/>
  <c r="F99" i="17" s="1"/>
  <c r="G99" i="17" s="1"/>
  <c r="E98" i="17"/>
  <c r="F98" i="17" s="1"/>
  <c r="G98" i="17" s="1"/>
  <c r="E92" i="17"/>
  <c r="F92" i="17" s="1"/>
  <c r="G92" i="17" s="1"/>
  <c r="A121" i="48"/>
  <c r="B120" i="48"/>
  <c r="T28" i="9"/>
  <c r="H143" i="54"/>
  <c r="F145" i="54"/>
  <c r="F147" i="54" s="1"/>
  <c r="M100" i="41"/>
  <c r="K100" i="41"/>
  <c r="H100" i="41"/>
  <c r="I100" i="41"/>
  <c r="J100" i="41" s="1"/>
  <c r="K69" i="55"/>
  <c r="K71" i="55" s="1"/>
  <c r="L56" i="55"/>
  <c r="O64" i="55"/>
  <c r="O65" i="55" s="1"/>
  <c r="O27" i="55"/>
  <c r="O42" i="55" s="1"/>
  <c r="F103" i="10"/>
  <c r="F102" i="10"/>
  <c r="F96" i="10"/>
  <c r="G96" i="10" s="1"/>
  <c r="F107" i="10"/>
  <c r="F104" i="10"/>
  <c r="F101" i="10"/>
  <c r="F97" i="10"/>
  <c r="G97" i="10" s="1"/>
  <c r="F99" i="10"/>
  <c r="G99" i="10" s="1"/>
  <c r="I99" i="10" s="1"/>
  <c r="J99" i="10" s="1"/>
  <c r="F106" i="10"/>
  <c r="F95" i="10"/>
  <c r="G95" i="10" s="1"/>
  <c r="F100" i="10"/>
  <c r="G100" i="10" s="1"/>
  <c r="F98" i="10"/>
  <c r="G98" i="10" s="1"/>
  <c r="F105" i="10"/>
  <c r="G24" i="11"/>
  <c r="G26" i="11"/>
  <c r="G31" i="11"/>
  <c r="G23" i="11"/>
  <c r="G46" i="11"/>
  <c r="G30" i="11"/>
  <c r="G35" i="11"/>
  <c r="G22" i="11"/>
  <c r="G25" i="11"/>
  <c r="F67" i="11"/>
  <c r="G67" i="11" s="1"/>
  <c r="G27" i="11"/>
  <c r="F66" i="11"/>
  <c r="G66" i="11" s="1"/>
  <c r="G28" i="11"/>
  <c r="G57" i="11"/>
  <c r="D71" i="11"/>
  <c r="D73" i="11" s="1"/>
  <c r="E75" i="11" s="1"/>
  <c r="E77" i="11" s="1"/>
  <c r="G29" i="11"/>
  <c r="G34" i="11"/>
  <c r="G56" i="11"/>
  <c r="G37" i="11"/>
  <c r="G38" i="11"/>
  <c r="G55" i="11"/>
  <c r="G54" i="11"/>
  <c r="T29" i="9"/>
  <c r="S33" i="9"/>
  <c r="C107" i="10"/>
  <c r="L107" i="10"/>
  <c r="F99" i="14"/>
  <c r="G99" i="14" s="1"/>
  <c r="F97" i="14"/>
  <c r="G97" i="14" s="1"/>
  <c r="F106" i="14"/>
  <c r="F103" i="14"/>
  <c r="F104" i="14"/>
  <c r="F102" i="14"/>
  <c r="F100" i="14"/>
  <c r="F95" i="14"/>
  <c r="G95" i="14" s="1"/>
  <c r="F101" i="14"/>
  <c r="F105" i="14"/>
  <c r="F94" i="14"/>
  <c r="G94" i="14" s="1"/>
  <c r="F96" i="14"/>
  <c r="G96" i="14" s="1"/>
  <c r="F98" i="14"/>
  <c r="G98" i="14" s="1"/>
  <c r="D102" i="68"/>
  <c r="G101" i="68"/>
  <c r="E97" i="48"/>
  <c r="F97" i="48" s="1"/>
  <c r="G97" i="48" s="1"/>
  <c r="E75" i="48"/>
  <c r="E100" i="48"/>
  <c r="F100" i="48" s="1"/>
  <c r="G100" i="48" s="1"/>
  <c r="E98" i="48"/>
  <c r="F98" i="48" s="1"/>
  <c r="G98" i="48" s="1"/>
  <c r="E91" i="48"/>
  <c r="F91" i="48" s="1"/>
  <c r="G91" i="48" s="1"/>
  <c r="E99" i="48"/>
  <c r="F99" i="48" s="1"/>
  <c r="G99" i="48" s="1"/>
  <c r="E95" i="48"/>
  <c r="F95" i="48" s="1"/>
  <c r="G95" i="48" s="1"/>
  <c r="E96" i="48"/>
  <c r="F96" i="48" s="1"/>
  <c r="G96" i="48" s="1"/>
  <c r="E89" i="48"/>
  <c r="F89" i="48" s="1"/>
  <c r="E92" i="48"/>
  <c r="F92" i="48" s="1"/>
  <c r="G92" i="48" s="1"/>
  <c r="E93" i="48"/>
  <c r="F93" i="48" s="1"/>
  <c r="G93" i="48" s="1"/>
  <c r="E94" i="48"/>
  <c r="F94" i="48" s="1"/>
  <c r="G94" i="48" s="1"/>
  <c r="E90" i="48"/>
  <c r="F90" i="48" s="1"/>
  <c r="G90" i="48" s="1"/>
  <c r="Y59" i="69" l="1"/>
  <c r="J80" i="25"/>
  <c r="G68" i="64"/>
  <c r="AA99" i="66"/>
  <c r="J60" i="55"/>
  <c r="L44" i="25"/>
  <c r="L58" i="25" s="1"/>
  <c r="L2" i="25" s="1"/>
  <c r="L1" i="25" s="1"/>
  <c r="L4" i="25"/>
  <c r="J2" i="25"/>
  <c r="J1" i="25" s="1"/>
  <c r="K2" i="25"/>
  <c r="K1" i="25" s="1"/>
  <c r="D70" i="47"/>
  <c r="B69" i="47" s="1"/>
  <c r="K80" i="25"/>
  <c r="K4" i="25"/>
  <c r="K4" i="55"/>
  <c r="I2" i="55"/>
  <c r="I1" i="55" s="1"/>
  <c r="K44" i="55"/>
  <c r="K58" i="55" s="1"/>
  <c r="K80" i="55" s="1"/>
  <c r="I80" i="55"/>
  <c r="J80" i="55"/>
  <c r="J4" i="55"/>
  <c r="I75" i="55"/>
  <c r="I79" i="55" s="1"/>
  <c r="P116" i="53"/>
  <c r="U116" i="53"/>
  <c r="G64" i="53"/>
  <c r="S116" i="53"/>
  <c r="O64" i="53"/>
  <c r="S114" i="53"/>
  <c r="P114" i="53"/>
  <c r="U114" i="53"/>
  <c r="Q114" i="53"/>
  <c r="R114" i="53" s="1"/>
  <c r="P111" i="53"/>
  <c r="S111" i="53"/>
  <c r="Q111" i="53"/>
  <c r="R111" i="53" s="1"/>
  <c r="P110" i="53"/>
  <c r="Q110" i="53"/>
  <c r="R110" i="53" s="1"/>
  <c r="E86" i="53"/>
  <c r="F81" i="53"/>
  <c r="F84" i="53"/>
  <c r="F82" i="53"/>
  <c r="E95" i="53"/>
  <c r="F95" i="53" s="1"/>
  <c r="G95" i="53" s="1"/>
  <c r="E91" i="53"/>
  <c r="F91" i="53" s="1"/>
  <c r="G91" i="53" s="1"/>
  <c r="E98" i="53"/>
  <c r="F98" i="53" s="1"/>
  <c r="G98" i="53" s="1"/>
  <c r="E96" i="53"/>
  <c r="F96" i="53" s="1"/>
  <c r="G96" i="53" s="1"/>
  <c r="E93" i="53"/>
  <c r="F93" i="53" s="1"/>
  <c r="G93" i="53" s="1"/>
  <c r="E94" i="53"/>
  <c r="F94" i="53" s="1"/>
  <c r="G94" i="53" s="1"/>
  <c r="E99" i="53"/>
  <c r="F99" i="53" s="1"/>
  <c r="G99" i="53" s="1"/>
  <c r="E101" i="53"/>
  <c r="F101" i="53" s="1"/>
  <c r="G101" i="53" s="1"/>
  <c r="E100" i="53"/>
  <c r="F100" i="53" s="1"/>
  <c r="G100" i="53" s="1"/>
  <c r="E97" i="53"/>
  <c r="F97" i="53" s="1"/>
  <c r="G97" i="53" s="1"/>
  <c r="E92" i="53"/>
  <c r="F92" i="53" s="1"/>
  <c r="G92" i="53" s="1"/>
  <c r="F76" i="53"/>
  <c r="E90" i="53"/>
  <c r="F90" i="53" s="1"/>
  <c r="F83" i="53"/>
  <c r="S112" i="53"/>
  <c r="Q112" i="53"/>
  <c r="R112" i="53" s="1"/>
  <c r="P112" i="53"/>
  <c r="U115" i="53"/>
  <c r="Q115" i="53"/>
  <c r="R115" i="53" s="1"/>
  <c r="S115" i="53"/>
  <c r="P115" i="53"/>
  <c r="Q113" i="53"/>
  <c r="R113" i="53" s="1"/>
  <c r="S113" i="53"/>
  <c r="P113" i="53"/>
  <c r="U113" i="53"/>
  <c r="N84" i="53"/>
  <c r="M86" i="53"/>
  <c r="N81" i="53"/>
  <c r="N82" i="53"/>
  <c r="L105" i="41"/>
  <c r="C105" i="41"/>
  <c r="C104" i="41"/>
  <c r="L104" i="41"/>
  <c r="N100" i="66"/>
  <c r="L100" i="66"/>
  <c r="L94" i="66"/>
  <c r="L93" i="66"/>
  <c r="AA92" i="66"/>
  <c r="J100" i="66"/>
  <c r="K100" i="66" s="1"/>
  <c r="J94" i="66"/>
  <c r="K94" i="66" s="1"/>
  <c r="AA100" i="66"/>
  <c r="L96" i="66"/>
  <c r="J95" i="66"/>
  <c r="K95" i="66" s="1"/>
  <c r="AA93" i="66"/>
  <c r="AA95" i="66"/>
  <c r="L95" i="66"/>
  <c r="N94" i="66"/>
  <c r="N95" i="66"/>
  <c r="AA97" i="66"/>
  <c r="N99" i="66"/>
  <c r="N98" i="66"/>
  <c r="J91" i="66"/>
  <c r="K91" i="66" s="1"/>
  <c r="L97" i="66"/>
  <c r="J96" i="66"/>
  <c r="K96" i="66" s="1"/>
  <c r="L98" i="66"/>
  <c r="J98" i="66"/>
  <c r="K98" i="66" s="1"/>
  <c r="N96" i="66"/>
  <c r="N97" i="66"/>
  <c r="L99" i="66"/>
  <c r="AA96" i="66"/>
  <c r="L92" i="66"/>
  <c r="G63" i="13"/>
  <c r="M59" i="66"/>
  <c r="AA94" i="63"/>
  <c r="N94" i="63"/>
  <c r="J94" i="63"/>
  <c r="K94" i="63" s="1"/>
  <c r="L94" i="63"/>
  <c r="D96" i="63"/>
  <c r="G95" i="63"/>
  <c r="M98" i="14"/>
  <c r="N101" i="66"/>
  <c r="J101" i="66"/>
  <c r="K101" i="66" s="1"/>
  <c r="L101" i="66"/>
  <c r="AA101" i="66"/>
  <c r="D103" i="66"/>
  <c r="G103" i="66" s="1"/>
  <c r="G102" i="66"/>
  <c r="S59" i="66"/>
  <c r="J82" i="54"/>
  <c r="J138" i="54" s="1"/>
  <c r="L138" i="54" s="1"/>
  <c r="H96" i="14"/>
  <c r="I96" i="14"/>
  <c r="J96" i="14" s="1"/>
  <c r="K96" i="14"/>
  <c r="K95" i="14"/>
  <c r="H95" i="14"/>
  <c r="I95" i="14"/>
  <c r="J95" i="14" s="1"/>
  <c r="I98" i="14"/>
  <c r="J98" i="14" s="1"/>
  <c r="G63" i="14"/>
  <c r="K98" i="14"/>
  <c r="H98" i="14"/>
  <c r="H94" i="14"/>
  <c r="I94" i="14"/>
  <c r="J94" i="14" s="1"/>
  <c r="I97" i="14"/>
  <c r="J97" i="14" s="1"/>
  <c r="M97" i="14"/>
  <c r="H97" i="14"/>
  <c r="K97" i="14"/>
  <c r="I99" i="11"/>
  <c r="J99" i="11" s="1"/>
  <c r="K99" i="11"/>
  <c r="G63" i="11"/>
  <c r="M99" i="11"/>
  <c r="I97" i="11"/>
  <c r="J97" i="11" s="1"/>
  <c r="H97" i="11"/>
  <c r="K97" i="11"/>
  <c r="K96" i="11"/>
  <c r="I96" i="11"/>
  <c r="J96" i="11" s="1"/>
  <c r="H96" i="11"/>
  <c r="H98" i="11"/>
  <c r="M98" i="11"/>
  <c r="I98" i="11"/>
  <c r="J98" i="11" s="1"/>
  <c r="K98" i="11"/>
  <c r="I95" i="11"/>
  <c r="J95" i="11" s="1"/>
  <c r="H95" i="11"/>
  <c r="BB19" i="58"/>
  <c r="BB21" i="58" s="1"/>
  <c r="M99" i="10"/>
  <c r="H99" i="10"/>
  <c r="B76" i="6"/>
  <c r="C76" i="6" s="1"/>
  <c r="A77" i="6" s="1"/>
  <c r="B77" i="6" s="1"/>
  <c r="C77" i="6" s="1"/>
  <c r="R55" i="55"/>
  <c r="Q68" i="55"/>
  <c r="M102" i="69"/>
  <c r="C102" i="69"/>
  <c r="G116" i="48"/>
  <c r="D117" i="48"/>
  <c r="M72" i="42"/>
  <c r="K72" i="42"/>
  <c r="H72" i="42"/>
  <c r="I72" i="42"/>
  <c r="J72" i="42" s="1"/>
  <c r="E11" i="26"/>
  <c r="F11" i="26"/>
  <c r="C121" i="17"/>
  <c r="L121" i="17"/>
  <c r="R38" i="55"/>
  <c r="Q40" i="55"/>
  <c r="Q41" i="55" s="1"/>
  <c r="C103" i="69"/>
  <c r="M103" i="69"/>
  <c r="I115" i="48"/>
  <c r="J115" i="48" s="1"/>
  <c r="H115" i="48"/>
  <c r="K115" i="48"/>
  <c r="M115" i="48"/>
  <c r="K71" i="42"/>
  <c r="M71" i="42"/>
  <c r="H71" i="42"/>
  <c r="C120" i="17"/>
  <c r="L120" i="17"/>
  <c r="K99" i="10"/>
  <c r="BK19" i="58"/>
  <c r="BL19" i="58" s="1"/>
  <c r="BM19" i="58" s="1"/>
  <c r="BM21" i="58" s="1"/>
  <c r="G63" i="10"/>
  <c r="H96" i="10"/>
  <c r="K96" i="10"/>
  <c r="I96" i="10"/>
  <c r="J96" i="10" s="1"/>
  <c r="H95" i="10"/>
  <c r="I95" i="10"/>
  <c r="J95" i="10" s="1"/>
  <c r="K98" i="10"/>
  <c r="H98" i="10"/>
  <c r="M98" i="10"/>
  <c r="I98" i="10"/>
  <c r="J98" i="10" s="1"/>
  <c r="H97" i="10"/>
  <c r="K97" i="10"/>
  <c r="I97" i="10"/>
  <c r="J97" i="10" s="1"/>
  <c r="I116" i="17"/>
  <c r="J116" i="17" s="1"/>
  <c r="H116" i="17"/>
  <c r="K116" i="17"/>
  <c r="M116" i="17"/>
  <c r="G117" i="17"/>
  <c r="D118" i="17"/>
  <c r="G102" i="68"/>
  <c r="D103" i="68"/>
  <c r="G103" i="68" s="1"/>
  <c r="U117" i="53"/>
  <c r="S117" i="53"/>
  <c r="P117" i="53"/>
  <c r="Q117" i="53"/>
  <c r="R117" i="53" s="1"/>
  <c r="M56" i="55"/>
  <c r="L69" i="55"/>
  <c r="L71" i="55" s="1"/>
  <c r="F101" i="17"/>
  <c r="G89" i="17"/>
  <c r="G101" i="17" s="1"/>
  <c r="G102" i="17" s="1"/>
  <c r="H117" i="49"/>
  <c r="I117" i="49"/>
  <c r="J117" i="49" s="1"/>
  <c r="M117" i="49"/>
  <c r="K117" i="49"/>
  <c r="G54" i="26"/>
  <c r="G101" i="69"/>
  <c r="D102" i="69"/>
  <c r="D119" i="53"/>
  <c r="G118" i="53"/>
  <c r="G89" i="49"/>
  <c r="G101" i="49" s="1"/>
  <c r="G102" i="49" s="1"/>
  <c r="F101" i="49"/>
  <c r="K100" i="11"/>
  <c r="I100" i="11"/>
  <c r="J100" i="11" s="1"/>
  <c r="M100" i="11"/>
  <c r="H100" i="11"/>
  <c r="G102" i="67"/>
  <c r="D103" i="67"/>
  <c r="G103" i="67" s="1"/>
  <c r="J143" i="54"/>
  <c r="H145" i="54"/>
  <c r="H147" i="54" s="1"/>
  <c r="G100" i="14"/>
  <c r="D101" i="14"/>
  <c r="P70" i="55"/>
  <c r="Q57" i="55"/>
  <c r="G89" i="48"/>
  <c r="G101" i="48" s="1"/>
  <c r="G102" i="48" s="1"/>
  <c r="F101" i="48"/>
  <c r="K75" i="55"/>
  <c r="K79" i="55" s="1"/>
  <c r="K60" i="55"/>
  <c r="L120" i="48"/>
  <c r="C120" i="48"/>
  <c r="P64" i="55"/>
  <c r="P65" i="55" s="1"/>
  <c r="P27" i="55"/>
  <c r="P42" i="55" s="1"/>
  <c r="I54" i="26"/>
  <c r="H54" i="26"/>
  <c r="K54" i="26" s="1"/>
  <c r="N54" i="26" s="1"/>
  <c r="L100" i="69"/>
  <c r="AA100" i="69"/>
  <c r="N100" i="69"/>
  <c r="J100" i="69"/>
  <c r="K100" i="69" s="1"/>
  <c r="K101" i="41"/>
  <c r="H101" i="41"/>
  <c r="M101" i="41"/>
  <c r="I101" i="41"/>
  <c r="J101" i="41" s="1"/>
  <c r="D102" i="11"/>
  <c r="G101" i="11"/>
  <c r="BD5" i="5"/>
  <c r="BD27" i="5" s="1"/>
  <c r="AA101" i="67"/>
  <c r="L101" i="67"/>
  <c r="N101" i="67"/>
  <c r="J101" i="67"/>
  <c r="K101" i="67" s="1"/>
  <c r="K100" i="10"/>
  <c r="M100" i="10"/>
  <c r="H100" i="10"/>
  <c r="I100" i="10"/>
  <c r="J100" i="10" s="1"/>
  <c r="D119" i="49"/>
  <c r="G118" i="49"/>
  <c r="L31" i="9"/>
  <c r="N30" i="9"/>
  <c r="V30" i="9" s="1"/>
  <c r="R30" i="9"/>
  <c r="N101" i="68"/>
  <c r="L101" i="68"/>
  <c r="AA101" i="68"/>
  <c r="J101" i="68"/>
  <c r="K101" i="68" s="1"/>
  <c r="B121" i="48"/>
  <c r="Q34" i="9"/>
  <c r="S34" i="9" s="1"/>
  <c r="M34" i="9"/>
  <c r="U34" i="9" s="1"/>
  <c r="A35" i="9" s="1"/>
  <c r="K35" i="9"/>
  <c r="R15" i="55"/>
  <c r="Q26" i="55"/>
  <c r="K99" i="14"/>
  <c r="M99" i="14"/>
  <c r="I99" i="14"/>
  <c r="J99" i="14" s="1"/>
  <c r="H99" i="14"/>
  <c r="C74" i="26"/>
  <c r="D103" i="41"/>
  <c r="G102" i="41"/>
  <c r="D102" i="10"/>
  <c r="G101" i="10"/>
  <c r="BC19" i="58" l="1"/>
  <c r="BC21" i="58" s="1"/>
  <c r="L80" i="25"/>
  <c r="M44" i="25"/>
  <c r="M58" i="25" s="1"/>
  <c r="N4" i="25" s="1"/>
  <c r="F70" i="47"/>
  <c r="M4" i="25"/>
  <c r="L44" i="55"/>
  <c r="L58" i="55" s="1"/>
  <c r="M4" i="55" s="1"/>
  <c r="K2" i="55"/>
  <c r="K1" i="55" s="1"/>
  <c r="L4" i="55"/>
  <c r="F102" i="53"/>
  <c r="G90" i="53"/>
  <c r="G102" i="53" s="1"/>
  <c r="G103" i="53" s="1"/>
  <c r="L95" i="63"/>
  <c r="N95" i="63"/>
  <c r="J95" i="63"/>
  <c r="K95" i="63" s="1"/>
  <c r="AA95" i="63"/>
  <c r="D97" i="63"/>
  <c r="G96" i="63"/>
  <c r="J102" i="66"/>
  <c r="K102" i="66" s="1"/>
  <c r="N102" i="66"/>
  <c r="L102" i="66"/>
  <c r="AA102" i="66"/>
  <c r="N103" i="66"/>
  <c r="L103" i="66"/>
  <c r="AA103" i="66"/>
  <c r="J103" i="66"/>
  <c r="K103" i="66" s="1"/>
  <c r="L82" i="54"/>
  <c r="I11" i="26"/>
  <c r="H11" i="26"/>
  <c r="K11" i="26" s="1"/>
  <c r="N11" i="26" s="1"/>
  <c r="R68" i="55"/>
  <c r="S55" i="55"/>
  <c r="S68" i="55" s="1"/>
  <c r="I116" i="48"/>
  <c r="J116" i="48" s="1"/>
  <c r="H116" i="48"/>
  <c r="K116" i="48"/>
  <c r="M116" i="48"/>
  <c r="S38" i="55"/>
  <c r="R40" i="55"/>
  <c r="R41" i="55" s="1"/>
  <c r="G11" i="26"/>
  <c r="D12" i="26" s="1"/>
  <c r="G117" i="48"/>
  <c r="D118" i="48"/>
  <c r="BN19" i="58"/>
  <c r="BN21" i="58" s="1"/>
  <c r="BK21" i="58"/>
  <c r="BL21" i="58"/>
  <c r="D119" i="17"/>
  <c r="G118" i="17"/>
  <c r="K117" i="17"/>
  <c r="H117" i="17"/>
  <c r="M117" i="17"/>
  <c r="I117" i="17"/>
  <c r="J117" i="17" s="1"/>
  <c r="H102" i="41"/>
  <c r="M102" i="41"/>
  <c r="K102" i="41"/>
  <c r="I102" i="41"/>
  <c r="J102" i="41" s="1"/>
  <c r="T30" i="9"/>
  <c r="M101" i="11"/>
  <c r="I101" i="11"/>
  <c r="J101" i="11" s="1"/>
  <c r="H101" i="11"/>
  <c r="K101" i="11"/>
  <c r="G101" i="14"/>
  <c r="D102" i="14"/>
  <c r="L102" i="67"/>
  <c r="AA102" i="67"/>
  <c r="N102" i="67"/>
  <c r="J102" i="67"/>
  <c r="K102" i="67" s="1"/>
  <c r="AA101" i="69"/>
  <c r="N101" i="69"/>
  <c r="L101" i="69"/>
  <c r="J101" i="69"/>
  <c r="K101" i="69" s="1"/>
  <c r="D103" i="10"/>
  <c r="G102" i="10"/>
  <c r="S15" i="55"/>
  <c r="R26" i="55"/>
  <c r="K118" i="49"/>
  <c r="H118" i="49"/>
  <c r="I118" i="49"/>
  <c r="J118" i="49" s="1"/>
  <c r="M118" i="49"/>
  <c r="D103" i="11"/>
  <c r="G102" i="11"/>
  <c r="H100" i="14"/>
  <c r="I100" i="14"/>
  <c r="J100" i="14" s="1"/>
  <c r="K100" i="14"/>
  <c r="M100" i="14"/>
  <c r="G119" i="53"/>
  <c r="D120" i="53"/>
  <c r="L60" i="55"/>
  <c r="L75" i="55"/>
  <c r="L79" i="55" s="1"/>
  <c r="Q64" i="55"/>
  <c r="Q65" i="55" s="1"/>
  <c r="Q27" i="55"/>
  <c r="Q42" i="55" s="1"/>
  <c r="Q118" i="53"/>
  <c r="R118" i="53" s="1"/>
  <c r="P118" i="53"/>
  <c r="U118" i="53"/>
  <c r="S118" i="53"/>
  <c r="N102" i="68"/>
  <c r="L102" i="68"/>
  <c r="AA102" i="68"/>
  <c r="J102" i="68"/>
  <c r="K102" i="68" s="1"/>
  <c r="D104" i="41"/>
  <c r="G103" i="41"/>
  <c r="C75" i="26"/>
  <c r="M35" i="9"/>
  <c r="U35" i="9" s="1"/>
  <c r="A36" i="9" s="1"/>
  <c r="Q35" i="9"/>
  <c r="S35" i="9" s="1"/>
  <c r="K36" i="9"/>
  <c r="N31" i="9"/>
  <c r="V31" i="9" s="1"/>
  <c r="R31" i="9"/>
  <c r="T31" i="9" s="1"/>
  <c r="L32" i="9"/>
  <c r="G119" i="49"/>
  <c r="D120" i="49"/>
  <c r="R57" i="55"/>
  <c r="Q70" i="55"/>
  <c r="M69" i="55"/>
  <c r="M71" i="55" s="1"/>
  <c r="N56" i="55"/>
  <c r="K101" i="10"/>
  <c r="M101" i="10"/>
  <c r="H101" i="10"/>
  <c r="I101" i="10"/>
  <c r="J101" i="10" s="1"/>
  <c r="C121" i="48"/>
  <c r="L121" i="48"/>
  <c r="L143" i="54"/>
  <c r="L145" i="54" s="1"/>
  <c r="L147" i="54" s="1"/>
  <c r="J145" i="54"/>
  <c r="J147" i="54" s="1"/>
  <c r="AA103" i="67"/>
  <c r="N103" i="67"/>
  <c r="L103" i="67"/>
  <c r="J103" i="67"/>
  <c r="K103" i="67" s="1"/>
  <c r="D103" i="69"/>
  <c r="G103" i="69" s="1"/>
  <c r="G102" i="69"/>
  <c r="D55" i="26"/>
  <c r="N103" i="68"/>
  <c r="L103" i="68"/>
  <c r="AA103" i="68"/>
  <c r="J103" i="68"/>
  <c r="K103" i="68" s="1"/>
  <c r="N44" i="25" l="1"/>
  <c r="N58" i="25" s="1"/>
  <c r="H70" i="47" s="1"/>
  <c r="M2" i="25"/>
  <c r="M1" i="25" s="1"/>
  <c r="M80" i="25"/>
  <c r="G70" i="47"/>
  <c r="E69" i="47" s="1"/>
  <c r="L80" i="55"/>
  <c r="L2" i="55"/>
  <c r="L1" i="55" s="1"/>
  <c r="M44" i="55"/>
  <c r="M58" i="55" s="1"/>
  <c r="N4" i="55" s="1"/>
  <c r="L96" i="63"/>
  <c r="J96" i="63"/>
  <c r="K96" i="63" s="1"/>
  <c r="AA96" i="63"/>
  <c r="N96" i="63"/>
  <c r="D98" i="63"/>
  <c r="G97" i="63"/>
  <c r="F12" i="26"/>
  <c r="E12" i="26"/>
  <c r="T55" i="55"/>
  <c r="G118" i="48"/>
  <c r="D119" i="48"/>
  <c r="I117" i="48"/>
  <c r="J117" i="48" s="1"/>
  <c r="H117" i="48"/>
  <c r="K117" i="48"/>
  <c r="M117" i="48"/>
  <c r="T38" i="55"/>
  <c r="S40" i="55"/>
  <c r="S41" i="55" s="1"/>
  <c r="K118" i="17"/>
  <c r="I118" i="17"/>
  <c r="J118" i="17" s="1"/>
  <c r="H118" i="17"/>
  <c r="M118" i="17"/>
  <c r="G119" i="17"/>
  <c r="D120" i="17"/>
  <c r="N103" i="69"/>
  <c r="L103" i="69"/>
  <c r="AA103" i="69"/>
  <c r="J103" i="69"/>
  <c r="K103" i="69" s="1"/>
  <c r="M75" i="55"/>
  <c r="M79" i="55" s="1"/>
  <c r="M60" i="55"/>
  <c r="R32" i="9"/>
  <c r="T32" i="9" s="1"/>
  <c r="N32" i="9"/>
  <c r="V32" i="9" s="1"/>
  <c r="L33" i="9"/>
  <c r="M103" i="41"/>
  <c r="H103" i="41"/>
  <c r="K103" i="41"/>
  <c r="I103" i="41"/>
  <c r="J103" i="41" s="1"/>
  <c r="M102" i="11"/>
  <c r="K102" i="11"/>
  <c r="H102" i="11"/>
  <c r="I102" i="11"/>
  <c r="J102" i="11" s="1"/>
  <c r="D104" i="10"/>
  <c r="G103" i="10"/>
  <c r="N102" i="69"/>
  <c r="L102" i="69"/>
  <c r="AA102" i="69"/>
  <c r="J102" i="69"/>
  <c r="K102" i="69" s="1"/>
  <c r="O56" i="55"/>
  <c r="N69" i="55"/>
  <c r="N71" i="55" s="1"/>
  <c r="I119" i="49"/>
  <c r="J119" i="49" s="1"/>
  <c r="K119" i="49"/>
  <c r="H119" i="49"/>
  <c r="M119" i="49"/>
  <c r="E55" i="26"/>
  <c r="F55" i="26"/>
  <c r="S57" i="55"/>
  <c r="R70" i="55"/>
  <c r="M36" i="9"/>
  <c r="U36" i="9" s="1"/>
  <c r="A37" i="9" s="1"/>
  <c r="K37" i="9"/>
  <c r="Q36" i="9"/>
  <c r="S36" i="9" s="1"/>
  <c r="C76" i="26"/>
  <c r="D105" i="41"/>
  <c r="G105" i="41" s="1"/>
  <c r="G104" i="41"/>
  <c r="G103" i="11"/>
  <c r="D104" i="11"/>
  <c r="D103" i="14"/>
  <c r="G102" i="14"/>
  <c r="S119" i="53"/>
  <c r="U119" i="53"/>
  <c r="P119" i="53"/>
  <c r="Q119" i="53"/>
  <c r="R119" i="53" s="1"/>
  <c r="S26" i="55"/>
  <c r="T15" i="55"/>
  <c r="M102" i="10"/>
  <c r="H102" i="10"/>
  <c r="K102" i="10"/>
  <c r="I102" i="10"/>
  <c r="J102" i="10" s="1"/>
  <c r="G120" i="49"/>
  <c r="D121" i="49"/>
  <c r="G121" i="49" s="1"/>
  <c r="G120" i="53"/>
  <c r="D121" i="53"/>
  <c r="R64" i="55"/>
  <c r="R65" i="55" s="1"/>
  <c r="R27" i="55"/>
  <c r="R42" i="55" s="1"/>
  <c r="K101" i="14"/>
  <c r="H101" i="14"/>
  <c r="M101" i="14"/>
  <c r="I101" i="14"/>
  <c r="J101" i="14" s="1"/>
  <c r="N2" i="25" l="1"/>
  <c r="N1" i="25" s="1"/>
  <c r="O44" i="25"/>
  <c r="O58" i="25" s="1"/>
  <c r="O2" i="25" s="1"/>
  <c r="O1" i="25" s="1"/>
  <c r="O4" i="25"/>
  <c r="N80" i="25"/>
  <c r="N44" i="55"/>
  <c r="N58" i="55" s="1"/>
  <c r="O4" i="55" s="1"/>
  <c r="M2" i="55"/>
  <c r="M1" i="55" s="1"/>
  <c r="M80" i="55"/>
  <c r="G12" i="26"/>
  <c r="D13" i="26" s="1"/>
  <c r="E13" i="26" s="1"/>
  <c r="N97" i="63"/>
  <c r="L97" i="63"/>
  <c r="J97" i="63"/>
  <c r="K97" i="63" s="1"/>
  <c r="AA97" i="63"/>
  <c r="D99" i="63"/>
  <c r="G98" i="63"/>
  <c r="I118" i="48"/>
  <c r="J118" i="48" s="1"/>
  <c r="M118" i="48"/>
  <c r="H118" i="48"/>
  <c r="K118" i="48"/>
  <c r="G119" i="48"/>
  <c r="D120" i="48"/>
  <c r="I12" i="26"/>
  <c r="H12" i="26"/>
  <c r="K12" i="26" s="1"/>
  <c r="N12" i="26" s="1"/>
  <c r="G120" i="17"/>
  <c r="D121" i="17"/>
  <c r="G121" i="17" s="1"/>
  <c r="M119" i="17"/>
  <c r="I119" i="17"/>
  <c r="J119" i="17" s="1"/>
  <c r="K119" i="17"/>
  <c r="H119" i="17"/>
  <c r="P56" i="55"/>
  <c r="O69" i="55"/>
  <c r="O71" i="55" s="1"/>
  <c r="D122" i="53"/>
  <c r="G122" i="53" s="1"/>
  <c r="G121" i="53"/>
  <c r="S64" i="55"/>
  <c r="S65" i="55" s="1"/>
  <c r="S27" i="55"/>
  <c r="T26" i="55"/>
  <c r="M105" i="41"/>
  <c r="K105" i="41"/>
  <c r="H105" i="41"/>
  <c r="I105" i="41"/>
  <c r="J105" i="41" s="1"/>
  <c r="Q37" i="9"/>
  <c r="S37" i="9" s="1"/>
  <c r="K38" i="9"/>
  <c r="M37" i="9"/>
  <c r="U37" i="9" s="1"/>
  <c r="A38" i="9" s="1"/>
  <c r="H103" i="10"/>
  <c r="M103" i="10"/>
  <c r="K103" i="10"/>
  <c r="I103" i="10"/>
  <c r="J103" i="10" s="1"/>
  <c r="K104" i="41"/>
  <c r="M104" i="41"/>
  <c r="H104" i="41"/>
  <c r="I104" i="41"/>
  <c r="J104" i="41" s="1"/>
  <c r="S70" i="55"/>
  <c r="T57" i="55"/>
  <c r="H121" i="49"/>
  <c r="M121" i="49"/>
  <c r="K121" i="49"/>
  <c r="I121" i="49"/>
  <c r="J121" i="49" s="1"/>
  <c r="D105" i="10"/>
  <c r="G104" i="10"/>
  <c r="G55" i="26"/>
  <c r="P120" i="53"/>
  <c r="S120" i="53"/>
  <c r="U120" i="53"/>
  <c r="Q120" i="53"/>
  <c r="R120" i="53" s="1"/>
  <c r="M102" i="14"/>
  <c r="K102" i="14"/>
  <c r="H102" i="14"/>
  <c r="I102" i="14"/>
  <c r="J102" i="14" s="1"/>
  <c r="G104" i="11"/>
  <c r="D105" i="11"/>
  <c r="C77" i="26"/>
  <c r="K120" i="49"/>
  <c r="M120" i="49"/>
  <c r="H120" i="49"/>
  <c r="I120" i="49"/>
  <c r="J120" i="49" s="1"/>
  <c r="G103" i="14"/>
  <c r="D104" i="14"/>
  <c r="K103" i="11"/>
  <c r="M103" i="11"/>
  <c r="H103" i="11"/>
  <c r="I103" i="11"/>
  <c r="J103" i="11" s="1"/>
  <c r="H55" i="26"/>
  <c r="K55" i="26" s="1"/>
  <c r="N55" i="26" s="1"/>
  <c r="I55" i="26"/>
  <c r="N60" i="55"/>
  <c r="N75" i="55"/>
  <c r="N79" i="55" s="1"/>
  <c r="L34" i="9"/>
  <c r="R33" i="9"/>
  <c r="T33" i="9" s="1"/>
  <c r="N33" i="9"/>
  <c r="V33" i="9" s="1"/>
  <c r="F13" i="26" l="1"/>
  <c r="I70" i="47"/>
  <c r="O80" i="25"/>
  <c r="P44" i="25"/>
  <c r="P58" i="25" s="1"/>
  <c r="Q44" i="25" s="1"/>
  <c r="Q58" i="25" s="1"/>
  <c r="P4" i="25"/>
  <c r="N80" i="55"/>
  <c r="O44" i="55"/>
  <c r="O58" i="55" s="1"/>
  <c r="O2" i="55" s="1"/>
  <c r="O1" i="55" s="1"/>
  <c r="N2" i="55"/>
  <c r="N1" i="55" s="1"/>
  <c r="AA98" i="63"/>
  <c r="J98" i="63"/>
  <c r="K98" i="63" s="1"/>
  <c r="N98" i="63"/>
  <c r="L98" i="63"/>
  <c r="D100" i="63"/>
  <c r="G99" i="63"/>
  <c r="G120" i="48"/>
  <c r="D121" i="48"/>
  <c r="G121" i="48" s="1"/>
  <c r="I119" i="48"/>
  <c r="J119" i="48" s="1"/>
  <c r="H119" i="48"/>
  <c r="K119" i="48"/>
  <c r="M119" i="48"/>
  <c r="I121" i="17"/>
  <c r="J121" i="17" s="1"/>
  <c r="M121" i="17"/>
  <c r="K121" i="17"/>
  <c r="H121" i="17"/>
  <c r="I120" i="17"/>
  <c r="J120" i="17" s="1"/>
  <c r="K120" i="17"/>
  <c r="H120" i="17"/>
  <c r="M120" i="17"/>
  <c r="H103" i="14"/>
  <c r="M103" i="14"/>
  <c r="K103" i="14"/>
  <c r="I103" i="14"/>
  <c r="J103" i="14" s="1"/>
  <c r="O60" i="55"/>
  <c r="O75" i="55"/>
  <c r="O79" i="55" s="1"/>
  <c r="D106" i="11"/>
  <c r="G105" i="11"/>
  <c r="Q56" i="55"/>
  <c r="P69" i="55"/>
  <c r="P71" i="55" s="1"/>
  <c r="D56" i="26"/>
  <c r="G13" i="26"/>
  <c r="K39" i="9"/>
  <c r="M38" i="9"/>
  <c r="U38" i="9" s="1"/>
  <c r="A39" i="9" s="1"/>
  <c r="Q38" i="9"/>
  <c r="S38" i="9" s="1"/>
  <c r="L35" i="9"/>
  <c r="R34" i="9"/>
  <c r="T34" i="9" s="1"/>
  <c r="N34" i="9"/>
  <c r="V34" i="9" s="1"/>
  <c r="H104" i="11"/>
  <c r="I104" i="11"/>
  <c r="J104" i="11" s="1"/>
  <c r="K104" i="11"/>
  <c r="M104" i="11"/>
  <c r="I13" i="26"/>
  <c r="H13" i="26"/>
  <c r="K13" i="26" s="1"/>
  <c r="N13" i="26" s="1"/>
  <c r="S121" i="53"/>
  <c r="P121" i="53"/>
  <c r="U121" i="53"/>
  <c r="Q121" i="53"/>
  <c r="R121" i="53" s="1"/>
  <c r="G105" i="10"/>
  <c r="D106" i="10"/>
  <c r="G104" i="14"/>
  <c r="D105" i="14"/>
  <c r="C78" i="26"/>
  <c r="M104" i="10"/>
  <c r="H104" i="10"/>
  <c r="K104" i="10"/>
  <c r="I104" i="10"/>
  <c r="J104" i="10" s="1"/>
  <c r="S42" i="55"/>
  <c r="T27" i="55"/>
  <c r="U122" i="53"/>
  <c r="S122" i="53"/>
  <c r="P122" i="53"/>
  <c r="Q122" i="53"/>
  <c r="R122" i="53" s="1"/>
  <c r="P4" i="55" l="1"/>
  <c r="P44" i="55"/>
  <c r="P58" i="55" s="1"/>
  <c r="Q4" i="55" s="1"/>
  <c r="Q4" i="25"/>
  <c r="O80" i="55"/>
  <c r="J70" i="47"/>
  <c r="H69" i="47" s="1"/>
  <c r="P80" i="25"/>
  <c r="P2" i="25"/>
  <c r="P1" i="25" s="1"/>
  <c r="N99" i="63"/>
  <c r="L99" i="63"/>
  <c r="AA99" i="63"/>
  <c r="J99" i="63"/>
  <c r="K99" i="63" s="1"/>
  <c r="G100" i="63"/>
  <c r="D101" i="63"/>
  <c r="K121" i="48"/>
  <c r="H121" i="48"/>
  <c r="I121" i="48"/>
  <c r="J121" i="48" s="1"/>
  <c r="M121" i="48"/>
  <c r="I120" i="48"/>
  <c r="J120" i="48" s="1"/>
  <c r="H120" i="48"/>
  <c r="K120" i="48"/>
  <c r="M120" i="48"/>
  <c r="M104" i="14"/>
  <c r="K104" i="14"/>
  <c r="H104" i="14"/>
  <c r="I104" i="14"/>
  <c r="J104" i="14" s="1"/>
  <c r="K70" i="47"/>
  <c r="Q2" i="25"/>
  <c r="Q1" i="25" s="1"/>
  <c r="R4" i="25"/>
  <c r="Q80" i="25"/>
  <c r="R44" i="25"/>
  <c r="R58" i="25" s="1"/>
  <c r="G105" i="14"/>
  <c r="D106" i="14"/>
  <c r="G106" i="14" s="1"/>
  <c r="M39" i="9"/>
  <c r="U39" i="9" s="1"/>
  <c r="A40" i="9" s="1"/>
  <c r="K40" i="9"/>
  <c r="Q39" i="9"/>
  <c r="S39" i="9" s="1"/>
  <c r="E56" i="26"/>
  <c r="F56" i="26"/>
  <c r="D107" i="11"/>
  <c r="G107" i="11" s="1"/>
  <c r="G106" i="11"/>
  <c r="D14" i="26"/>
  <c r="P60" i="55"/>
  <c r="P75" i="55"/>
  <c r="P79" i="55" s="1"/>
  <c r="G106" i="10"/>
  <c r="D107" i="10"/>
  <c r="G107" i="10" s="1"/>
  <c r="C79" i="26"/>
  <c r="K105" i="10"/>
  <c r="M105" i="10"/>
  <c r="H105" i="10"/>
  <c r="I105" i="10"/>
  <c r="J105" i="10" s="1"/>
  <c r="R35" i="9"/>
  <c r="T35" i="9" s="1"/>
  <c r="L36" i="9"/>
  <c r="N35" i="9"/>
  <c r="V35" i="9" s="1"/>
  <c r="R56" i="55"/>
  <c r="Q69" i="55"/>
  <c r="Q71" i="55" s="1"/>
  <c r="M105" i="11"/>
  <c r="K105" i="11"/>
  <c r="H105" i="11"/>
  <c r="I105" i="11"/>
  <c r="J105" i="11" s="1"/>
  <c r="P80" i="55" l="1"/>
  <c r="Q44" i="55"/>
  <c r="Q58" i="55" s="1"/>
  <c r="R44" i="55" s="1"/>
  <c r="R58" i="55" s="1"/>
  <c r="P2" i="55"/>
  <c r="P1" i="55" s="1"/>
  <c r="D102" i="63"/>
  <c r="G101" i="63"/>
  <c r="J100" i="63"/>
  <c r="K100" i="63" s="1"/>
  <c r="AA100" i="63"/>
  <c r="L100" i="63"/>
  <c r="N100" i="63"/>
  <c r="F14" i="26"/>
  <c r="E14" i="26"/>
  <c r="K106" i="11"/>
  <c r="M106" i="11"/>
  <c r="H106" i="11"/>
  <c r="I106" i="11"/>
  <c r="J106" i="11" s="1"/>
  <c r="G56" i="26"/>
  <c r="D57" i="26" s="1"/>
  <c r="H106" i="14"/>
  <c r="M106" i="14"/>
  <c r="K106" i="14"/>
  <c r="I106" i="14"/>
  <c r="J106" i="14" s="1"/>
  <c r="Q75" i="55"/>
  <c r="Q79" i="55" s="1"/>
  <c r="Q60" i="55"/>
  <c r="S56" i="55"/>
  <c r="R69" i="55"/>
  <c r="R71" i="55" s="1"/>
  <c r="M107" i="10"/>
  <c r="K107" i="10"/>
  <c r="H107" i="10"/>
  <c r="I107" i="10"/>
  <c r="J107" i="10" s="1"/>
  <c r="M107" i="11"/>
  <c r="K107" i="11"/>
  <c r="H107" i="11"/>
  <c r="I107" i="11"/>
  <c r="J107" i="11" s="1"/>
  <c r="H105" i="14"/>
  <c r="M105" i="14"/>
  <c r="K105" i="14"/>
  <c r="I105" i="14"/>
  <c r="J105" i="14" s="1"/>
  <c r="L37" i="9"/>
  <c r="N36" i="9"/>
  <c r="V36" i="9" s="1"/>
  <c r="R36" i="9"/>
  <c r="T36" i="9" s="1"/>
  <c r="C80" i="26"/>
  <c r="M106" i="10"/>
  <c r="H106" i="10"/>
  <c r="K106" i="10"/>
  <c r="I106" i="10"/>
  <c r="J106" i="10" s="1"/>
  <c r="H56" i="26"/>
  <c r="K56" i="26" s="1"/>
  <c r="N56" i="26" s="1"/>
  <c r="I56" i="26"/>
  <c r="Q40" i="9"/>
  <c r="S40" i="9" s="1"/>
  <c r="M40" i="9"/>
  <c r="U40" i="9" s="1"/>
  <c r="A41" i="9" s="1"/>
  <c r="K41" i="9"/>
  <c r="S4" i="25"/>
  <c r="R2" i="25"/>
  <c r="R1" i="25" s="1"/>
  <c r="S44" i="25"/>
  <c r="S58" i="25" s="1"/>
  <c r="L70" i="47"/>
  <c r="R80" i="25"/>
  <c r="Q2" i="55" l="1"/>
  <c r="Q1" i="55" s="1"/>
  <c r="Q80" i="55"/>
  <c r="R4" i="55"/>
  <c r="L101" i="63"/>
  <c r="J101" i="63"/>
  <c r="K101" i="63" s="1"/>
  <c r="N101" i="63"/>
  <c r="AA101" i="63"/>
  <c r="D103" i="63"/>
  <c r="G103" i="63" s="1"/>
  <c r="G102" i="63"/>
  <c r="L38" i="9"/>
  <c r="N37" i="9"/>
  <c r="V37" i="9" s="1"/>
  <c r="R37" i="9"/>
  <c r="T37" i="9" s="1"/>
  <c r="S69" i="55"/>
  <c r="S71" i="55" s="1"/>
  <c r="T56" i="55"/>
  <c r="C81" i="26"/>
  <c r="R80" i="55"/>
  <c r="R2" i="55"/>
  <c r="R1" i="55" s="1"/>
  <c r="S4" i="55"/>
  <c r="S44" i="55"/>
  <c r="S58" i="55" s="1"/>
  <c r="H14" i="26"/>
  <c r="I14" i="26"/>
  <c r="K42" i="9"/>
  <c r="M41" i="9"/>
  <c r="U41" i="9" s="1"/>
  <c r="A42" i="9" s="1"/>
  <c r="Q41" i="9"/>
  <c r="S41" i="9" s="1"/>
  <c r="E57" i="26"/>
  <c r="F57" i="26"/>
  <c r="S80" i="25"/>
  <c r="M70" i="47"/>
  <c r="K69" i="47" s="1"/>
  <c r="S2" i="25"/>
  <c r="S1" i="25" s="1"/>
  <c r="R75" i="55"/>
  <c r="R79" i="55" s="1"/>
  <c r="R60" i="55"/>
  <c r="K14" i="26"/>
  <c r="N14" i="26" s="1"/>
  <c r="G14" i="26"/>
  <c r="D15" i="26" s="1"/>
  <c r="N102" i="63" l="1"/>
  <c r="L102" i="63"/>
  <c r="J102" i="63"/>
  <c r="K102" i="63" s="1"/>
  <c r="AA102" i="63"/>
  <c r="N103" i="63"/>
  <c r="L103" i="63"/>
  <c r="AA103" i="63"/>
  <c r="J103" i="63"/>
  <c r="K103" i="63" s="1"/>
  <c r="G57" i="26"/>
  <c r="D58" i="26" s="1"/>
  <c r="Q42" i="9"/>
  <c r="S42" i="9" s="1"/>
  <c r="K43" i="9"/>
  <c r="M42" i="9"/>
  <c r="U42" i="9" s="1"/>
  <c r="A43" i="9" s="1"/>
  <c r="S80" i="55"/>
  <c r="S2" i="55"/>
  <c r="S1" i="55" s="1"/>
  <c r="C82" i="26"/>
  <c r="S75" i="55"/>
  <c r="S79" i="55" s="1"/>
  <c r="S60" i="55"/>
  <c r="F15" i="26"/>
  <c r="E15" i="26"/>
  <c r="I57" i="26"/>
  <c r="H57" i="26"/>
  <c r="K57" i="26" s="1"/>
  <c r="N57" i="26" s="1"/>
  <c r="R38" i="9"/>
  <c r="T38" i="9" s="1"/>
  <c r="N38" i="9"/>
  <c r="V38" i="9" s="1"/>
  <c r="L39" i="9"/>
  <c r="R39" i="9" l="1"/>
  <c r="T39" i="9" s="1"/>
  <c r="L40" i="9"/>
  <c r="N39" i="9"/>
  <c r="V39" i="9" s="1"/>
  <c r="G15" i="26"/>
  <c r="D16" i="26" s="1"/>
  <c r="C83" i="26"/>
  <c r="H15" i="26"/>
  <c r="K15" i="26" s="1"/>
  <c r="N15" i="26" s="1"/>
  <c r="I15" i="26"/>
  <c r="F58" i="26"/>
  <c r="E58" i="26"/>
  <c r="Q43" i="9"/>
  <c r="S43" i="9" s="1"/>
  <c r="M43" i="9"/>
  <c r="U43" i="9" s="1"/>
  <c r="A44" i="9" s="1"/>
  <c r="K44" i="9"/>
  <c r="E16" i="26" l="1"/>
  <c r="F16" i="26"/>
  <c r="Q44" i="9"/>
  <c r="S44" i="9" s="1"/>
  <c r="M44" i="9"/>
  <c r="U44" i="9" s="1"/>
  <c r="A45" i="9" s="1"/>
  <c r="K45" i="9"/>
  <c r="I58" i="26"/>
  <c r="H58" i="26"/>
  <c r="K58" i="26" s="1"/>
  <c r="N58" i="26" s="1"/>
  <c r="C84" i="26"/>
  <c r="R40" i="9"/>
  <c r="T40" i="9" s="1"/>
  <c r="N40" i="9"/>
  <c r="V40" i="9" s="1"/>
  <c r="L41" i="9"/>
  <c r="G58" i="26"/>
  <c r="D59" i="26" s="1"/>
  <c r="E59" i="26" l="1"/>
  <c r="F59" i="26"/>
  <c r="Q45" i="9"/>
  <c r="M45" i="9"/>
  <c r="U45" i="9" s="1"/>
  <c r="A46" i="9" s="1"/>
  <c r="I16" i="26"/>
  <c r="H16" i="26"/>
  <c r="K16" i="26" s="1"/>
  <c r="N16" i="26" s="1"/>
  <c r="R41" i="9"/>
  <c r="T41" i="9" s="1"/>
  <c r="L42" i="9"/>
  <c r="N41" i="9"/>
  <c r="V41" i="9" s="1"/>
  <c r="C85" i="26"/>
  <c r="G16" i="26"/>
  <c r="D17" i="26" s="1"/>
  <c r="E17" i="26" l="1"/>
  <c r="F17" i="26"/>
  <c r="I59" i="26"/>
  <c r="H59" i="26"/>
  <c r="K59" i="26" s="1"/>
  <c r="N59" i="26" s="1"/>
  <c r="N42" i="9"/>
  <c r="V42" i="9" s="1"/>
  <c r="R42" i="9"/>
  <c r="T42" i="9" s="1"/>
  <c r="L43" i="9"/>
  <c r="S45" i="9"/>
  <c r="S46" i="9" s="1"/>
  <c r="Q46" i="9"/>
  <c r="G59" i="26"/>
  <c r="D60" i="26" s="1"/>
  <c r="C86" i="26"/>
  <c r="I17" i="26" l="1"/>
  <c r="H17" i="26"/>
  <c r="G17" i="26"/>
  <c r="D18" i="26" s="1"/>
  <c r="K17" i="26"/>
  <c r="N17" i="26" s="1"/>
  <c r="L44" i="9"/>
  <c r="R43" i="9"/>
  <c r="T43" i="9" s="1"/>
  <c r="N43" i="9"/>
  <c r="V43" i="9" s="1"/>
  <c r="E60" i="26"/>
  <c r="F60" i="26"/>
  <c r="C87" i="26"/>
  <c r="E18" i="26" l="1"/>
  <c r="F18" i="26"/>
  <c r="I60" i="26"/>
  <c r="H60" i="26"/>
  <c r="K60" i="26" s="1"/>
  <c r="N60" i="26" s="1"/>
  <c r="C88" i="26"/>
  <c r="G60" i="26"/>
  <c r="D61" i="26" s="1"/>
  <c r="R44" i="9"/>
  <c r="T44" i="9" s="1"/>
  <c r="N44" i="9"/>
  <c r="V44" i="9" s="1"/>
  <c r="L45" i="9"/>
  <c r="H18" i="26" l="1"/>
  <c r="K18" i="26" s="1"/>
  <c r="N18" i="26" s="1"/>
  <c r="I18" i="26"/>
  <c r="R45" i="9"/>
  <c r="N45" i="9"/>
  <c r="V45" i="9" s="1"/>
  <c r="C89" i="26"/>
  <c r="G18" i="26"/>
  <c r="D19" i="26" s="1"/>
  <c r="E61" i="26"/>
  <c r="F61" i="26"/>
  <c r="E19" i="26" l="1"/>
  <c r="F19" i="26"/>
  <c r="H61" i="26"/>
  <c r="I61" i="26"/>
  <c r="R46" i="9"/>
  <c r="T45" i="9"/>
  <c r="T46" i="9" s="1"/>
  <c r="K61" i="26"/>
  <c r="N61" i="26" s="1"/>
  <c r="G61" i="26"/>
  <c r="D62" i="26" s="1"/>
  <c r="C90" i="26"/>
  <c r="I19" i="26" l="1"/>
  <c r="H19" i="26"/>
  <c r="K19" i="26" s="1"/>
  <c r="N19" i="26" s="1"/>
  <c r="G19" i="26"/>
  <c r="D20" i="26" s="1"/>
  <c r="E62" i="26"/>
  <c r="F62" i="26"/>
  <c r="H62" i="26" l="1"/>
  <c r="I62" i="26"/>
  <c r="E20" i="26"/>
  <c r="F20" i="26"/>
  <c r="K62" i="26"/>
  <c r="N62" i="26" s="1"/>
  <c r="G62" i="26"/>
  <c r="D63" i="26" s="1"/>
  <c r="E63" i="26" l="1"/>
  <c r="F63" i="26"/>
  <c r="G20" i="26"/>
  <c r="D21" i="26" s="1"/>
  <c r="H20" i="26"/>
  <c r="K20" i="26" s="1"/>
  <c r="N20" i="26" s="1"/>
  <c r="I20" i="26"/>
  <c r="I63" i="26" l="1"/>
  <c r="H63" i="26"/>
  <c r="F21" i="26"/>
  <c r="E21" i="26"/>
  <c r="G63" i="26"/>
  <c r="D64" i="26" s="1"/>
  <c r="K63" i="26"/>
  <c r="N63" i="26" s="1"/>
  <c r="G21" i="26" l="1"/>
  <c r="D22" i="26" s="1"/>
  <c r="H21" i="26"/>
  <c r="K21" i="26" s="1"/>
  <c r="N21" i="26" s="1"/>
  <c r="I21" i="26"/>
  <c r="E64" i="26"/>
  <c r="F64" i="26"/>
  <c r="H64" i="26" l="1"/>
  <c r="K64" i="26" s="1"/>
  <c r="N64" i="26" s="1"/>
  <c r="I64" i="26"/>
  <c r="G64" i="26"/>
  <c r="D65" i="26" s="1"/>
  <c r="F22" i="26"/>
  <c r="E22" i="26"/>
  <c r="E65" i="26" l="1"/>
  <c r="F65" i="26"/>
  <c r="G22" i="26"/>
  <c r="D23" i="26" s="1"/>
  <c r="H22" i="26"/>
  <c r="K22" i="26" s="1"/>
  <c r="N22" i="26" s="1"/>
  <c r="I22" i="26"/>
  <c r="I65" i="26" l="1"/>
  <c r="H65" i="26"/>
  <c r="K65" i="26" s="1"/>
  <c r="N65" i="26" s="1"/>
  <c r="F23" i="26"/>
  <c r="E23" i="26"/>
  <c r="G65" i="26"/>
  <c r="D66" i="26" s="1"/>
  <c r="E66" i="26" l="1"/>
  <c r="F66" i="26"/>
  <c r="I23" i="26"/>
  <c r="H23" i="26"/>
  <c r="K23" i="26" s="1"/>
  <c r="N23" i="26" s="1"/>
  <c r="G23" i="26"/>
  <c r="D24" i="26" s="1"/>
  <c r="H66" i="26" l="1"/>
  <c r="I66" i="26"/>
  <c r="E24" i="26"/>
  <c r="F24" i="26"/>
  <c r="K66" i="26"/>
  <c r="N66" i="26" s="1"/>
  <c r="G66" i="26"/>
  <c r="D67" i="26" s="1"/>
  <c r="E67" i="26" l="1"/>
  <c r="F67" i="26"/>
  <c r="G24" i="26"/>
  <c r="D25" i="26" s="1"/>
  <c r="H24" i="26"/>
  <c r="K24" i="26" s="1"/>
  <c r="N24" i="26" s="1"/>
  <c r="I24" i="26"/>
  <c r="F25" i="26" l="1"/>
  <c r="E25" i="26"/>
  <c r="I67" i="26"/>
  <c r="H67" i="26"/>
  <c r="K67" i="26" s="1"/>
  <c r="N67" i="26" s="1"/>
  <c r="G67" i="26"/>
  <c r="D68" i="26" s="1"/>
  <c r="I25" i="26" l="1"/>
  <c r="H25" i="26"/>
  <c r="G25" i="26"/>
  <c r="D26" i="26" s="1"/>
  <c r="K25" i="26"/>
  <c r="N25" i="26" s="1"/>
  <c r="E68" i="26"/>
  <c r="F68" i="26"/>
  <c r="I68" i="26" l="1"/>
  <c r="H68" i="26"/>
  <c r="E26" i="26"/>
  <c r="F26" i="26"/>
  <c r="G68" i="26"/>
  <c r="D69" i="26" s="1"/>
  <c r="K68" i="26"/>
  <c r="N68" i="26" s="1"/>
  <c r="G26" i="26" l="1"/>
  <c r="D27" i="26" s="1"/>
  <c r="E69" i="26"/>
  <c r="F69" i="26"/>
  <c r="I26" i="26"/>
  <c r="H26" i="26"/>
  <c r="K26" i="26" s="1"/>
  <c r="N26" i="26" s="1"/>
  <c r="H69" i="26" l="1"/>
  <c r="K69" i="26" s="1"/>
  <c r="N69" i="26" s="1"/>
  <c r="I69" i="26"/>
  <c r="G69" i="26"/>
  <c r="D70" i="26" s="1"/>
  <c r="E27" i="26"/>
  <c r="F27" i="26"/>
  <c r="E70" i="26" l="1"/>
  <c r="F70" i="26"/>
  <c r="H27" i="26"/>
  <c r="K27" i="26" s="1"/>
  <c r="N27" i="26" s="1"/>
  <c r="I27" i="26"/>
  <c r="G27" i="26"/>
  <c r="D28" i="26" s="1"/>
  <c r="I70" i="26" l="1"/>
  <c r="H70" i="26"/>
  <c r="F28" i="26"/>
  <c r="E28" i="26"/>
  <c r="G70" i="26"/>
  <c r="D71" i="26" s="1"/>
  <c r="K70" i="26"/>
  <c r="N70" i="26" s="1"/>
  <c r="I28" i="26" l="1"/>
  <c r="H28" i="26"/>
  <c r="K28" i="26" s="1"/>
  <c r="N28" i="26" s="1"/>
  <c r="E71" i="26"/>
  <c r="F71" i="26"/>
  <c r="G28" i="26"/>
  <c r="D29" i="26" s="1"/>
  <c r="G71" i="26" l="1"/>
  <c r="D72" i="26" s="1"/>
  <c r="F29" i="26"/>
  <c r="E29" i="26"/>
  <c r="H71" i="26"/>
  <c r="K71" i="26" s="1"/>
  <c r="N71" i="26" s="1"/>
  <c r="I71" i="26"/>
  <c r="H29" i="26" l="1"/>
  <c r="I29" i="26"/>
  <c r="E72" i="26"/>
  <c r="F72" i="26"/>
  <c r="K29" i="26"/>
  <c r="N29" i="26" s="1"/>
  <c r="G29" i="26"/>
  <c r="D30" i="26" s="1"/>
  <c r="F30" i="26" l="1"/>
  <c r="E30" i="26"/>
  <c r="G72" i="26"/>
  <c r="D73" i="26" s="1"/>
  <c r="H72" i="26"/>
  <c r="K72" i="26" s="1"/>
  <c r="N72" i="26" s="1"/>
  <c r="I72" i="26"/>
  <c r="E73" i="26" l="1"/>
  <c r="F73" i="26"/>
  <c r="G30" i="26"/>
  <c r="D31" i="26" s="1"/>
  <c r="H30" i="26"/>
  <c r="K30" i="26" s="1"/>
  <c r="N30" i="26" s="1"/>
  <c r="I30" i="26"/>
  <c r="F31" i="26" l="1"/>
  <c r="E31" i="26"/>
  <c r="I73" i="26"/>
  <c r="H73" i="26"/>
  <c r="K73" i="26" s="1"/>
  <c r="N73" i="26" s="1"/>
  <c r="G73" i="26"/>
  <c r="D74" i="26" s="1"/>
  <c r="E74" i="26" l="1"/>
  <c r="F74" i="26"/>
  <c r="G31" i="26"/>
  <c r="D32" i="26" s="1"/>
  <c r="I31" i="26"/>
  <c r="H31" i="26"/>
  <c r="K31" i="26" s="1"/>
  <c r="N31" i="26" s="1"/>
  <c r="F32" i="26" l="1"/>
  <c r="E32" i="26"/>
  <c r="I74" i="26"/>
  <c r="H74" i="26"/>
  <c r="K74" i="26" s="1"/>
  <c r="N74" i="26" s="1"/>
  <c r="G74" i="26"/>
  <c r="D75" i="26" s="1"/>
  <c r="G32" i="26" l="1"/>
  <c r="D33" i="26" s="1"/>
  <c r="E75" i="26"/>
  <c r="F75" i="26"/>
  <c r="H32" i="26"/>
  <c r="K32" i="26" s="1"/>
  <c r="N32" i="26" s="1"/>
  <c r="I32" i="26"/>
  <c r="G75" i="26" l="1"/>
  <c r="D76" i="26" s="1"/>
  <c r="F33" i="26"/>
  <c r="E33" i="26"/>
  <c r="I75" i="26"/>
  <c r="H75" i="26"/>
  <c r="K75" i="26" s="1"/>
  <c r="N75" i="26" s="1"/>
  <c r="G33" i="26" l="1"/>
  <c r="D34" i="26" s="1"/>
  <c r="I33" i="26"/>
  <c r="H33" i="26"/>
  <c r="K33" i="26" s="1"/>
  <c r="N33" i="26" s="1"/>
  <c r="E76" i="26"/>
  <c r="F76" i="26"/>
  <c r="I76" i="26" l="1"/>
  <c r="H76" i="26"/>
  <c r="G76" i="26"/>
  <c r="D77" i="26" s="1"/>
  <c r="K76" i="26"/>
  <c r="N76" i="26" s="1"/>
  <c r="E34" i="26"/>
  <c r="F34" i="26"/>
  <c r="E77" i="26" l="1"/>
  <c r="F77" i="26"/>
  <c r="I34" i="26"/>
  <c r="H34" i="26"/>
  <c r="K34" i="26" s="1"/>
  <c r="N34" i="26" s="1"/>
  <c r="G34" i="26"/>
  <c r="D35" i="26" s="1"/>
  <c r="I77" i="26" l="1"/>
  <c r="H77" i="26"/>
  <c r="F35" i="26"/>
  <c r="E35" i="26"/>
  <c r="G77" i="26"/>
  <c r="D78" i="26" s="1"/>
  <c r="K77" i="26"/>
  <c r="N77" i="26" s="1"/>
  <c r="G35" i="26" l="1"/>
  <c r="D36" i="26" s="1"/>
  <c r="I35" i="26"/>
  <c r="H35" i="26"/>
  <c r="K35" i="26" s="1"/>
  <c r="N35" i="26" s="1"/>
  <c r="E78" i="26"/>
  <c r="F78" i="26"/>
  <c r="I78" i="26" l="1"/>
  <c r="H78" i="26"/>
  <c r="G78" i="26"/>
  <c r="D79" i="26" s="1"/>
  <c r="K78" i="26"/>
  <c r="N78" i="26" s="1"/>
  <c r="E36" i="26"/>
  <c r="F36" i="26"/>
  <c r="H36" i="26" l="1"/>
  <c r="K36" i="26" s="1"/>
  <c r="N36" i="26" s="1"/>
  <c r="I36" i="26"/>
  <c r="E79" i="26"/>
  <c r="F79" i="26"/>
  <c r="G36" i="26"/>
  <c r="D37" i="26" s="1"/>
  <c r="E37" i="26" l="1"/>
  <c r="F37" i="26"/>
  <c r="G79" i="26"/>
  <c r="D80" i="26" s="1"/>
  <c r="H79" i="26"/>
  <c r="K79" i="26" s="1"/>
  <c r="N79" i="26" s="1"/>
  <c r="I79" i="26"/>
  <c r="H37" i="26" l="1"/>
  <c r="I37" i="26"/>
  <c r="K37" i="26"/>
  <c r="N37" i="26" s="1"/>
  <c r="G37" i="26"/>
  <c r="D38" i="26" s="1"/>
  <c r="E80" i="26"/>
  <c r="F80" i="26"/>
  <c r="H80" i="26" l="1"/>
  <c r="I80" i="26"/>
  <c r="F38" i="26"/>
  <c r="E38" i="26"/>
  <c r="G80" i="26"/>
  <c r="D81" i="26" s="1"/>
  <c r="K80" i="26"/>
  <c r="N80" i="26" s="1"/>
  <c r="H38" i="26" l="1"/>
  <c r="I38" i="26"/>
  <c r="E81" i="26"/>
  <c r="F81" i="26"/>
  <c r="K38" i="26"/>
  <c r="N38" i="26" s="1"/>
  <c r="G38" i="26"/>
  <c r="D39" i="26" s="1"/>
  <c r="G81" i="26" l="1"/>
  <c r="D82" i="26" s="1"/>
  <c r="E39" i="26"/>
  <c r="F39" i="26"/>
  <c r="I81" i="26"/>
  <c r="H81" i="26"/>
  <c r="K81" i="26" s="1"/>
  <c r="N81" i="26" s="1"/>
  <c r="H39" i="26" l="1"/>
  <c r="K39" i="26" s="1"/>
  <c r="N39" i="26" s="1"/>
  <c r="I39" i="26"/>
  <c r="G39" i="26"/>
  <c r="D40" i="26" s="1"/>
  <c r="E82" i="26"/>
  <c r="F82" i="26"/>
  <c r="I82" i="26" l="1"/>
  <c r="H82" i="26"/>
  <c r="K82" i="26" s="1"/>
  <c r="N82" i="26" s="1"/>
  <c r="F40" i="26"/>
  <c r="E40" i="26"/>
  <c r="G82" i="26"/>
  <c r="D83" i="26" s="1"/>
  <c r="I40" i="26" l="1"/>
  <c r="H40" i="26"/>
  <c r="K40" i="26" s="1"/>
  <c r="N40" i="26" s="1"/>
  <c r="E83" i="26"/>
  <c r="F83" i="26"/>
  <c r="G40" i="26"/>
  <c r="D41" i="26" s="1"/>
  <c r="G83" i="26" l="1"/>
  <c r="D84" i="26" s="1"/>
  <c r="F41" i="26"/>
  <c r="E41" i="26"/>
  <c r="H83" i="26"/>
  <c r="K83" i="26" s="1"/>
  <c r="N83" i="26" s="1"/>
  <c r="I83" i="26"/>
  <c r="I41" i="26" l="1"/>
  <c r="H41" i="26"/>
  <c r="K41" i="26" s="1"/>
  <c r="N41" i="26" s="1"/>
  <c r="E84" i="26"/>
  <c r="F84" i="26"/>
  <c r="G41" i="26"/>
  <c r="D42" i="26" s="1"/>
  <c r="G84" i="26" l="1"/>
  <c r="D85" i="26" s="1"/>
  <c r="F42" i="26"/>
  <c r="E42" i="26"/>
  <c r="I84" i="26"/>
  <c r="H84" i="26"/>
  <c r="K84" i="26" s="1"/>
  <c r="N84" i="26" s="1"/>
  <c r="H42" i="26" l="1"/>
  <c r="K42" i="26" s="1"/>
  <c r="N42" i="26" s="1"/>
  <c r="I42" i="26"/>
  <c r="G42" i="26"/>
  <c r="D43" i="26" s="1"/>
  <c r="E85" i="26"/>
  <c r="F85" i="26"/>
  <c r="E43" i="26" l="1"/>
  <c r="F43" i="26"/>
  <c r="H85" i="26"/>
  <c r="K85" i="26" s="1"/>
  <c r="N85" i="26" s="1"/>
  <c r="I85" i="26"/>
  <c r="G85" i="26"/>
  <c r="D86" i="26" s="1"/>
  <c r="H43" i="26" l="1"/>
  <c r="I43" i="26"/>
  <c r="E86" i="26"/>
  <c r="F86" i="26"/>
  <c r="K43" i="26"/>
  <c r="N43" i="26" s="1"/>
  <c r="G43" i="26"/>
  <c r="D44" i="26" s="1"/>
  <c r="E44" i="26" l="1"/>
  <c r="F44" i="26"/>
  <c r="K86" i="26"/>
  <c r="N86" i="26" s="1"/>
  <c r="G86" i="26"/>
  <c r="D87" i="26" s="1"/>
  <c r="I86" i="26"/>
  <c r="H86" i="26"/>
  <c r="E87" i="26" l="1"/>
  <c r="F87" i="26"/>
  <c r="H44" i="26"/>
  <c r="K44" i="26" s="1"/>
  <c r="N44" i="26" s="1"/>
  <c r="I44" i="26"/>
  <c r="G44" i="26"/>
  <c r="D45" i="26" s="1"/>
  <c r="F45" i="26" l="1"/>
  <c r="E45" i="26"/>
  <c r="H87" i="26"/>
  <c r="K87" i="26" s="1"/>
  <c r="N87" i="26" s="1"/>
  <c r="I87" i="26"/>
  <c r="G87" i="26"/>
  <c r="D88" i="26" s="1"/>
  <c r="G45" i="26" l="1"/>
  <c r="D46" i="26" s="1"/>
  <c r="E88" i="26"/>
  <c r="F88" i="26"/>
  <c r="H45" i="26"/>
  <c r="K45" i="26" s="1"/>
  <c r="N45" i="26" s="1"/>
  <c r="I45" i="26"/>
  <c r="G88" i="26" l="1"/>
  <c r="D89" i="26" s="1"/>
  <c r="E46" i="26"/>
  <c r="F46" i="26"/>
  <c r="I88" i="26"/>
  <c r="H88" i="26"/>
  <c r="K88" i="26" s="1"/>
  <c r="N88" i="26" s="1"/>
  <c r="G46" i="26" l="1"/>
  <c r="G48" i="26" s="1"/>
  <c r="E48" i="26"/>
  <c r="I46" i="26"/>
  <c r="H46" i="26"/>
  <c r="H48" i="26" s="1"/>
  <c r="F48" i="26"/>
  <c r="E89" i="26"/>
  <c r="F89" i="26"/>
  <c r="G89" i="26" l="1"/>
  <c r="D90" i="26" s="1"/>
  <c r="H89" i="26"/>
  <c r="K89" i="26" s="1"/>
  <c r="N89" i="26" s="1"/>
  <c r="I89" i="26"/>
  <c r="K46" i="26"/>
  <c r="N46" i="26" s="1"/>
  <c r="E90" i="26" l="1"/>
  <c r="F90" i="26"/>
  <c r="I90" i="26" l="1"/>
  <c r="H90" i="26"/>
  <c r="H92" i="26" s="1"/>
  <c r="F92" i="26"/>
  <c r="G90" i="26"/>
  <c r="G92" i="26" s="1"/>
  <c r="E92" i="26"/>
  <c r="F35" i="61"/>
  <c r="V34" i="61"/>
  <c r="X34" i="61" s="1"/>
  <c r="J34" i="61"/>
  <c r="L34" i="61" s="1"/>
  <c r="P34" i="61"/>
  <c r="AC34" i="61" s="1"/>
  <c r="AC36" i="61" s="1"/>
  <c r="R34" i="61"/>
  <c r="N40" i="61" s="1"/>
  <c r="P35" i="61" s="1"/>
  <c r="R35" i="61" s="1"/>
  <c r="F34" i="61"/>
  <c r="C40" i="61" s="1"/>
  <c r="K90" i="26" l="1"/>
  <c r="N90" i="26" s="1"/>
  <c r="AA34" i="61"/>
  <c r="H40" i="61"/>
  <c r="J35" i="61" s="1"/>
  <c r="L35" i="61" s="1"/>
  <c r="L36" i="61" s="1"/>
  <c r="F10" i="70"/>
  <c r="F20" i="70" s="1"/>
  <c r="F25" i="70" s="1"/>
  <c r="AH34" i="61"/>
  <c r="F36" i="61"/>
  <c r="R36" i="61"/>
  <c r="T40" i="61"/>
  <c r="V35" i="61" s="1"/>
  <c r="X35" i="61" s="1"/>
  <c r="L37" i="61" l="1"/>
  <c r="L44" i="61" s="1"/>
  <c r="L57" i="61" s="1"/>
  <c r="L59" i="61"/>
  <c r="M36" i="61" s="1"/>
  <c r="J78" i="61"/>
  <c r="J81" i="61" s="1"/>
  <c r="J83" i="61" s="1"/>
  <c r="F59" i="61"/>
  <c r="G36" i="61" s="1"/>
  <c r="F37" i="61"/>
  <c r="F44" i="61" s="1"/>
  <c r="F57" i="61" s="1"/>
  <c r="D78" i="61"/>
  <c r="AH35" i="61"/>
  <c r="AI34" i="61"/>
  <c r="AI35" i="61" s="1"/>
  <c r="AK34" i="61"/>
  <c r="AA35" i="61"/>
  <c r="AA36" i="61" s="1"/>
  <c r="X36" i="61"/>
  <c r="R59" i="61"/>
  <c r="P78" i="61"/>
  <c r="P81" i="61" s="1"/>
  <c r="P83" i="61" s="1"/>
  <c r="R37" i="61"/>
  <c r="R44" i="61" s="1"/>
  <c r="R57" i="61" s="1"/>
  <c r="M51" i="61" l="1"/>
  <c r="M29" i="61"/>
  <c r="M26" i="61"/>
  <c r="M32" i="61"/>
  <c r="M28" i="61"/>
  <c r="M53" i="61"/>
  <c r="M22" i="61"/>
  <c r="M27" i="61"/>
  <c r="M50" i="61"/>
  <c r="M52" i="61"/>
  <c r="M33" i="61"/>
  <c r="L63" i="61"/>
  <c r="M63" i="61" s="1"/>
  <c r="L62" i="61"/>
  <c r="M62" i="61" s="1"/>
  <c r="M30" i="61"/>
  <c r="M35" i="61"/>
  <c r="J67" i="61"/>
  <c r="J69" i="61" s="1"/>
  <c r="M23" i="61"/>
  <c r="M24" i="61"/>
  <c r="M25" i="61"/>
  <c r="M31" i="61"/>
  <c r="M34" i="61"/>
  <c r="AL34" i="61"/>
  <c r="AL35" i="61" s="1"/>
  <c r="AM34" i="61"/>
  <c r="AM35" i="61" s="1"/>
  <c r="AK35" i="61"/>
  <c r="S27" i="61"/>
  <c r="S29" i="61"/>
  <c r="S33" i="61"/>
  <c r="S53" i="61"/>
  <c r="R63" i="61"/>
  <c r="S63" i="61" s="1"/>
  <c r="S23" i="61"/>
  <c r="S25" i="61"/>
  <c r="S30" i="61"/>
  <c r="S22" i="61"/>
  <c r="P67" i="61"/>
  <c r="P69" i="61" s="1"/>
  <c r="Q71" i="61" s="1"/>
  <c r="Q73" i="61" s="1"/>
  <c r="S28" i="61"/>
  <c r="S51" i="61"/>
  <c r="S26" i="61"/>
  <c r="S31" i="61"/>
  <c r="S24" i="61"/>
  <c r="R62" i="61"/>
  <c r="S62" i="61" s="1"/>
  <c r="S50" i="61"/>
  <c r="S52" i="61"/>
  <c r="S32" i="61"/>
  <c r="S35" i="61"/>
  <c r="S34" i="61"/>
  <c r="S36" i="61"/>
  <c r="X59" i="61"/>
  <c r="Y36" i="61" s="1"/>
  <c r="X37" i="61"/>
  <c r="X44" i="61" s="1"/>
  <c r="X57" i="61" s="1"/>
  <c r="V78" i="61"/>
  <c r="V81" i="61" s="1"/>
  <c r="V83" i="61" s="1"/>
  <c r="G31" i="61"/>
  <c r="G53" i="61"/>
  <c r="G51" i="61"/>
  <c r="G33" i="61"/>
  <c r="G32" i="61"/>
  <c r="F63" i="61"/>
  <c r="G63" i="61" s="1"/>
  <c r="G52" i="61"/>
  <c r="G25" i="61"/>
  <c r="Y42" i="61"/>
  <c r="G35" i="61"/>
  <c r="G27" i="61"/>
  <c r="G29" i="61"/>
  <c r="S42" i="61"/>
  <c r="G42" i="61"/>
  <c r="M42" i="61"/>
  <c r="G24" i="61"/>
  <c r="D67" i="61"/>
  <c r="D69" i="61" s="1"/>
  <c r="E71" i="61" s="1"/>
  <c r="E73" i="61" s="1"/>
  <c r="G22" i="61"/>
  <c r="G26" i="61"/>
  <c r="G30" i="61"/>
  <c r="G28" i="61"/>
  <c r="G23" i="61"/>
  <c r="G50" i="61"/>
  <c r="F62" i="61"/>
  <c r="G62" i="61" s="1"/>
  <c r="G34" i="61"/>
  <c r="AC10" i="61"/>
  <c r="AA37" i="61"/>
  <c r="AA44" i="61" s="1"/>
  <c r="AA57" i="61" s="1"/>
  <c r="G48" i="24"/>
  <c r="D92" i="61"/>
  <c r="G92" i="61" s="1"/>
  <c r="D93" i="61"/>
  <c r="G93" i="61" s="1"/>
  <c r="D81" i="61"/>
  <c r="D83" i="61" s="1"/>
  <c r="D94" i="61"/>
  <c r="D91" i="61"/>
  <c r="G91" i="61" s="1"/>
  <c r="K71" i="61" l="1"/>
  <c r="K73" i="61" s="1"/>
  <c r="G59" i="61"/>
  <c r="M59" i="61"/>
  <c r="S59" i="61"/>
  <c r="L93" i="61"/>
  <c r="AA93" i="61"/>
  <c r="J93" i="61"/>
  <c r="K93" i="61" s="1"/>
  <c r="AK37" i="61"/>
  <c r="G10" i="70"/>
  <c r="AK38" i="61"/>
  <c r="H48" i="24"/>
  <c r="L48" i="24"/>
  <c r="L167" i="24" s="1"/>
  <c r="M168" i="24" s="1"/>
  <c r="G56" i="24"/>
  <c r="Y30" i="61"/>
  <c r="Y29" i="61"/>
  <c r="Y51" i="61"/>
  <c r="Y27" i="61"/>
  <c r="Y52" i="61"/>
  <c r="Y31" i="61"/>
  <c r="Y32" i="61"/>
  <c r="Y23" i="61"/>
  <c r="X62" i="61"/>
  <c r="Y62" i="61" s="1"/>
  <c r="X63" i="61"/>
  <c r="Y63" i="61" s="1"/>
  <c r="V67" i="61"/>
  <c r="V69" i="61" s="1"/>
  <c r="W71" i="61" s="1"/>
  <c r="W73" i="61" s="1"/>
  <c r="Y53" i="61"/>
  <c r="Y28" i="61"/>
  <c r="Y24" i="61"/>
  <c r="Y50" i="61"/>
  <c r="Y33" i="61"/>
  <c r="Y25" i="61"/>
  <c r="Y22" i="61"/>
  <c r="Y26" i="61"/>
  <c r="Y34" i="61"/>
  <c r="Y35" i="61"/>
  <c r="AA91" i="61"/>
  <c r="J91" i="61"/>
  <c r="K91" i="61" s="1"/>
  <c r="L92" i="61"/>
  <c r="AA92" i="61"/>
  <c r="J92" i="61"/>
  <c r="K92" i="61" s="1"/>
  <c r="G94" i="61"/>
  <c r="D95" i="61"/>
  <c r="G95" i="61" l="1"/>
  <c r="D96" i="61"/>
  <c r="G18" i="25"/>
  <c r="G26" i="25" s="1"/>
  <c r="G45" i="25"/>
  <c r="G55" i="25"/>
  <c r="B55" i="25" s="1"/>
  <c r="L94" i="61"/>
  <c r="J94" i="61"/>
  <c r="K94" i="61" s="1"/>
  <c r="AA94" i="61"/>
  <c r="N94" i="61"/>
  <c r="Y59" i="61"/>
  <c r="H52" i="24"/>
  <c r="G73" i="24"/>
  <c r="H56" i="24"/>
  <c r="G20" i="70"/>
  <c r="G25" i="70" s="1"/>
  <c r="J8" i="70" s="1"/>
  <c r="I10" i="70"/>
  <c r="H10" i="70"/>
  <c r="H20" i="70" s="1"/>
  <c r="H25" i="70" s="1"/>
  <c r="J10" i="70" l="1"/>
  <c r="J7" i="70"/>
  <c r="J16" i="70"/>
  <c r="J5" i="70"/>
  <c r="J6" i="70"/>
  <c r="E46" i="70"/>
  <c r="E48" i="70" s="1"/>
  <c r="E45" i="70"/>
  <c r="J22" i="70"/>
  <c r="J17" i="70"/>
  <c r="H91" i="24"/>
  <c r="H155" i="24"/>
  <c r="H73" i="24"/>
  <c r="H80" i="24"/>
  <c r="H87" i="24"/>
  <c r="H92" i="24"/>
  <c r="H85" i="24"/>
  <c r="H165" i="24"/>
  <c r="H99" i="24"/>
  <c r="H84" i="24"/>
  <c r="H77" i="24"/>
  <c r="H90" i="24"/>
  <c r="H88" i="24"/>
  <c r="H132" i="24"/>
  <c r="H118" i="24"/>
  <c r="H86" i="24"/>
  <c r="H79" i="24"/>
  <c r="H83" i="24"/>
  <c r="H81" i="24"/>
  <c r="H93" i="24"/>
  <c r="H78" i="24"/>
  <c r="H100" i="24"/>
  <c r="H94" i="24"/>
  <c r="G75" i="24"/>
  <c r="C177" i="24"/>
  <c r="H82" i="24"/>
  <c r="H95" i="24"/>
  <c r="H98" i="24"/>
  <c r="H146" i="24"/>
  <c r="H96" i="24"/>
  <c r="G96" i="61"/>
  <c r="D97" i="61"/>
  <c r="K10" i="70"/>
  <c r="L10" i="70" s="1"/>
  <c r="I20" i="70"/>
  <c r="I25" i="70" s="1"/>
  <c r="N95" i="61"/>
  <c r="AA95" i="61"/>
  <c r="J95" i="61"/>
  <c r="K95" i="61" s="1"/>
  <c r="L95" i="61"/>
  <c r="J20" i="70" l="1"/>
  <c r="J25" i="70" s="1"/>
  <c r="G102" i="24"/>
  <c r="H75" i="24"/>
  <c r="G97" i="61"/>
  <c r="D98" i="61"/>
  <c r="N96" i="61"/>
  <c r="J96" i="61"/>
  <c r="K96" i="61" s="1"/>
  <c r="L96" i="61"/>
  <c r="AA96" i="61"/>
  <c r="C180" i="24"/>
  <c r="B148" i="54"/>
  <c r="AA97" i="61" l="1"/>
  <c r="L97" i="61"/>
  <c r="J97" i="61"/>
  <c r="K97" i="61" s="1"/>
  <c r="N97" i="61"/>
  <c r="D148" i="54"/>
  <c r="B151" i="54"/>
  <c r="D99" i="61"/>
  <c r="G98" i="61"/>
  <c r="C181" i="24"/>
  <c r="C184" i="24"/>
  <c r="C186" i="24" s="1"/>
  <c r="H102" i="24"/>
  <c r="G167" i="24"/>
  <c r="H167" i="24" s="1"/>
  <c r="N98" i="61" l="1"/>
  <c r="AA98" i="61"/>
  <c r="J98" i="61"/>
  <c r="K98" i="61" s="1"/>
  <c r="L98" i="61"/>
  <c r="G99" i="61"/>
  <c r="D100" i="61"/>
  <c r="E189" i="24"/>
  <c r="C190" i="24"/>
  <c r="B155" i="54"/>
  <c r="B157" i="54" s="1"/>
  <c r="B152" i="54"/>
  <c r="D151" i="54"/>
  <c r="F148" i="54"/>
  <c r="D152" i="54" l="1"/>
  <c r="D155" i="54"/>
  <c r="D157" i="54" s="1"/>
  <c r="G100" i="61"/>
  <c r="D101" i="61"/>
  <c r="B161" i="54"/>
  <c r="B165" i="54" s="1"/>
  <c r="F151" i="54"/>
  <c r="H148" i="54"/>
  <c r="C194" i="24"/>
  <c r="C218" i="24"/>
  <c r="J99" i="61"/>
  <c r="K99" i="61" s="1"/>
  <c r="AA99" i="61"/>
  <c r="N99" i="61"/>
  <c r="L99" i="61"/>
  <c r="F152" i="54" l="1"/>
  <c r="F155" i="54"/>
  <c r="F157" i="54" s="1"/>
  <c r="AA100" i="61"/>
  <c r="N100" i="61"/>
  <c r="L100" i="61"/>
  <c r="J100" i="61"/>
  <c r="K100" i="61" s="1"/>
  <c r="H151" i="54"/>
  <c r="J148" i="54"/>
  <c r="D102" i="61"/>
  <c r="G101" i="61"/>
  <c r="C219" i="24"/>
  <c r="B189" i="54"/>
  <c r="D161" i="54"/>
  <c r="D165" i="54" s="1"/>
  <c r="C221" i="24" l="1"/>
  <c r="J151" i="54"/>
  <c r="L148" i="54"/>
  <c r="L151" i="54" s="1"/>
  <c r="F161" i="54"/>
  <c r="F165" i="54" s="1"/>
  <c r="B190" i="54"/>
  <c r="D189" i="54"/>
  <c r="H152" i="54"/>
  <c r="H155" i="54"/>
  <c r="H157" i="54" s="1"/>
  <c r="N101" i="61"/>
  <c r="AA101" i="61"/>
  <c r="L101" i="61"/>
  <c r="J101" i="61"/>
  <c r="K101" i="61" s="1"/>
  <c r="D103" i="61"/>
  <c r="G103" i="61" s="1"/>
  <c r="G102" i="61"/>
  <c r="N103" i="61" l="1"/>
  <c r="AA103" i="61"/>
  <c r="L103" i="61"/>
  <c r="J103" i="61"/>
  <c r="K103" i="61" s="1"/>
  <c r="J152" i="54"/>
  <c r="J155" i="54"/>
  <c r="J157" i="54" s="1"/>
  <c r="AA102" i="61"/>
  <c r="N102" i="61"/>
  <c r="J102" i="61"/>
  <c r="K102" i="61" s="1"/>
  <c r="L102" i="61"/>
  <c r="F189" i="54"/>
  <c r="D190" i="54"/>
  <c r="H161" i="54"/>
  <c r="H165" i="54" s="1"/>
  <c r="C227" i="24"/>
  <c r="C228" i="24" s="1"/>
  <c r="D228" i="24" s="1"/>
  <c r="B198" i="24"/>
  <c r="B192" i="54"/>
  <c r="C199" i="24"/>
  <c r="E199" i="24" s="1"/>
  <c r="C197" i="24"/>
  <c r="L155" i="54"/>
  <c r="L157" i="54" s="1"/>
  <c r="L152" i="54"/>
  <c r="B158" i="54"/>
  <c r="D158" i="54" l="1"/>
  <c r="D192" i="54"/>
  <c r="C229" i="24"/>
  <c r="H189" i="54"/>
  <c r="F190" i="54"/>
  <c r="J161" i="54"/>
  <c r="J165" i="54" s="1"/>
  <c r="L161" i="54"/>
  <c r="L165" i="54" s="1"/>
  <c r="B198" i="54"/>
  <c r="B199" i="54" s="1"/>
  <c r="B248" i="54"/>
  <c r="B250" i="54" s="1"/>
  <c r="B170" i="54" s="1"/>
  <c r="B246" i="54"/>
  <c r="B200" i="54" l="1"/>
  <c r="D246" i="54"/>
  <c r="D248" i="54"/>
  <c r="D250" i="54" s="1"/>
  <c r="D170" i="54" s="1"/>
  <c r="D198" i="54"/>
  <c r="D199" i="54" s="1"/>
  <c r="F192" i="54"/>
  <c r="F158" i="54"/>
  <c r="H190" i="54"/>
  <c r="J189" i="54"/>
  <c r="H158" i="54" l="1"/>
  <c r="H192" i="54"/>
  <c r="D200" i="54"/>
  <c r="J190" i="54"/>
  <c r="L189" i="54"/>
  <c r="L190" i="54" s="1"/>
  <c r="F198" i="54"/>
  <c r="F199" i="54" s="1"/>
  <c r="F246" i="54"/>
  <c r="F248" i="54"/>
  <c r="F250" i="54" s="1"/>
  <c r="F170" i="54" s="1"/>
  <c r="H246" i="54" l="1"/>
  <c r="H198" i="54"/>
  <c r="H199" i="54" s="1"/>
  <c r="H248" i="54"/>
  <c r="H250" i="54" s="1"/>
  <c r="H170" i="54" s="1"/>
  <c r="L158" i="54"/>
  <c r="L192" i="54"/>
  <c r="F200" i="54"/>
  <c r="J158" i="54"/>
  <c r="J192" i="54"/>
  <c r="H200" i="54" l="1"/>
  <c r="J198" i="54"/>
  <c r="J199" i="54" s="1"/>
  <c r="J246" i="54"/>
  <c r="J248" i="54"/>
  <c r="J250" i="54" s="1"/>
  <c r="J170" i="54" s="1"/>
  <c r="L246" i="54"/>
  <c r="L198" i="54"/>
  <c r="L199" i="54" s="1"/>
  <c r="L248" i="54"/>
  <c r="L250" i="54" s="1"/>
  <c r="L170" i="54" s="1"/>
  <c r="J200" i="54" l="1"/>
  <c r="L20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N8" authorId="0" shapeId="0" xr:uid="{00000000-0006-0000-0000-000001000000}">
      <text>
        <r>
          <rPr>
            <b/>
            <sz val="9"/>
            <color indexed="81"/>
            <rFont val="Tahoma"/>
            <family val="2"/>
          </rPr>
          <t>Mujunen Mika:</t>
        </r>
        <r>
          <rPr>
            <sz val="9"/>
            <color indexed="81"/>
            <rFont val="Tahoma"/>
            <family val="2"/>
          </rPr>
          <t xml:space="preserve">
Käytössä ympäri vuoden? Onko. Jos on, 8 h x 365 pv =</t>
        </r>
      </text>
    </comment>
    <comment ref="N9" authorId="1" shapeId="0" xr:uid="{00000000-0006-0000-0000-000002000000}">
      <text>
        <r>
          <rPr>
            <b/>
            <sz val="9"/>
            <color indexed="81"/>
            <rFont val="Tahoma"/>
            <family val="2"/>
          </rPr>
          <t>110 € / m3 asennettuna</t>
        </r>
      </text>
    </comment>
    <comment ref="C29" authorId="1" shapeId="0" xr:uid="{00000000-0006-0000-0000-000003000000}">
      <text>
        <r>
          <rPr>
            <b/>
            <sz val="9"/>
            <color indexed="81"/>
            <rFont val="Tahoma"/>
            <family val="2"/>
          </rPr>
          <t xml:space="preserve">Tunnit kuivurin käynnistä h/vuosi
</t>
        </r>
      </text>
    </comment>
    <comment ref="D29" authorId="1" shapeId="0" xr:uid="{00000000-0006-0000-0000-000004000000}">
      <text>
        <r>
          <rPr>
            <b/>
            <sz val="9"/>
            <color indexed="81"/>
            <rFont val="Tahoma"/>
            <family val="2"/>
          </rPr>
          <t>Kwh hinta + perusmaksu</t>
        </r>
      </text>
    </comment>
    <comment ref="E29" authorId="1" shapeId="0" xr:uid="{00000000-0006-0000-0000-000005000000}">
      <text>
        <r>
          <rPr>
            <b/>
            <sz val="9"/>
            <color indexed="81"/>
            <rFont val="Tahoma"/>
            <family val="2"/>
          </rPr>
          <t>Käsisyöttö tunneille kwh</t>
        </r>
      </text>
    </comment>
    <comment ref="H29" authorId="1" shapeId="0" xr:uid="{00000000-0006-0000-0000-000006000000}">
      <text>
        <r>
          <rPr>
            <b/>
            <sz val="9"/>
            <color indexed="81"/>
            <rFont val="Tahoma"/>
            <family val="2"/>
          </rPr>
          <t xml:space="preserve">Tunnit kuivurin käynnistä h/vuosi
</t>
        </r>
      </text>
    </comment>
    <comment ref="L29" authorId="1" shapeId="0" xr:uid="{00000000-0006-0000-0000-000007000000}">
      <text>
        <r>
          <rPr>
            <b/>
            <sz val="9"/>
            <color indexed="81"/>
            <rFont val="Tahoma"/>
            <family val="2"/>
          </rPr>
          <t xml:space="preserve">Tunnit kuivurin käynnistä h/vuosi
</t>
        </r>
      </text>
    </comment>
    <comment ref="P29" authorId="1" shapeId="0" xr:uid="{00000000-0006-0000-0000-000008000000}">
      <text>
        <r>
          <rPr>
            <b/>
            <sz val="9"/>
            <color indexed="81"/>
            <rFont val="Tahoma"/>
            <family val="2"/>
          </rPr>
          <t xml:space="preserve">Tunnit kuivurin käynnistä h/vuosi
</t>
        </r>
      </text>
    </comment>
    <comment ref="C38" authorId="1" shapeId="0" xr:uid="{00000000-0006-0000-0000-000009000000}">
      <text>
        <r>
          <rPr>
            <b/>
            <sz val="9"/>
            <color indexed="81"/>
            <rFont val="Tahoma"/>
            <family val="2"/>
          </rPr>
          <t>Kuivurilla ei tarvitse valvoa jokaista kuivurin työtuntia kohden!</t>
        </r>
      </text>
    </comment>
    <comment ref="K61" authorId="1" shapeId="0" xr:uid="{00000000-0006-0000-0000-00000A000000}">
      <text>
        <r>
          <rPr>
            <b/>
            <sz val="9"/>
            <color indexed="81"/>
            <rFont val="Tahoma"/>
            <family val="2"/>
          </rPr>
          <t>Laskentakaava: 
Alkukosteus % - Loppukosteus %
------------------------------------------- x viljamäärä kuivana kg
100 - Alkukosteus %</t>
        </r>
      </text>
    </comment>
    <comment ref="J62" authorId="1" shapeId="0" xr:uid="{00000000-0006-0000-0000-00000B000000}">
      <text>
        <r>
          <rPr>
            <b/>
            <sz val="9"/>
            <color indexed="81"/>
            <rFont val="Tahoma"/>
            <family val="2"/>
          </rPr>
          <t>Uunin tehosta kiinni. Mitä tehokkaampi uuni, sitä enemmän lämpöä ulos</t>
        </r>
      </text>
    </comment>
    <comment ref="F63" authorId="0" shapeId="0" xr:uid="{00000000-0006-0000-0000-00000C000000}">
      <text>
        <r>
          <rPr>
            <b/>
            <sz val="9"/>
            <color indexed="81"/>
            <rFont val="Tahoma"/>
            <family val="2"/>
          </rPr>
          <t>Mujunen Mika:</t>
        </r>
        <r>
          <rPr>
            <sz val="9"/>
            <color indexed="81"/>
            <rFont val="Tahoma"/>
            <family val="2"/>
          </rPr>
          <t xml:space="preserve">
Oletuksena sato kg/ha, mutta jos kuivattava sato yhteensä käsityöttölukema on &gt;0, jaetaan käsisyöttölukema pinta-alalla, joloin saadaan keskisato.</t>
        </r>
      </text>
    </comment>
    <comment ref="F83" authorId="1" shapeId="0" xr:uid="{00000000-0006-0000-0000-00000D000000}">
      <text>
        <r>
          <rPr>
            <b/>
            <sz val="9"/>
            <color indexed="81"/>
            <rFont val="Tahoma"/>
            <family val="2"/>
          </rPr>
          <t xml:space="preserve">Pinta-alan mukaan </t>
        </r>
      </text>
    </comment>
    <comment ref="G83" authorId="1" shapeId="0" xr:uid="{00000000-0006-0000-0000-00000E000000}">
      <text>
        <r>
          <rPr>
            <b/>
            <sz val="9"/>
            <color indexed="81"/>
            <rFont val="Tahoma"/>
            <family val="2"/>
          </rPr>
          <t>Syötä halutessasi kuivattava määrä suoraan</t>
        </r>
      </text>
    </comment>
    <comment ref="F85" authorId="1" shapeId="0" xr:uid="{00000000-0006-0000-0000-00000F000000}">
      <text>
        <r>
          <rPr>
            <b/>
            <sz val="9"/>
            <color indexed="81"/>
            <rFont val="Tahoma"/>
            <family val="2"/>
          </rPr>
          <t>Laskentakaava: 
Alkukosteus % - Loppukosteus %
------------------------------------------- x viljamäärä kuivana kg
100 - Alkukosteus %</t>
        </r>
      </text>
    </comment>
    <comment ref="F88" authorId="0" shapeId="0" xr:uid="{00000000-0006-0000-0000-000010000000}">
      <text>
        <r>
          <rPr>
            <b/>
            <sz val="9"/>
            <color indexed="81"/>
            <rFont val="Tahoma"/>
            <family val="2"/>
          </rPr>
          <t>Mujunen Mika:</t>
        </r>
        <r>
          <rPr>
            <sz val="9"/>
            <color indexed="81"/>
            <rFont val="Tahoma"/>
            <family val="2"/>
          </rPr>
          <t xml:space="preserve">
Öljy sisältää 43 MJ/kg energiaa
- Energian kulutus on lämpöhäviö arvioiden on 4,5-7 MJ/vesikilo
eli jos ajatellaan keskimäärin: 6 MJ vesikilo / 43 J /kg öljyä   =0,14 kg eli 140 g öljyä vesikg. </t>
        </r>
      </text>
    </comment>
    <comment ref="F89" authorId="1" shapeId="0" xr:uid="{00000000-0006-0000-0000-000011000000}">
      <text>
        <r>
          <rPr>
            <b/>
            <sz val="9"/>
            <color indexed="81"/>
            <rFont val="Tahoma"/>
            <family val="2"/>
          </rPr>
          <t>Kilot ensin tilavuusmittaan m3, joka määrä jaetaan kuivurin kertakuivauskapasiteetilla</t>
        </r>
      </text>
    </comment>
    <comment ref="G91" authorId="1" shapeId="0" xr:uid="{00000000-0006-0000-0000-000012000000}">
      <text>
        <r>
          <rPr>
            <b/>
            <sz val="9"/>
            <color indexed="81"/>
            <rFont val="Tahoma"/>
            <family val="2"/>
          </rPr>
          <t>100% oletus. Voit nostaa tai laskea %:na tuntimäärää kokemuksesi pohjalta. Esim. lisäys oletukselle 10 %--&gt;Kirjoita 110%</t>
        </r>
      </text>
    </comment>
    <comment ref="F92" authorId="1" shapeId="0" xr:uid="{00000000-0006-0000-0000-000013000000}">
      <text>
        <r>
          <rPr>
            <b/>
            <sz val="9"/>
            <color indexed="81"/>
            <rFont val="Tahoma"/>
            <family val="2"/>
          </rPr>
          <t>Ei polttoöljyn kulutusta, sähkö kuluu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A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A00-000002000000}">
      <text>
        <r>
          <rPr>
            <b/>
            <sz val="9"/>
            <color indexed="81"/>
            <rFont val="Tahoma"/>
            <family val="2"/>
          </rPr>
          <t>Tähän syotetty ohittaa tuntien määräsyötteet laskelmalta!</t>
        </r>
      </text>
    </comment>
    <comment ref="L35" authorId="0" shapeId="0" xr:uid="{00000000-0006-0000-0A00-000003000000}">
      <text>
        <r>
          <rPr>
            <b/>
            <sz val="9"/>
            <color indexed="81"/>
            <rFont val="Tahoma"/>
            <family val="2"/>
          </rPr>
          <t>Konetyötuntia yhteensä hehtaarille tai koko alalle</t>
        </r>
      </text>
    </comment>
    <comment ref="E36" authorId="0" shapeId="0" xr:uid="{00000000-0006-0000-0A00-000004000000}">
      <text>
        <r>
          <rPr>
            <b/>
            <sz val="9"/>
            <color indexed="81"/>
            <rFont val="Tahoma"/>
            <family val="2"/>
          </rPr>
          <t>litraa yhteensä hehtaarille tai koko alalle</t>
        </r>
      </text>
    </comment>
    <comment ref="F52" authorId="1" shapeId="0" xr:uid="{00000000-0006-0000-0A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isä Mika</author>
  </authors>
  <commentList>
    <comment ref="E8" authorId="0" shapeId="0" xr:uid="{00000000-0006-0000-0B00-000001000000}">
      <text>
        <r>
          <rPr>
            <b/>
            <sz val="9"/>
            <color indexed="8"/>
            <rFont val="Tahoma"/>
            <family val="2"/>
          </rPr>
          <t xml:space="preserve">Mika Mujunen:
</t>
        </r>
        <r>
          <rPr>
            <sz val="9"/>
            <color indexed="8"/>
            <rFont val="Tahoma"/>
            <family val="2"/>
          </rPr>
          <t>Laita hinta, jos myyt sadon. Jos syötät rehun omalle karjalle, et tarvitse arvioida. Hinta syntyy laskennan tuloksena. Katso alin rivi.</t>
        </r>
      </text>
    </comment>
    <comment ref="J34" authorId="1" shapeId="0" xr:uid="{00000000-0006-0000-0B00-000002000000}">
      <text>
        <r>
          <rPr>
            <b/>
            <sz val="9"/>
            <color indexed="81"/>
            <rFont val="Tahoma"/>
            <family val="2"/>
          </rPr>
          <t>Laskelman tunnit kohdasta määrä. Jos urakat olleet ha-palkkioina, syötä tunnit päästöjen laskentaa varteen viereiseen soluun!</t>
        </r>
      </text>
    </comment>
    <comment ref="K34" authorId="1" shapeId="0" xr:uid="{00000000-0006-0000-0B00-000003000000}">
      <text>
        <r>
          <rPr>
            <b/>
            <sz val="9"/>
            <color indexed="81"/>
            <rFont val="Tahoma"/>
            <family val="2"/>
          </rPr>
          <t>Tähän syotetty ohittaa tuntien määräsyötteet laskelmalta!</t>
        </r>
      </text>
    </comment>
    <comment ref="L37" authorId="1" shapeId="0" xr:uid="{00000000-0006-0000-0B00-000004000000}">
      <text>
        <r>
          <rPr>
            <b/>
            <sz val="9"/>
            <color indexed="81"/>
            <rFont val="Tahoma"/>
            <family val="2"/>
          </rPr>
          <t>Konetyötuntia yhteensä hehtaarille tai koko alalle</t>
        </r>
      </text>
    </comment>
    <comment ref="E38" authorId="1" shapeId="0" xr:uid="{00000000-0006-0000-0B00-000005000000}">
      <text>
        <r>
          <rPr>
            <b/>
            <sz val="9"/>
            <color indexed="81"/>
            <rFont val="Tahoma"/>
            <family val="2"/>
          </rPr>
          <t>litraa yhteensä hehtaarille tai koko alalle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C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C00-000002000000}">
      <text>
        <r>
          <rPr>
            <b/>
            <sz val="9"/>
            <color indexed="81"/>
            <rFont val="Tahoma"/>
            <family val="2"/>
          </rPr>
          <t>Tähän syotetty ohittaa tuntien määräsyötteet laskelmalta!</t>
        </r>
      </text>
    </comment>
    <comment ref="L35" authorId="0" shapeId="0" xr:uid="{00000000-0006-0000-0C00-000003000000}">
      <text>
        <r>
          <rPr>
            <b/>
            <sz val="9"/>
            <color indexed="81"/>
            <rFont val="Tahoma"/>
            <family val="2"/>
          </rPr>
          <t>Konetyötuntia yhteensä hehtaarille tai koko alalle</t>
        </r>
      </text>
    </comment>
    <comment ref="E36" authorId="0" shapeId="0" xr:uid="{00000000-0006-0000-0C00-000004000000}">
      <text>
        <r>
          <rPr>
            <b/>
            <sz val="9"/>
            <color indexed="81"/>
            <rFont val="Tahoma"/>
            <family val="2"/>
          </rPr>
          <t>litraa yhteensä hehtaarille tai koko alalle</t>
        </r>
      </text>
    </comment>
    <comment ref="F52" authorId="1" shapeId="0" xr:uid="{00000000-0006-0000-0C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D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D00-000002000000}">
      <text>
        <r>
          <rPr>
            <b/>
            <sz val="9"/>
            <color indexed="81"/>
            <rFont val="Tahoma"/>
            <family val="2"/>
          </rPr>
          <t>Tähän syotetty ohittaa tuntien määräsyötteet laskelmalta!</t>
        </r>
      </text>
    </comment>
    <comment ref="L35" authorId="0" shapeId="0" xr:uid="{00000000-0006-0000-0D00-000003000000}">
      <text>
        <r>
          <rPr>
            <b/>
            <sz val="9"/>
            <color indexed="81"/>
            <rFont val="Tahoma"/>
            <family val="2"/>
          </rPr>
          <t>Konetyötuntia yhteensä hehtaarille tai koko alalle</t>
        </r>
      </text>
    </comment>
    <comment ref="E36" authorId="0" shapeId="0" xr:uid="{00000000-0006-0000-0D00-000004000000}">
      <text>
        <r>
          <rPr>
            <b/>
            <sz val="9"/>
            <color indexed="81"/>
            <rFont val="Tahoma"/>
            <family val="2"/>
          </rPr>
          <t>litraa yhteensä hehtaarille tai koko alalle</t>
        </r>
      </text>
    </comment>
    <comment ref="F52" authorId="1" shapeId="0" xr:uid="{00000000-0006-0000-0D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isä Mika</author>
    <author>Mika Mujunen</author>
    <author>mika</author>
  </authors>
  <commentList>
    <comment ref="A4" authorId="0" shapeId="0" xr:uid="{00000000-0006-0000-0F00-000001000000}">
      <text>
        <r>
          <rPr>
            <b/>
            <sz val="9"/>
            <color indexed="81"/>
            <rFont val="Tahoma"/>
            <family val="2"/>
          </rPr>
          <t xml:space="preserve">Mika Mujunen
Monivuotisten marjakasvien kustannuslaskenta
Taulukossa lasket yhden vuoden tuotantokustannukset ja katteet eri tuotantovaiheessa oleville lohkoille.
Idea: Menet pellolle ja katsot ympärillesi. Esim. lohko A perustettu 3 vuotta sitten. lohko B 2 vuotta sitten, lohko C perustetaan tänä kesänä, lohko D perustetaan vasta ensi vuonna. 
Olkoon lohkojen A + B + C + D summa 1 ha ja lohkot ovat samankokoisia. Silloin kunkin lohkon koko on 0,25 ha. Tänä vuonna on viljelyksessä 0,25 ha +0,25 ha + 0,25 ha = 0,75 ha + 0,25 ha esim. kesannolla. Ensi vuonna viljelyksessä olisi kaikki eli 1 ha. 
Merkkaa perustietoihin monivuotisten marjakasien viljelypinta-alaksi 1 ha.
Jaa sitten itse laskelmalla tuo kokonaispinta-ala kasvatettavan marjan iän mukaisiin (viljelykierron) pinta-aloihin eli tässä esimerkissä 0,25 ha kukin lohko:
Nyt voit laskea tilikauden tuotantokustannuksen eri tuotantovaiheessa oleville lohkoille.
Huomaa asetus: 
Oletus on 1, jolloin lasket kunkin lohkon termillä ”hehtaaria kohden”.
Jos vaihdat asetuksen lukuun 2, merkitsee se, että laskenta muuttuu kyseisen lohkon pinta-alaa koskevaksi. Jos marjalohkon lohkon pinta-ala on 0.25, lasket sadon, tulot ja kustannukset 0,25 ha alalle yhden hehtaarin sijasta. 
Muutos laskennassa on valtava lukutasolla. Muista! Oletus1: Yhdelle hehtaarille ja luku 2, jolloin laskenta kohdistuu antamallesi pinta-alalle. Käyttäessäsi lukua 2 saatat saada isoja lukuja yhteenvedossa. Jos havaitset ristiriitaa, esim. sadot ja tulot näyttävät esim. miljoonia, on virhe todennäköisesti siinä, että olet vaihtanut asetusta.
Huomaathan , että perustamiskustannukset voit laskea kohdassa Taimilaskuri.
Taimilaskurin kustannukset kannattaa siirtää taulukkoon Muut kustannustiedot ja kohdistaa se laskennan kohteena olevalle monivuotiselle marjalle (oletus Kasvi). Muista jaksottaa perustamiskustannus käyttövuosille.
Leppoisaa laskentaa! 
</t>
        </r>
      </text>
    </comment>
    <comment ref="G4" authorId="1" shapeId="0" xr:uid="{B9177166-D072-4981-BF4E-500E6F727381}">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1" shapeId="0" xr:uid="{BD139754-54C6-403F-9FF1-2EBA15B79F2F}">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0" shapeId="0" xr:uid="{00000000-0006-0000-0F00-000002000000}">
      <text>
        <r>
          <rPr>
            <b/>
            <sz val="9"/>
            <color indexed="81"/>
            <rFont val="Tahoma"/>
            <family val="2"/>
          </rPr>
          <t>Rahtien litrat yht</t>
        </r>
      </text>
    </comment>
    <comment ref="F48" authorId="2" shapeId="0" xr:uid="{00000000-0006-0000-0F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0F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0F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0F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AB31" authorId="0" shapeId="0" xr:uid="{00000000-0006-0000-1000-000001000000}">
      <text>
        <r>
          <rPr>
            <b/>
            <sz val="9"/>
            <color indexed="81"/>
            <rFont val="Tahoma"/>
            <family val="2"/>
          </rPr>
          <t>Rahtien litrat yht</t>
        </r>
      </text>
    </comment>
    <comment ref="AI32" authorId="0" shapeId="0" xr:uid="{00000000-0006-0000-1000-000002000000}">
      <text>
        <r>
          <rPr>
            <b/>
            <sz val="9"/>
            <color indexed="81"/>
            <rFont val="Tahoma"/>
            <family val="2"/>
          </rPr>
          <t>Laskelman tunnit kohdasta määrä. Jos urakat olleet ha-palkkioina, syötä tunnit päästöjen laskentaa varteen viereiseen soluun!</t>
        </r>
      </text>
    </comment>
    <comment ref="AJ32" authorId="0" shapeId="0" xr:uid="{00000000-0006-0000-1000-000003000000}">
      <text>
        <r>
          <rPr>
            <b/>
            <sz val="9"/>
            <color indexed="81"/>
            <rFont val="Tahoma"/>
            <family val="2"/>
          </rPr>
          <t>Tähän syotetty ohittaa tuntien määräsyötteet laskelmalta!</t>
        </r>
      </text>
    </comment>
    <comment ref="F48" authorId="1" shapeId="0" xr:uid="{00000000-0006-0000-10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1" shapeId="0" xr:uid="{00000000-0006-0000-10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1" shapeId="0" xr:uid="{00000000-0006-0000-10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1" shapeId="0" xr:uid="{00000000-0006-0000-1000-000007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A0DB7C7A-4161-4323-B4CD-1D146C51FA07}">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8DFE9C09-1CDE-45BD-8A9F-66FCB06D025E}">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100-000001000000}">
      <text>
        <r>
          <rPr>
            <b/>
            <sz val="9"/>
            <color indexed="81"/>
            <rFont val="Tahoma"/>
            <family val="2"/>
          </rPr>
          <t>Rahtien litrat yht</t>
        </r>
      </text>
    </comment>
    <comment ref="F48" authorId="2" shapeId="0" xr:uid="{00000000-0006-0000-11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1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1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1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8C5A626-BBAC-45B4-8FC0-EEC6A357C3D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E66CFE7-3FE0-4E70-A016-F56776219353}">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200-000001000000}">
      <text>
        <r>
          <rPr>
            <b/>
            <sz val="9"/>
            <color indexed="81"/>
            <rFont val="Tahoma"/>
            <family val="2"/>
          </rPr>
          <t>Rahtien litrat yht</t>
        </r>
      </text>
    </comment>
    <comment ref="F48" authorId="2" shapeId="0" xr:uid="{00000000-0006-0000-12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2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2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2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4DE2802-C0A8-4E19-ACA4-7A3F4886BD4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1DE1F6A3-1464-401E-8E19-898BC0C28FCA}">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300-000001000000}">
      <text>
        <r>
          <rPr>
            <b/>
            <sz val="9"/>
            <color indexed="81"/>
            <rFont val="Tahoma"/>
            <family val="2"/>
          </rPr>
          <t>Rahtien litrat yht</t>
        </r>
      </text>
    </comment>
    <comment ref="F48" authorId="2" shapeId="0" xr:uid="{00000000-0006-0000-13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3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3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3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5F2DE251-8DDF-4522-BC80-0FAE892457F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40794F7-7F9F-4738-B259-6FFC8C07CB52}">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400-000001000000}">
      <text>
        <r>
          <rPr>
            <b/>
            <sz val="9"/>
            <color indexed="81"/>
            <rFont val="Tahoma"/>
            <family val="2"/>
          </rPr>
          <t>Rahtien litrat yht</t>
        </r>
      </text>
    </comment>
    <comment ref="F48" authorId="2" shapeId="0" xr:uid="{00000000-0006-0000-14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4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4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4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H24" authorId="0" shapeId="0" xr:uid="{00000000-0006-0000-0100-000001000000}">
      <text>
        <r>
          <rPr>
            <b/>
            <sz val="9"/>
            <color indexed="81"/>
            <rFont val="Tahoma"/>
            <family val="2"/>
          </rPr>
          <t>Polttoaineen lisäys käyttötunnille, kun kone kytketty traktoriin.</t>
        </r>
      </text>
    </comment>
    <comment ref="L24" authorId="0" shapeId="0" xr:uid="{00000000-0006-0000-0100-000002000000}">
      <text>
        <r>
          <rPr>
            <b/>
            <sz val="9"/>
            <color indexed="81"/>
            <rFont val="Tahoma"/>
            <family val="2"/>
          </rPr>
          <t>Polttoaineen lisäys käyttötunnille, kun kone kytketty traktoriin.</t>
        </r>
      </text>
    </comment>
    <comment ref="P24" authorId="0" shapeId="0" xr:uid="{00000000-0006-0000-0100-000003000000}">
      <text>
        <r>
          <rPr>
            <b/>
            <sz val="9"/>
            <color indexed="81"/>
            <rFont val="Tahoma"/>
            <family val="2"/>
          </rPr>
          <t>Polttoaineen lisäys käyttötunnille, kun kone kytketty traktoriin.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E5" authorId="0" shapeId="0" xr:uid="{00000000-0006-0000-1800-000001000000}">
      <text>
        <r>
          <rPr>
            <b/>
            <sz val="9"/>
            <color indexed="81"/>
            <rFont val="Tahoma"/>
            <family val="2"/>
          </rPr>
          <t>Eläinten lkm karjassa</t>
        </r>
      </text>
    </comment>
    <comment ref="I5" authorId="0" shapeId="0" xr:uid="{00000000-0006-0000-1800-000002000000}">
      <text>
        <r>
          <rPr>
            <b/>
            <sz val="9"/>
            <color indexed="81"/>
            <rFont val="Tahoma"/>
            <family val="2"/>
          </rPr>
          <t>Eläinten lkm karjassa</t>
        </r>
      </text>
    </comment>
    <comment ref="M5" authorId="0" shapeId="0" xr:uid="{00000000-0006-0000-1800-000003000000}">
      <text>
        <r>
          <rPr>
            <b/>
            <sz val="9"/>
            <color indexed="81"/>
            <rFont val="Tahoma"/>
            <family val="2"/>
          </rPr>
          <t>Eläinten lkm karjassa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1900-000001000000}">
      <text>
        <r>
          <rPr>
            <b/>
            <sz val="9"/>
            <color indexed="8"/>
            <rFont val="Tahoma"/>
            <family val="2"/>
          </rPr>
          <t xml:space="preserve">mika:
</t>
        </r>
        <r>
          <rPr>
            <sz val="9"/>
            <color indexed="8"/>
            <rFont val="Tahoma"/>
            <family val="2"/>
          </rPr>
          <t xml:space="preserve">Jos aputaulukko energiantarpeesta ei avaudu, on se tilan säästämisen takia piilotettu. 
1.Napsauta taulukonvalitsinta (alhaalla taulujen päällä) hiiren kakkospainikkeella.
2. Pikavalikossa on Näytä -valinta.
3. Napsauta Näytä -valintaa.
4. Piilottamani laskentataulukko tulee näkyviin.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isä Mika</author>
  </authors>
  <commentList>
    <comment ref="E5" authorId="0" shapeId="0" xr:uid="{00000000-0006-0000-1B00-000001000000}">
      <text>
        <r>
          <rPr>
            <b/>
            <sz val="9"/>
            <color indexed="81"/>
            <rFont val="Tahoma"/>
            <family val="2"/>
          </rPr>
          <t>Eläinten lkm karjassa</t>
        </r>
      </text>
    </comment>
    <comment ref="I5" authorId="0" shapeId="0" xr:uid="{00000000-0006-0000-1B00-000002000000}">
      <text>
        <r>
          <rPr>
            <b/>
            <sz val="9"/>
            <color indexed="81"/>
            <rFont val="Tahoma"/>
            <family val="2"/>
          </rPr>
          <t>Eläinten lkm karjassa</t>
        </r>
      </text>
    </comment>
    <comment ref="M5" authorId="0" shapeId="0" xr:uid="{00000000-0006-0000-1B00-000003000000}">
      <text>
        <r>
          <rPr>
            <b/>
            <sz val="9"/>
            <color indexed="81"/>
            <rFont val="Tahoma"/>
            <family val="2"/>
          </rPr>
          <t>Eläinten lkm karjassa</t>
        </r>
      </text>
    </comment>
    <comment ref="C6" authorId="1" shapeId="0" xr:uid="{00000000-0006-0000-1B00-000004000000}">
      <text>
        <r>
          <rPr>
            <b/>
            <sz val="9"/>
            <color indexed="81"/>
            <rFont val="Tahoma"/>
            <family val="2"/>
          </rPr>
          <t>KK</t>
        </r>
      </text>
    </comment>
    <comment ref="D6" authorId="1" shapeId="0" xr:uid="{00000000-0006-0000-1B00-000005000000}">
      <text>
        <r>
          <rPr>
            <b/>
            <sz val="9"/>
            <color indexed="81"/>
            <rFont val="Tahoma"/>
            <family val="2"/>
          </rPr>
          <t>pv/kk</t>
        </r>
      </text>
    </comment>
    <comment ref="G6" authorId="1" shapeId="0" xr:uid="{00000000-0006-0000-1B00-000006000000}">
      <text>
        <r>
          <rPr>
            <b/>
            <sz val="9"/>
            <color indexed="81"/>
            <rFont val="Tahoma"/>
            <family val="2"/>
          </rPr>
          <t>KK</t>
        </r>
      </text>
    </comment>
    <comment ref="H6" authorId="1" shapeId="0" xr:uid="{00000000-0006-0000-1B00-000007000000}">
      <text>
        <r>
          <rPr>
            <b/>
            <sz val="9"/>
            <color indexed="81"/>
            <rFont val="Tahoma"/>
            <family val="2"/>
          </rPr>
          <t>pv/kk</t>
        </r>
      </text>
    </comment>
    <comment ref="K6" authorId="1" shapeId="0" xr:uid="{00000000-0006-0000-1B00-000008000000}">
      <text>
        <r>
          <rPr>
            <b/>
            <sz val="9"/>
            <color indexed="81"/>
            <rFont val="Tahoma"/>
            <family val="2"/>
          </rPr>
          <t>KK</t>
        </r>
      </text>
    </comment>
    <comment ref="L6" authorId="1" shapeId="0" xr:uid="{00000000-0006-0000-1B00-000009000000}">
      <text>
        <r>
          <rPr>
            <b/>
            <sz val="9"/>
            <color indexed="81"/>
            <rFont val="Tahoma"/>
            <family val="2"/>
          </rPr>
          <t>pv/kk</t>
        </r>
      </text>
    </comment>
    <comment ref="D60" authorId="2" shapeId="0" xr:uid="{00000000-0006-0000-1B00-00000A000000}">
      <text>
        <r>
          <rPr>
            <b/>
            <sz val="9"/>
            <color indexed="81"/>
            <rFont val="Tahoma"/>
            <family val="2"/>
          </rPr>
          <t>Oletus 0%, koska
laskenta suositus % käyttäen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I8" authorId="0" shapeId="0" xr:uid="{00000000-0006-0000-1F00-000001000000}">
      <text>
        <r>
          <rPr>
            <b/>
            <sz val="9"/>
            <color indexed="81"/>
            <rFont val="Tahoma"/>
            <family val="2"/>
          </rPr>
          <t>Viitenumerolaskuri tarvitsee vähintään perusosakseen 3 numeroa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Mika Mujunen</author>
  </authors>
  <commentList>
    <comment ref="P10" authorId="0" shapeId="0" xr:uid="{00000000-0006-0000-2000-000001000000}">
      <text>
        <r>
          <rPr>
            <b/>
            <sz val="9"/>
            <color indexed="81"/>
            <rFont val="Tahoma"/>
            <family val="2"/>
          </rPr>
          <t>mika:</t>
        </r>
        <r>
          <rPr>
            <sz val="9"/>
            <color indexed="81"/>
            <rFont val="Tahoma"/>
            <family val="2"/>
          </rPr>
          <t xml:space="preserve">
Hinnoittelukerroin = 100 % / 100% - Kate%
Myyntihinta = Hinnoittelukerroin x hankintahinta
Esim.
Siinä tapauksessa, että kate on 65%, on hinnoittelukerroin:  
100 / (100 - Kate%) = 100 / 35 = 2,8571
Jos tuotteen muuttuvat hankintakustannukset ovat 2,50 € (alv 0%).
Myyntihinta ilman alv = 2,8571 (hinnoittelukerroin) * 2,50= 7,14 € (kun kate 65%) 
Arvonlisäverollinen myyntihinta = 1.24 * 7,14€ = 8,85 € (jos verokanta 24%)
ja edelleen katelaskelma yhden tuotteen osalta
Myynti 7,14 100% 
Muuttuvat kustannukset 2,50 35% 
Katetuotto 4,64 65% 
</t>
        </r>
      </text>
    </comment>
    <comment ref="AA10" authorId="1" shapeId="0" xr:uid="{00000000-0006-0000-2000-000002000000}">
      <text>
        <r>
          <rPr>
            <b/>
            <sz val="9"/>
            <color indexed="81"/>
            <rFont val="Tahoma"/>
            <family val="2"/>
          </rPr>
          <t>Mujunen Mika:</t>
        </r>
        <r>
          <rPr>
            <sz val="9"/>
            <color indexed="81"/>
            <rFont val="Tahoma"/>
            <family val="2"/>
          </rPr>
          <t xml:space="preserve">
Jos oma hinta on tuotantokustanus, on kulut jo vähennetty aiemmissa laskelmissa. Viittaus ehtoon, joka on
 K-sarakkeessa)</t>
        </r>
      </text>
    </comment>
    <comment ref="K11" authorId="0" shapeId="0" xr:uid="{00000000-0006-0000-2000-000003000000}">
      <text>
        <r>
          <rPr>
            <b/>
            <sz val="8"/>
            <color indexed="81"/>
            <rFont val="Tahoma"/>
            <family val="2"/>
          </rPr>
          <t>Jos oma hinta on tuotantokustanus, on kulut jo vähennetty aiemmissa laskelmissa. Oletus siksi EI=E. Jos kuluja ei ole vähennetty, laita K=KYLLÄ.</t>
        </r>
      </text>
    </comment>
    <comment ref="M11" authorId="2" shapeId="0" xr:uid="{00000000-0006-0000-2000-000004000000}">
      <text>
        <r>
          <rPr>
            <sz val="9"/>
            <color indexed="81"/>
            <rFont val="Tahoma"/>
            <family val="2"/>
          </rPr>
          <t>Aika yksikköä kohden. 
Jaa kokonaistyöaikatunnit yksiköillä
Minuutit saat min/60
esim 10 min/kpl
kirjoita=10/60</t>
        </r>
      </text>
    </comment>
    <comment ref="S11" authorId="0" shapeId="0" xr:uid="{00000000-0006-0000-2000-000005000000}">
      <text>
        <r>
          <rPr>
            <b/>
            <sz val="9"/>
            <color indexed="81"/>
            <rFont val="Tahoma"/>
            <family val="2"/>
          </rPr>
          <t>Laske hinta asettamalla myyntikate. Mikäli hinta ei "asetu myyntikate %:lla kohdilleen, aseta hinta tähän manuaalisesti</t>
        </r>
      </text>
    </comment>
    <comment ref="G58" authorId="0" shapeId="0" xr:uid="{00000000-0006-0000-2000-000006000000}">
      <text>
        <r>
          <rPr>
            <sz val="9"/>
            <color indexed="81"/>
            <rFont val="Tahoma"/>
            <family val="2"/>
          </rPr>
          <t>Tulosennusteelle menevä osa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8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isä Mika</author>
    <author/>
  </authors>
  <commentList>
    <comment ref="L35" authorId="0" shapeId="0" xr:uid="{00000000-0006-0000-0E00-000001000000}">
      <text>
        <r>
          <rPr>
            <b/>
            <sz val="9"/>
            <color indexed="81"/>
            <rFont val="Tahoma"/>
            <family val="2"/>
          </rPr>
          <t>Konetyötuntia yhteensä hehtaarille tai koko alalle</t>
        </r>
      </text>
    </comment>
    <comment ref="F54" authorId="1" shapeId="0" xr:uid="{00000000-0006-0000-0E00-000002000000}">
      <text>
        <r>
          <rPr>
            <b/>
            <sz val="8"/>
            <color indexed="9"/>
            <rFont val="Tahoma"/>
            <family val="2"/>
          </rPr>
          <t xml:space="preserve">mikamu:
</t>
        </r>
        <r>
          <rPr>
            <sz val="8"/>
            <color indexed="9"/>
            <rFont val="Tahoma"/>
            <family val="2"/>
          </rPr>
          <t>Poisto / peltohehtaareilla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95" authorId="0" shapeId="0" xr:uid="{67A7DF6C-AD99-47FB-AFEB-1FAAC8405B66}">
      <text>
        <r>
          <rPr>
            <b/>
            <sz val="9"/>
            <color indexed="81"/>
            <rFont val="Tahoma"/>
            <family val="2"/>
          </rPr>
          <t>Mika Mujunen:</t>
        </r>
        <r>
          <rPr>
            <sz val="9"/>
            <color indexed="81"/>
            <rFont val="Tahoma"/>
            <family val="2"/>
          </rPr>
          <t xml:space="preserve">
Lihalaskelman kaikki tunnit koko kasvatusjaksolta laskelmassa korjattuna tilikauden (yleensä 12 kk) mukaiseksi verailukelpoisuuden saavuttamiseksi.</t>
        </r>
      </text>
    </comment>
    <comment ref="K95" authorId="0" shapeId="0" xr:uid="{48925EC3-3213-45E0-8AE3-CC1F5F132CAC}">
      <text>
        <r>
          <rPr>
            <b/>
            <sz val="9"/>
            <color indexed="81"/>
            <rFont val="Tahoma"/>
            <family val="2"/>
          </rPr>
          <t>Mika Mujunen:</t>
        </r>
        <r>
          <rPr>
            <sz val="9"/>
            <color indexed="81"/>
            <rFont val="Tahoma"/>
            <family val="2"/>
          </rPr>
          <t xml:space="preserve">
Lihalaskelman kaikki tunnit koko kasvatusjaksolta laskelmassa</t>
        </r>
      </text>
    </comment>
    <comment ref="C103" authorId="1" shapeId="0" xr:uid="{00000000-0006-0000-2200-000001000000}">
      <text>
        <r>
          <rPr>
            <b/>
            <sz val="9"/>
            <color indexed="81"/>
            <rFont val="Tahoma"/>
            <family val="2"/>
          </rPr>
          <t>Ely-simultaatiota varten kirjoita ELY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300-000001000000}">
      <text>
        <r>
          <rPr>
            <b/>
            <sz val="9"/>
            <color indexed="81"/>
            <rFont val="Tahoma"/>
            <family val="2"/>
          </rPr>
          <t>Kassalukema luetaan riviltä 58.</t>
        </r>
      </text>
    </comment>
    <comment ref="S2" authorId="0" shapeId="0" xr:uid="{00000000-0006-0000-2300-000002000000}">
      <text>
        <r>
          <rPr>
            <b/>
            <sz val="9"/>
            <color indexed="81"/>
            <rFont val="Tahoma"/>
            <family val="2"/>
          </rPr>
          <t>Kassalukema tulee riviltä 58 alhaalta. Selaa.</t>
        </r>
      </text>
    </comment>
    <comment ref="F5" authorId="0" shapeId="0" xr:uid="{00000000-0006-0000-2300-000003000000}">
      <text>
        <r>
          <rPr>
            <b/>
            <sz val="9"/>
            <color indexed="81"/>
            <rFont val="Tahoma"/>
            <family val="2"/>
          </rPr>
          <t>Maksimi 12 kk
Minimi 1 kk.</t>
        </r>
      </text>
    </comment>
    <comment ref="F6" authorId="0" shapeId="0" xr:uid="{00000000-0006-0000-2300-000004000000}">
      <text>
        <r>
          <rPr>
            <b/>
            <sz val="9"/>
            <color indexed="81"/>
            <rFont val="Tahoma"/>
            <family val="2"/>
          </rPr>
          <t>Maksimi 12 kk
Minimi 1 kk.</t>
        </r>
      </text>
    </comment>
    <comment ref="G50" authorId="1" shapeId="0" xr:uid="{00000000-0006-0000-2300-000005000000}">
      <text>
        <r>
          <rPr>
            <sz val="9"/>
            <color indexed="8"/>
            <rFont val="Tahoma"/>
            <family val="2"/>
          </rPr>
          <t xml:space="preserve">Tämä tieto siirtyy Korkolaskurilta
</t>
        </r>
      </text>
    </comment>
    <comment ref="G51" authorId="1" shapeId="0" xr:uid="{00000000-0006-0000-2300-000006000000}">
      <text>
        <r>
          <rPr>
            <sz val="9"/>
            <color indexed="8"/>
            <rFont val="Tahoma"/>
            <family val="2"/>
          </rPr>
          <t xml:space="preserve">Tämä tieto siirtyy Korkolaskurilta
</t>
        </r>
      </text>
    </comment>
    <comment ref="G60" authorId="1" shapeId="0" xr:uid="{00000000-0006-0000-2300-000007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300-000008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400-000001000000}">
      <text>
        <r>
          <rPr>
            <b/>
            <sz val="9"/>
            <color indexed="81"/>
            <rFont val="Tahoma"/>
            <family val="2"/>
          </rPr>
          <t>Kassalukema luetaan riviltä 58.</t>
        </r>
      </text>
    </comment>
    <comment ref="S2" authorId="0" shapeId="0" xr:uid="{00000000-0006-0000-2400-000002000000}">
      <text>
        <r>
          <rPr>
            <b/>
            <sz val="9"/>
            <color indexed="81"/>
            <rFont val="Tahoma"/>
            <family val="2"/>
          </rPr>
          <t>Kassalukema tulee riviltä 58 alhaalta. Selaa.</t>
        </r>
      </text>
    </comment>
    <comment ref="G50" authorId="1" shapeId="0" xr:uid="{00000000-0006-0000-2400-000003000000}">
      <text>
        <r>
          <rPr>
            <sz val="9"/>
            <color indexed="8"/>
            <rFont val="Tahoma"/>
            <family val="2"/>
          </rPr>
          <t xml:space="preserve">Tämä tieto siirtyy Korkolaskurilta
</t>
        </r>
      </text>
    </comment>
    <comment ref="G51" authorId="1" shapeId="0" xr:uid="{00000000-0006-0000-2400-000004000000}">
      <text>
        <r>
          <rPr>
            <sz val="9"/>
            <color indexed="8"/>
            <rFont val="Tahoma"/>
            <family val="2"/>
          </rPr>
          <t xml:space="preserve">Tämä tieto siirtyy Korkolaskurilta
</t>
        </r>
      </text>
    </comment>
    <comment ref="G60" authorId="1" shapeId="0" xr:uid="{00000000-0006-0000-2400-000005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400-000006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14" authorId="0" shapeId="0" xr:uid="{00000000-0006-0000-0200-000001000000}">
      <text>
        <r>
          <rPr>
            <b/>
            <sz val="9"/>
            <color indexed="8"/>
            <rFont val="Tahoma"/>
            <family val="2"/>
          </rPr>
          <t xml:space="preserve">Mika:
</t>
        </r>
        <r>
          <rPr>
            <sz val="9"/>
            <color indexed="8"/>
            <rFont val="Tahoma"/>
            <family val="2"/>
          </rPr>
          <t>4 RY/pv laitumesta x 107 pv</t>
        </r>
      </text>
    </comment>
    <comment ref="E28" authorId="0" shapeId="0" xr:uid="{00000000-0006-0000-0200-000002000000}">
      <text>
        <r>
          <rPr>
            <b/>
            <sz val="9"/>
            <color indexed="8"/>
            <rFont val="Tahoma"/>
            <family val="2"/>
          </rPr>
          <t xml:space="preserve">Mika:
</t>
        </r>
        <r>
          <rPr>
            <sz val="9"/>
            <color indexed="8"/>
            <rFont val="Tahoma"/>
            <family val="2"/>
          </rPr>
          <t>Nurmen hyödyntämis-% ajankohta huomioiden. Keväällä kasvu nopeaa ja lehmä ei ehdi syödä kasvua.</t>
        </r>
      </text>
    </comment>
    <comment ref="E30" authorId="0" shapeId="0" xr:uid="{00000000-0006-0000-0200-000003000000}">
      <text>
        <r>
          <rPr>
            <b/>
            <sz val="9"/>
            <color indexed="8"/>
            <rFont val="Tahoma"/>
            <family val="2"/>
          </rPr>
          <t>Nurmen hyödyntämis-% ajankohta huomioiden. Syksymmällä kasvu kevättä hitaampaa ja lehmä ehtii syödä kasvua.</t>
        </r>
      </text>
    </comment>
    <comment ref="C47" authorId="0" shapeId="0" xr:uid="{00000000-0006-0000-0200-000004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 ref="D47" authorId="0" shapeId="0" xr:uid="{00000000-0006-0000-0200-000005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C166" authorId="0" shapeId="0" xr:uid="{00000000-0006-0000-2600-000001000000}">
      <text>
        <r>
          <rPr>
            <b/>
            <sz val="9"/>
            <color indexed="81"/>
            <rFont val="Tahoma"/>
            <family val="2"/>
          </rPr>
          <t>mika:</t>
        </r>
        <r>
          <rPr>
            <sz val="9"/>
            <color indexed="81"/>
            <rFont val="Tahoma"/>
            <family val="2"/>
          </rPr>
          <t xml:space="preserve">
Jos tässä arvo, lasketaan tälä mikäli ei ely-laskelma. Muutoin oletus.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isä Mika</author>
  </authors>
  <commentList>
    <comment ref="B33" authorId="0" shapeId="0" xr:uid="{00000000-0006-0000-2700-000001000000}">
      <text>
        <r>
          <rPr>
            <b/>
            <sz val="9"/>
            <color indexed="81"/>
            <rFont val="Tahoma"/>
            <family val="2"/>
          </rPr>
          <t xml:space="preserve">Pinta-alan mukaan </t>
        </r>
      </text>
    </comment>
    <comment ref="C33" authorId="0" shapeId="0" xr:uid="{00000000-0006-0000-2700-000002000000}">
      <text>
        <r>
          <rPr>
            <b/>
            <sz val="9"/>
            <color indexed="81"/>
            <rFont val="Tahoma"/>
            <family val="2"/>
          </rPr>
          <t>Syötä halutessasi kuivattava määrä suoraan</t>
        </r>
      </text>
    </comment>
    <comment ref="B34" authorId="0" shapeId="0" xr:uid="{00000000-0006-0000-2700-000003000000}">
      <text>
        <r>
          <rPr>
            <b/>
            <sz val="9"/>
            <color indexed="81"/>
            <rFont val="Tahoma"/>
            <family val="2"/>
          </rPr>
          <t>Laskentakaava: 
Alkukosteus % - Loppukosteus %
------------------------------------------- x viljamäärä kuivana kg
100 - Alkukosteus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Tekijä</author>
    <author>Mika Mujunen</author>
  </authors>
  <commentList>
    <comment ref="A4" authorId="0" shapeId="0" xr:uid="{EC38C0D9-692E-49D5-A89B-649284D640BE}">
      <text>
        <r>
          <rPr>
            <b/>
            <sz val="9"/>
            <color indexed="81"/>
            <rFont val="Tahoma"/>
            <family val="2"/>
          </rPr>
          <t>Merkkaa luku, jos haluat jakaa kokonaisuuden kustannusta.
Oletus=Älä käytä!
1 määrä kokonaisuutta, siksi oletus 1. Muuta vain tarvittaessa ja tiedostat mitä teet. 
Muokkaa syntyvää määrää laskelman loppuun verollisen hinnan alle soluun P15. Saat yhden hinnan!</t>
        </r>
      </text>
    </comment>
    <comment ref="B4" authorId="0" shapeId="0" xr:uid="{CD1D0F3D-B7DA-4DD5-8EDF-B88CA36507CD}">
      <text>
        <r>
          <rPr>
            <b/>
            <sz val="9"/>
            <color indexed="81"/>
            <rFont val="Tahoma"/>
            <family val="2"/>
          </rPr>
          <t>Mika Mujunen</t>
        </r>
        <r>
          <rPr>
            <sz val="9"/>
            <color indexed="81"/>
            <rFont val="Tahoma"/>
            <family val="2"/>
          </rPr>
          <t xml:space="preserve">
LEAN-laskentaa varten. Jos työmäärä lisää palvelun tai tuotteen arvoa, laita x. Jos työ on välttämätöntä, mutta arvoa asiakkaalle tuottamatonta, poista x.</t>
        </r>
      </text>
    </comment>
    <comment ref="B47" authorId="0" shapeId="0" xr:uid="{DC570A4F-D0EE-4732-AE17-BE88C5CD689E}">
      <text>
        <r>
          <rPr>
            <sz val="9"/>
            <color indexed="81"/>
            <rFont val="Tahoma"/>
            <family val="2"/>
          </rPr>
          <t>Mika Mujunen
LEAN-laskentaa varten. Jos työmäärä lisää palvelun tai tuotteen arvoa, laita x. Jos työ on välttämätöntä, mutta arvoa asiakkaalle tuottamatonta, poista x.</t>
        </r>
      </text>
    </comment>
    <comment ref="F73" authorId="1" shapeId="0" xr:uid="{0D599393-D441-4B4B-B3B5-6244FCCC6F7C}">
      <text>
        <r>
          <rPr>
            <b/>
            <sz val="9"/>
            <color indexed="81"/>
            <rFont val="Tahoma"/>
            <family val="2"/>
          </rPr>
          <t>Mika Mujunen:</t>
        </r>
        <r>
          <rPr>
            <sz val="9"/>
            <color indexed="81"/>
            <rFont val="Tahoma"/>
            <family val="2"/>
          </rPr>
          <t xml:space="preserve">
Arvioi määrä, jonka näitä laskemiasi palveluita myisit haluamanasi ajanjaksona esim. 12 kk aikana. Saat arvion liikevaihdosta.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2C00-000001000000}">
      <text>
        <r>
          <rPr>
            <sz val="9"/>
            <color indexed="8"/>
            <rFont val="Tahoma"/>
            <family val="2"/>
          </rPr>
          <t>Kasvunopeudella tarkoitetaan aikayksikössä saavutettua painonlisäystä.
Elopainon kasvunopeudesta käytetään myös nimitystä päiväkasvu. 
Teuraspainon kasvunopeutta nimitetään nettokasvuksi. Kasvunopeuden yksikökkö on g/pv tai kg/pv. 
Kasvunopeus on tärkeimpiä tekijöitä lihantuotannossa.
Hyvään kasvuun liitetään usein suuri lihamäärä, hyvä lihakkuus
ja vähäinen rasvanmuodostus. (Lamminen &amp; Huuskonen, 11.)</t>
        </r>
      </text>
    </comment>
    <comment ref="M18" authorId="0" shapeId="0" xr:uid="{00000000-0006-0000-2C00-000002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N18" authorId="0" shapeId="0" xr:uid="{00000000-0006-0000-2C00-000003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Q18" authorId="0" shapeId="0" xr:uid="{00000000-0006-0000-2C00-000004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R18" authorId="0" shapeId="0" xr:uid="{00000000-0006-0000-2C00-000005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D19" authorId="0" shapeId="0" xr:uid="{00000000-0006-0000-2C00-000006000000}">
      <text>
        <r>
          <rPr>
            <sz val="9"/>
            <color indexed="8"/>
            <rFont val="Tahoma"/>
            <family val="2"/>
          </rPr>
          <t xml:space="preserve">Syntymäpaino vasikoilla:
Sonnivasikat: 25-60kg 
Lehmävasikat: 24-55kg.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12" authorId="0" shapeId="0" xr:uid="{00000000-0006-0000-2D00-000001000000}">
      <text>
        <r>
          <rPr>
            <b/>
            <sz val="9"/>
            <color indexed="8"/>
            <rFont val="Tahoma"/>
            <family val="2"/>
          </rPr>
          <t xml:space="preserve">A-tuottajien ohje
</t>
        </r>
        <r>
          <rPr>
            <sz val="9"/>
            <color indexed="8"/>
            <rFont val="Tahoma"/>
            <family val="2"/>
          </rPr>
          <t xml:space="preserve">Lehmä tarvitsee noin 2 kk:n (6-8 vk) pituisen ummessaolovaiheen ennen poikimista, jotta se kuntoutuu ja utarekudos palautuu levossa ennen uutta lypsykautta. 
Ummessaoloajan ruokinnassa tärkeää on pitää tai saattaa lehmä sopivaan kuntoluokkaan ennen poikimista. Varo liiallista lihomista, sillä se voi vaikeuttaa poikimista.
Ruokinnan perusperiaatteena on tarjota riittävän vähän energiaa sisältävää karkearehua vapaasti. Tähän soveltuvat mm. myöhäisellä kasvuasteella korjattu säilörehu ja kokoviljasäilörehu. Tarvittaessa paremmin sulavaa säilörehua voidaan laimentaa heinällä tai oljella. Lehmän saadessa karkearehua vapaasti se pysyy kylläisenä ja syöntikykyä saadaan pidettyä yllä ummessaolokauden yli. 
Väkirehua ei ummessaolokaudella tarvita välttämättä ollenkaan. Jos karkearehun valkuaispitoisuus on matala, voidaan ruokintaa täydentää pienellä annoksella valkuaisrehua, esim. rypsiä. 
Kivennäisruokinnassa pitää huomioita valmistautuminen poikimisen jälkeen kasvavaan kalsiumintarpeeseen. Ummessaoloaikana lehmälle ei saa antaa liikaa kalsiumia, jotta sen elimistö pystyy vapauttamaan luuston kalsiumia poikimisen jälkeen. Magnesiumin, natriumin sekä vitamiinien ja hivenaineiden saannista on kuitenkin muistettava huolehtia.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F00-000001000000}">
      <text>
        <r>
          <rPr>
            <sz val="9"/>
            <color indexed="10"/>
            <rFont val="Tahoma"/>
            <family val="2"/>
          </rPr>
          <t>• Positiivinen PVT-arvo tarkoittaa, että rehu sisältää pötsissä hajoavaa valkuaista yli mikrobien tarpeen (jos liian paljon,  niin haittaa esim. tiinehtyvyyttä).
• Negatiivinen PVT-arvo: mikrobeilla on puutetta hajoavasta valkuaisesta.
• Ruokinnan negatiivinen PVT vähentää OIV:n laskennallista määrää, koska mikrobivalkuaisen määrä jää typen puutteen johdosta oletettua pienemmäksi
=&gt;  ruokintaa korjataan tarvittaessa lisäämällä 
valkuaisrehun osuutta.
• Hyvälaatuisella, runsaalla säilörehuruokinnalla PVT tulee 
yleensä positiiviseksi ilman haittavaikutuksia.
Arto Huuskonen MTT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H12" authorId="0" shapeId="0" xr:uid="{00000000-0006-0000-0300-000001000000}">
      <text>
        <r>
          <rPr>
            <b/>
            <sz val="9"/>
            <color indexed="81"/>
            <rFont val="Tahoma"/>
            <family val="2"/>
          </rPr>
          <t>Voit pakottaa rivivälin manuaalisesti tähän</t>
        </r>
      </text>
    </comment>
    <comment ref="N12" authorId="0" shapeId="0" xr:uid="{00000000-0006-0000-0300-000002000000}">
      <text>
        <r>
          <rPr>
            <b/>
            <sz val="9"/>
            <color indexed="81"/>
            <rFont val="Tahoma"/>
            <family val="2"/>
          </rPr>
          <t>Esim. mukulan paino</t>
        </r>
      </text>
    </comment>
    <comment ref="O12" authorId="0" shapeId="0" xr:uid="{00000000-0006-0000-0300-000003000000}">
      <text>
        <r>
          <rPr>
            <b/>
            <sz val="9"/>
            <color indexed="81"/>
            <rFont val="Tahoma"/>
            <family val="2"/>
          </rPr>
          <t>Esim. mukulan paino</t>
        </r>
      </text>
    </comment>
    <comment ref="B13" authorId="1" shapeId="0" xr:uid="{00000000-0006-0000-0300-000004000000}">
      <text>
        <r>
          <rPr>
            <sz val="9"/>
            <color indexed="81"/>
            <rFont val="Tahoma"/>
            <family val="2"/>
          </rPr>
          <t xml:space="preserve">Pituussuunnassa
</t>
        </r>
      </text>
    </comment>
    <comment ref="B15" authorId="1" shapeId="0" xr:uid="{00000000-0006-0000-0300-000005000000}">
      <text>
        <r>
          <rPr>
            <b/>
            <sz val="9"/>
            <color indexed="81"/>
            <rFont val="Tahoma"/>
            <family val="2"/>
          </rPr>
          <t>Leveysuunnassa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Mika Mujunen</author>
  </authors>
  <commentList>
    <comment ref="H9" authorId="0" shapeId="0" xr:uid="{00000000-0006-0000-0400-000001000000}">
      <text>
        <r>
          <rPr>
            <b/>
            <sz val="9"/>
            <color indexed="81"/>
            <rFont val="Tahoma"/>
            <family val="2"/>
          </rPr>
          <t>Et voi muuttaa</t>
        </r>
      </text>
    </comment>
    <comment ref="I9" authorId="0" shapeId="0" xr:uid="{00000000-0006-0000-0400-000002000000}">
      <text>
        <r>
          <rPr>
            <b/>
            <sz val="9"/>
            <color indexed="81"/>
            <rFont val="Tahoma"/>
            <family val="2"/>
          </rPr>
          <t>Et voi muuttaa</t>
        </r>
      </text>
    </comment>
    <comment ref="F10" authorId="1" shapeId="0" xr:uid="{00000000-0006-0000-0400-000003000000}">
      <text>
        <r>
          <rPr>
            <b/>
            <sz val="9"/>
            <color indexed="81"/>
            <rFont val="Tahoma"/>
            <family val="2"/>
          </rPr>
          <t>Vaihtoehdot:
Kasvi tai Nurmi tai muut lisäämäsi vaihtoehdot</t>
        </r>
      </text>
    </comment>
    <comment ref="F11" authorId="1" shapeId="0" xr:uid="{00000000-0006-0000-0400-000004000000}">
      <text>
        <r>
          <rPr>
            <b/>
            <sz val="9"/>
            <color indexed="81"/>
            <rFont val="Tahoma"/>
            <family val="2"/>
          </rPr>
          <t>Vaihtoehdot:
Kasvi tai Nurmi tai muut lisäämäsi vaihtoehdot</t>
        </r>
      </text>
    </comment>
    <comment ref="F12" authorId="1" shapeId="0" xr:uid="{00000000-0006-0000-0400-000005000000}">
      <text>
        <r>
          <rPr>
            <b/>
            <sz val="9"/>
            <color indexed="81"/>
            <rFont val="Tahoma"/>
            <family val="2"/>
          </rPr>
          <t>Vaihtoehdot:
Kasvi tai Nurmi tai muut lisäämäsi vaihtoehdot</t>
        </r>
      </text>
    </comment>
    <comment ref="F13" authorId="1" shapeId="0" xr:uid="{00000000-0006-0000-0400-000006000000}">
      <text>
        <r>
          <rPr>
            <b/>
            <sz val="9"/>
            <color indexed="81"/>
            <rFont val="Tahoma"/>
            <family val="2"/>
          </rPr>
          <t>Vaihtoehdot:
Kasvi tai Nurmi tai muut lisäämäsi vaihtoehdot</t>
        </r>
      </text>
    </comment>
    <comment ref="F14" authorId="1" shapeId="0" xr:uid="{00000000-0006-0000-0400-000007000000}">
      <text>
        <r>
          <rPr>
            <b/>
            <sz val="9"/>
            <color indexed="81"/>
            <rFont val="Tahoma"/>
            <family val="2"/>
          </rPr>
          <t>Vaihtoehdot:
Kasvi tai Nurmi tai muut lisäämäsi vaihtoehdot</t>
        </r>
      </text>
    </comment>
    <comment ref="F15" authorId="1" shapeId="0" xr:uid="{00000000-0006-0000-0400-000008000000}">
      <text>
        <r>
          <rPr>
            <b/>
            <sz val="9"/>
            <color indexed="81"/>
            <rFont val="Tahoma"/>
            <family val="2"/>
          </rPr>
          <t>Vaihtoehdot:
Kasvi tai Nurmi tai muut lisäämäsi vaihtoehdot</t>
        </r>
      </text>
    </comment>
    <comment ref="F16" authorId="1" shapeId="0" xr:uid="{00000000-0006-0000-0400-000009000000}">
      <text>
        <r>
          <rPr>
            <b/>
            <sz val="9"/>
            <color indexed="81"/>
            <rFont val="Tahoma"/>
            <family val="2"/>
          </rPr>
          <t>Vaihtoehdot:
Kasvi tai Nurmi tai muut lisäämäsi vaihtoehdot</t>
        </r>
      </text>
    </comment>
    <comment ref="F17" authorId="1" shapeId="0" xr:uid="{00000000-0006-0000-0400-00000A000000}">
      <text>
        <r>
          <rPr>
            <b/>
            <sz val="9"/>
            <color indexed="81"/>
            <rFont val="Tahoma"/>
            <family val="2"/>
          </rPr>
          <t>Vaihtoehdot:
Kasvi tai Nurmi tai muut lisäämäsi vaihtoehdot</t>
        </r>
      </text>
    </comment>
    <comment ref="F18" authorId="1" shapeId="0" xr:uid="{00000000-0006-0000-0400-00000B000000}">
      <text>
        <r>
          <rPr>
            <b/>
            <sz val="9"/>
            <color indexed="81"/>
            <rFont val="Tahoma"/>
            <family val="2"/>
          </rPr>
          <t>Vaihtoehdot:
Kasvi tai Nurmi tai muut lisäämäsi vaihtoehdot</t>
        </r>
      </text>
    </comment>
    <comment ref="F19" authorId="1" shapeId="0" xr:uid="{00000000-0006-0000-0400-00000C000000}">
      <text>
        <r>
          <rPr>
            <b/>
            <sz val="9"/>
            <color indexed="81"/>
            <rFont val="Tahoma"/>
            <family val="2"/>
          </rPr>
          <t>Vaihtoehdot:
Kasvi tai Nurmi tai muut lisäämäsi vaihtoehdot</t>
        </r>
      </text>
    </comment>
    <comment ref="F20" authorId="1" shapeId="0" xr:uid="{00000000-0006-0000-0400-00000D000000}">
      <text>
        <r>
          <rPr>
            <b/>
            <sz val="9"/>
            <color indexed="81"/>
            <rFont val="Tahoma"/>
            <family val="2"/>
          </rPr>
          <t>Vaihtoehdot:
Kasvi tai Nurmi tai muut lisäämäsi vaihtoehdot</t>
        </r>
      </text>
    </comment>
    <comment ref="C23" authorId="2" shapeId="0" xr:uid="{00000000-0006-0000-0400-00000E000000}">
      <text>
        <r>
          <rPr>
            <sz val="9"/>
            <color indexed="81"/>
            <rFont val="Tahoma"/>
            <family val="2"/>
          </rPr>
          <t xml:space="preserve">
</t>
        </r>
      </text>
    </comment>
    <comment ref="F23" authorId="1" shapeId="0" xr:uid="{00000000-0006-0000-0400-00000F000000}">
      <text>
        <r>
          <rPr>
            <b/>
            <sz val="9"/>
            <color indexed="81"/>
            <rFont val="Tahoma"/>
            <family val="2"/>
          </rPr>
          <t>mika:</t>
        </r>
        <r>
          <rPr>
            <sz val="9"/>
            <color indexed="81"/>
            <rFont val="Tahoma"/>
            <family val="2"/>
          </rPr>
          <t xml:space="preserve">
Ei saa poistaa piilotekstiä. Hakee tekstiä...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I3" authorId="0" shapeId="0" xr:uid="{00000000-0006-0000-0500-000001000000}">
      <text>
        <r>
          <rPr>
            <b/>
            <sz val="9"/>
            <color indexed="8"/>
            <rFont val="Tahoma"/>
            <family val="2"/>
          </rPr>
          <t xml:space="preserve">Mika Mujunen:
</t>
        </r>
        <r>
          <rPr>
            <sz val="9"/>
            <color indexed="8"/>
            <rFont val="Tahoma"/>
            <family val="2"/>
          </rPr>
          <t>Annuiteettikertoimella saadaan laskettua kätevästi poisto ja korko.
Voidaan laskea kertoimella tai käyttäen Excelin Maksu-funktiota.</t>
        </r>
      </text>
    </comment>
    <comment ref="G4" authorId="0" shapeId="0" xr:uid="{00000000-0006-0000-0500-000002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P5" authorId="1" shapeId="0" xr:uid="{00000000-0006-0000-0500-000003000000}">
      <text>
        <r>
          <rPr>
            <sz val="9"/>
            <color indexed="81"/>
            <rFont val="Tahoma"/>
            <family val="2"/>
          </rPr>
          <t>A=Annuiteettipoisto (oletus).
T=Tasapoisto
Muuta: Perustiedot</t>
        </r>
      </text>
    </comment>
    <comment ref="D28" authorId="1" shapeId="0" xr:uid="{00000000-0006-0000-0500-000004000000}">
      <text>
        <r>
          <rPr>
            <b/>
            <sz val="9"/>
            <color indexed="81"/>
            <rFont val="Tahoma"/>
            <family val="2"/>
          </rPr>
          <t>Ohjaus Rakenna Tulosennusteelta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6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Y5" authorId="1" shapeId="0" xr:uid="{00000000-0006-0000-0600-000002000000}">
      <text>
        <r>
          <rPr>
            <sz val="9"/>
            <color indexed="81"/>
            <rFont val="Tahoma"/>
            <family val="2"/>
          </rPr>
          <t>A=Annuiteettipoisto (oletus).
T=Tasapoisto
Muuta: Perustiedot</t>
        </r>
      </text>
    </comment>
    <comment ref="F23" authorId="1" shapeId="0" xr:uid="{00000000-0006-0000-0600-000003000000}">
      <text>
        <r>
          <rPr>
            <b/>
            <sz val="9"/>
            <color indexed="81"/>
            <rFont val="Tahoma"/>
            <family val="2"/>
          </rPr>
          <t>Ohjaus Rakenna Tulosennusteelta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7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Z5" authorId="1" shapeId="0" xr:uid="{00000000-0006-0000-0700-000002000000}">
      <text>
        <r>
          <rPr>
            <sz val="9"/>
            <color indexed="81"/>
            <rFont val="Tahoma"/>
            <family val="2"/>
          </rPr>
          <t>A=Annuiteettipoisto (oletus).
T=Tasapoisto
Muuta: Perustiedot</t>
        </r>
      </text>
    </comment>
    <comment ref="G19" authorId="1" shapeId="0" xr:uid="{00000000-0006-0000-0700-000003000000}">
      <text>
        <r>
          <rPr>
            <b/>
            <sz val="9"/>
            <color indexed="81"/>
            <rFont val="Tahoma"/>
            <family val="2"/>
          </rPr>
          <t xml:space="preserve">Arvo euroa/ha
</t>
        </r>
      </text>
    </comment>
    <comment ref="G20" authorId="1" shapeId="0" xr:uid="{00000000-0006-0000-0700-000004000000}">
      <text>
        <r>
          <rPr>
            <b/>
            <sz val="9"/>
            <color indexed="81"/>
            <rFont val="Tahoma"/>
            <family val="2"/>
          </rPr>
          <t>Arvo euroa/ha</t>
        </r>
      </text>
    </comment>
    <comment ref="F24" authorId="1" shapeId="0" xr:uid="{00000000-0006-0000-0700-000005000000}">
      <text>
        <r>
          <rPr>
            <b/>
            <sz val="9"/>
            <color indexed="81"/>
            <rFont val="Tahoma"/>
            <family val="2"/>
          </rPr>
          <t>Ohjaus Rakenna Tulosennusteelta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9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900-000002000000}">
      <text>
        <r>
          <rPr>
            <b/>
            <sz val="9"/>
            <color indexed="81"/>
            <rFont val="Tahoma"/>
            <family val="2"/>
          </rPr>
          <t>Tähän syotetty ohittaa tuntien määräsyötteet laskelmalta!</t>
        </r>
      </text>
    </comment>
    <comment ref="L35" authorId="0" shapeId="0" xr:uid="{00000000-0006-0000-0900-000003000000}">
      <text>
        <r>
          <rPr>
            <b/>
            <sz val="9"/>
            <color indexed="81"/>
            <rFont val="Tahoma"/>
            <family val="2"/>
          </rPr>
          <t>Konetyötuntia yhteensä hehtaarille tai koko alalle</t>
        </r>
      </text>
    </comment>
    <comment ref="E36" authorId="0" shapeId="0" xr:uid="{00000000-0006-0000-0900-000004000000}">
      <text>
        <r>
          <rPr>
            <b/>
            <sz val="9"/>
            <color indexed="81"/>
            <rFont val="Tahoma"/>
            <family val="2"/>
          </rPr>
          <t>litraa yhteensä hehtaarille tai koko alalle</t>
        </r>
      </text>
    </comment>
    <comment ref="F52" authorId="1" shapeId="0" xr:uid="{00000000-0006-0000-09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sharedStrings.xml><?xml version="1.0" encoding="utf-8"?>
<sst xmlns="http://schemas.openxmlformats.org/spreadsheetml/2006/main" count="7615" uniqueCount="1963">
  <si>
    <t>Konekustannuslaskelma</t>
  </si>
  <si>
    <t>Lasketaanko traktori mukaan? K/E</t>
  </si>
  <si>
    <t>Kytke traktoriin: K/E</t>
  </si>
  <si>
    <t>Yhteensä</t>
  </si>
  <si>
    <t>Traktori ja koneita</t>
  </si>
  <si>
    <t>Poistotapa</t>
  </si>
  <si>
    <t>T</t>
  </si>
  <si>
    <t>K</t>
  </si>
  <si>
    <t>E</t>
  </si>
  <si>
    <t>New Holland</t>
  </si>
  <si>
    <t>Työkone 3</t>
  </si>
  <si>
    <t>Koneen arvioitu käyttöaika</t>
  </si>
  <si>
    <t>vuotta</t>
  </si>
  <si>
    <t>Kustannukset:</t>
  </si>
  <si>
    <t>Käyttötunnit/vuosi</t>
  </si>
  <si>
    <t>h</t>
  </si>
  <si>
    <t>Koneen hankintahinta alv</t>
  </si>
  <si>
    <t>ALV:n osuus</t>
  </si>
  <si>
    <t>Koneen hankintahinta alv 0 % (Laskennan peruste)</t>
  </si>
  <si>
    <t>Jäännösarvo (Arvio koneen arvosta se myytäessä)</t>
  </si>
  <si>
    <t>Hank.hinta-jäännösarvo</t>
  </si>
  <si>
    <t>Kiinteät kustannukset €/v</t>
  </si>
  <si>
    <t>Poisto ja korko yhteensä</t>
  </si>
  <si>
    <t>Korko%</t>
  </si>
  <si>
    <t>Korko</t>
  </si>
  <si>
    <t>Poisto</t>
  </si>
  <si>
    <t>Liikennevakuutus/bonus%/€/v</t>
  </si>
  <si>
    <t>Vahinkovakuutus Kasko (Osakasko:Palo- ja varkausvakuutus) €/v</t>
  </si>
  <si>
    <t>Muut</t>
  </si>
  <si>
    <t>Säilytyskustannus</t>
  </si>
  <si>
    <t>Kiinteät kustannukset yhteensä vuodessa</t>
  </si>
  <si>
    <t>Muuttuvat kustannukset €/v</t>
  </si>
  <si>
    <t>Kunnossapitokustannus €/v</t>
  </si>
  <si>
    <t>Polttoaineen kulutus l/h hinta/l</t>
  </si>
  <si>
    <t>Muuttuvat kustannukset/vuosi</t>
  </si>
  <si>
    <t>Kustannukset yhteensä (kiinteät ja muuttuvat kustannukset) €/v</t>
  </si>
  <si>
    <t>Koneen työtunnin hinta (yrittäjän oma hinta)</t>
  </si>
  <si>
    <t>Voitto %</t>
  </si>
  <si>
    <t>Ajajan palkka</t>
  </si>
  <si>
    <t>tai yrittäjän oma palkka + myel</t>
  </si>
  <si>
    <t>Traktorissa</t>
  </si>
  <si>
    <t>Yhteensä (hinta ulos alv 0%)</t>
  </si>
  <si>
    <t>Alv</t>
  </si>
  <si>
    <t>Yhteensä (asiakkaalta perittävä hinta)</t>
  </si>
  <si>
    <t>Peltoalan tarvelaskuri: arvioi peltopinta-alatarvetta eläinmäärää kohden</t>
  </si>
  <si>
    <t>Säilörehusato brutto kg/ha</t>
  </si>
  <si>
    <t>Kuiva-aine %</t>
  </si>
  <si>
    <t>Säilörehusato KA kg/ha</t>
  </si>
  <si>
    <t>D-arvo (grammaa sulavaa raaka-ainetta kilossa kuiva-ainetta)</t>
  </si>
  <si>
    <t>kg/ha sulavaa ainetta kuiva-aineessa</t>
  </si>
  <si>
    <t>Säilörehusta energiaa MJ/ha (16 MJ/kg KA x sulava aines)</t>
  </si>
  <si>
    <t>ey/eläin</t>
  </si>
  <si>
    <t>Energian tarve MJ/eläin/v</t>
  </si>
  <si>
    <t>ry/eläin/v</t>
  </si>
  <si>
    <t>ey</t>
  </si>
  <si>
    <t>Lehmiä kpl</t>
  </si>
  <si>
    <t>Säilörehun osuus ruokinnassa keskimäärin (yleensä 45-65 %)</t>
  </si>
  <si>
    <t>Uudistus % (26 % matala; 36 % keskim.; 46 % korkea)</t>
  </si>
  <si>
    <t>Säilörehun osuus hiehojen ruokinnassa keskimäärin  80 %</t>
  </si>
  <si>
    <t>Lehmät laitumella? Kyllä/Ei</t>
  </si>
  <si>
    <t>kyllä</t>
  </si>
  <si>
    <t>Lehmien Laidunpäivien lkm</t>
  </si>
  <si>
    <t>Oma väkirehu esim. ohra? Kyllä/Ei</t>
  </si>
  <si>
    <t>Lihanaudat kpl</t>
  </si>
  <si>
    <t>Säilörehun osuus ruokinnassa keskimäärin</t>
  </si>
  <si>
    <t>Muut eläimet (Uuhet) kpl</t>
  </si>
  <si>
    <t>ey=eläinyksikkö</t>
  </si>
  <si>
    <t>Uuhet laitumella? Kyllä/Ei</t>
  </si>
  <si>
    <t>Ha/ey</t>
  </si>
  <si>
    <t>ey/Ha</t>
  </si>
  <si>
    <t>Säilörehusta tulevan energian tarve MJ yhteensä tilalla</t>
  </si>
  <si>
    <t>MJ</t>
  </si>
  <si>
    <t>Vinkki: Syötä eläinmäärät, muuta sitten säilörehulaskelmalla D-arvoa suuremmaksi ja palaa takaisin tähän. Hyvälaatuinen rehu vähentää pinta-alatarvetta!</t>
  </si>
  <si>
    <t>Jos ei laidunnusta, Säilörehun pinta-alatarve ha:</t>
  </si>
  <si>
    <t>Ha</t>
  </si>
  <si>
    <t>Jos laidunnat, Säilörehun pinta-alatarve:</t>
  </si>
  <si>
    <t>Laitumen syönti-%</t>
  </si>
  <si>
    <t>Laidun laskenta</t>
  </si>
  <si>
    <t>Alkukesästä laitumen tarve ha/lehmä(hyödyntämis-% 40)</t>
  </si>
  <si>
    <t>jolloin tarvitset keskimäärin laidunalaa (kierto 5 jaksoa)</t>
  </si>
  <si>
    <t>Loppukesästä laitumen tarve ha/le/pv (hyödyntämis-% 90-100)</t>
  </si>
  <si>
    <t>90-100%</t>
  </si>
  <si>
    <t>Laidunnusala + säilörehuala yht keskim. Ha</t>
  </si>
  <si>
    <t>Vaihteluväli</t>
  </si>
  <si>
    <t>Energiaväkirehu omalta pellolta, pellon tarve ha?</t>
  </si>
  <si>
    <t>Muuntokelpoinen energia ME MJ/kg</t>
  </si>
  <si>
    <t>Energiaväkirehu ohra</t>
  </si>
  <si>
    <t>Energiaväkirehun osuus ruokinnassa keskimäärin lehmillä (Max. 45 %)</t>
  </si>
  <si>
    <t>ME MJ/ha</t>
  </si>
  <si>
    <t>Ry</t>
  </si>
  <si>
    <t>Keskimääräinen tavoitesatotaso kg/ha</t>
  </si>
  <si>
    <t>Ohran pinta-alatarve ha lehmille?</t>
  </si>
  <si>
    <t>Energiaväkirehun osuus ruokinnassa keskimäärin lihanaudoilla</t>
  </si>
  <si>
    <t>Ohran pinta-alatarve ha lihanaudat?</t>
  </si>
  <si>
    <t>Energiaväkirehun osuus ruokinnassa keskimäärin lampailla</t>
  </si>
  <si>
    <t>Ohran pinta-alatarve ha lampaat?</t>
  </si>
  <si>
    <t>Ohran pinta-alatarve</t>
  </si>
  <si>
    <t>Yhteenveto</t>
  </si>
  <si>
    <t>Pinta-alatarve säilörehulle</t>
  </si>
  <si>
    <t>ha</t>
  </si>
  <si>
    <t>Pinta-alatarve laitumelle (lehmät)</t>
  </si>
  <si>
    <t>Pinta-alatarve laitumelle (uuhet)</t>
  </si>
  <si>
    <t>Pinta-alatarve rehuviljalle</t>
  </si>
  <si>
    <t>Pinta-alatarve yhteensä</t>
  </si>
  <si>
    <t>Karjanlannan levitysalaa tarvitaan lehmille?</t>
  </si>
  <si>
    <t>Lehmä tuottaa karjanlantaa ja virtsaa vuodessa</t>
  </si>
  <si>
    <r>
      <t>m</t>
    </r>
    <r>
      <rPr>
        <vertAlign val="superscript"/>
        <sz val="10"/>
        <rFont val="Arial"/>
        <family val="2"/>
      </rPr>
      <t>3</t>
    </r>
  </si>
  <si>
    <t>Lihanauttaa tuottaa karjanlantaa ja virtsaa vuodessa</t>
  </si>
  <si>
    <r>
      <t>Lannanlevitys vuodessa keskim. m</t>
    </r>
    <r>
      <rPr>
        <vertAlign val="superscript"/>
        <sz val="10"/>
        <rFont val="Arial"/>
        <family val="2"/>
      </rPr>
      <t>3</t>
    </r>
    <r>
      <rPr>
        <sz val="10"/>
        <rFont val="Arial"/>
        <family val="2"/>
      </rPr>
      <t>/ha</t>
    </r>
  </si>
  <si>
    <t>Jolloin karjasi tarvitsee peltoa karjanlanan levitysalaksi väh.ha</t>
  </si>
  <si>
    <t xml:space="preserve">Ravinnontarpeen mukainen tarve oli </t>
  </si>
  <si>
    <t>Taimilaskuri</t>
  </si>
  <si>
    <t>Versio</t>
  </si>
  <si>
    <t>Aloita syöttämällä pinta-ala</t>
  </si>
  <si>
    <t>Voit muokata kaikkia keltaisia soluja</t>
  </si>
  <si>
    <t>Pinta-ala</t>
  </si>
  <si>
    <t>Pituus</t>
  </si>
  <si>
    <t>m</t>
  </si>
  <si>
    <t>Leveys</t>
  </si>
  <si>
    <r>
      <t>m</t>
    </r>
    <r>
      <rPr>
        <vertAlign val="superscript"/>
        <sz val="10"/>
        <rFont val="Arial"/>
        <family val="2"/>
      </rPr>
      <t>2</t>
    </r>
  </si>
  <si>
    <t>Päisteen 1 leveys</t>
  </si>
  <si>
    <t>aaria</t>
  </si>
  <si>
    <t>Päisteen 2 leveys</t>
  </si>
  <si>
    <t>Istutus</t>
  </si>
  <si>
    <t>Penkkirivejä kpl/ala sekä penkkien viemä ala</t>
  </si>
  <si>
    <t>Käytäväala</t>
  </si>
  <si>
    <t>Penkkirivin leveys</t>
  </si>
  <si>
    <t>Syötä kg-paino / 1 kpl</t>
  </si>
  <si>
    <t>Käytävän leveys</t>
  </si>
  <si>
    <t>Käytäväala %</t>
  </si>
  <si>
    <t>Penkkien viemä ala %</t>
  </si>
  <si>
    <t>kpl/m</t>
  </si>
  <si>
    <t>cm</t>
  </si>
  <si>
    <t>Satopotentiaali</t>
  </si>
  <si>
    <t>Yhteensä satoa</t>
  </si>
  <si>
    <t>Keskiarvo</t>
  </si>
  <si>
    <t>1. vuosi</t>
  </si>
  <si>
    <t>kg</t>
  </si>
  <si>
    <t>2. vuosi</t>
  </si>
  <si>
    <t>3. vuosi</t>
  </si>
  <si>
    <t>4. vuosi</t>
  </si>
  <si>
    <t>Satopotentiaali  kg/ala</t>
  </si>
  <si>
    <t>Satopotentiaali  kg/ha</t>
  </si>
  <si>
    <t>Perustamiskustannus</t>
  </si>
  <si>
    <t>Nurmisiemenlaskuri käytäville</t>
  </si>
  <si>
    <t>Tarvike</t>
  </si>
  <si>
    <t>Yksikkö</t>
  </si>
  <si>
    <t>Määrä</t>
  </si>
  <si>
    <t>a' hinta</t>
  </si>
  <si>
    <t>Taimia</t>
  </si>
  <si>
    <t>kpl</t>
  </si>
  <si>
    <t>TSP=Tuhannen siemenen paino</t>
  </si>
  <si>
    <t>g</t>
  </si>
  <si>
    <t>Tieto löytyy säkin kyljestä</t>
  </si>
  <si>
    <t>Ohje siemenlaskenta</t>
  </si>
  <si>
    <t>Muovia</t>
  </si>
  <si>
    <r>
      <t>Kylvötiheys kpl/m</t>
    </r>
    <r>
      <rPr>
        <vertAlign val="superscript"/>
        <sz val="10"/>
        <rFont val="Arial"/>
        <family val="2"/>
      </rPr>
      <t>2</t>
    </r>
  </si>
  <si>
    <t>Käytävien nurmimiemenet</t>
  </si>
  <si>
    <t>Itävyys %</t>
  </si>
  <si>
    <t>%</t>
  </si>
  <si>
    <t>litraa</t>
  </si>
  <si>
    <t>Siemenmäärä hehtaarille</t>
  </si>
  <si>
    <t>kg/ha</t>
  </si>
  <si>
    <t>Siemenmäärä käytäväalalle</t>
  </si>
  <si>
    <t>kg/ala</t>
  </si>
  <si>
    <t>Kalkitus</t>
  </si>
  <si>
    <t>Konemuokkaus</t>
  </si>
  <si>
    <t>tuntia</t>
  </si>
  <si>
    <t>Perustamislannoitus</t>
  </si>
  <si>
    <t>Tarvikkeen jakaminen pienempään yksikköön</t>
  </si>
  <si>
    <t>Jaetaan</t>
  </si>
  <si>
    <t>Hinta/yksikkö</t>
  </si>
  <si>
    <t>Penkin teko</t>
  </si>
  <si>
    <t>rulla</t>
  </si>
  <si>
    <t>Ulkopuolinen konetyö</t>
  </si>
  <si>
    <t>Yrittäjän oma työpanos</t>
  </si>
  <si>
    <t>Satovuodet</t>
  </si>
  <si>
    <t>vuotta kohden</t>
  </si>
  <si>
    <t>Yrityksen nimi</t>
  </si>
  <si>
    <t>Ohjelmaversio</t>
  </si>
  <si>
    <t>Tekijän nimi</t>
  </si>
  <si>
    <t>Mika Mujunen</t>
  </si>
  <si>
    <t>Laskelmaversio</t>
  </si>
  <si>
    <t>Päiväys</t>
  </si>
  <si>
    <t>Tänään</t>
  </si>
  <si>
    <t>Kuopio</t>
  </si>
  <si>
    <t xml:space="preserve">Ohje </t>
  </si>
  <si>
    <t>Lähtötiedot kasveille ja eläimille</t>
  </si>
  <si>
    <t>Vuosi</t>
  </si>
  <si>
    <t>Tukialue</t>
  </si>
  <si>
    <t>C</t>
  </si>
  <si>
    <t>ALV %</t>
  </si>
  <si>
    <t>Puh 0445853802</t>
  </si>
  <si>
    <t>Yleinen</t>
  </si>
  <si>
    <t xml:space="preserve">Oman pellon pinta-ala </t>
  </si>
  <si>
    <t>Alennettu (elintarvikkeet)</t>
  </si>
  <si>
    <t>Vuokratun pellon pinta-ala</t>
  </si>
  <si>
    <t>Alennettu 2</t>
  </si>
  <si>
    <t>A=Annuiteetti  T=Tasapoisto (oletus)</t>
  </si>
  <si>
    <t>1. Viljeltävä kasvi (voit muokata kasvin nimeä)</t>
  </si>
  <si>
    <t>%-osuus</t>
  </si>
  <si>
    <t>mansikka</t>
  </si>
  <si>
    <t>herukka</t>
  </si>
  <si>
    <t>öljykasvit</t>
  </si>
  <si>
    <t>kasvi</t>
  </si>
  <si>
    <t>Kasvihuone (puutarhatilat) - Piilossa, aktivoi</t>
  </si>
  <si>
    <r>
      <t>m</t>
    </r>
    <r>
      <rPr>
        <vertAlign val="superscript"/>
        <sz val="11"/>
        <rFont val="Arial"/>
        <family val="2"/>
      </rPr>
      <t>2</t>
    </r>
  </si>
  <si>
    <t>puutarha</t>
  </si>
  <si>
    <t>urakka</t>
  </si>
  <si>
    <t>Älä poista</t>
  </si>
  <si>
    <t>eläin</t>
  </si>
  <si>
    <t>jatkoja</t>
  </si>
  <si>
    <t>metsä</t>
  </si>
  <si>
    <t>evl</t>
  </si>
  <si>
    <t>MYEL-, YEL-vakuutukset, Mata-tapaturmavakuutus €/v (Huomioi perhe !)</t>
  </si>
  <si>
    <t>Palkat ulkopuolisille sivukuluineen + Ulkopuoliset palvelut (Talous, neuvonta, toimistokulut) €/v</t>
  </si>
  <si>
    <t>Muut erittelemättömät yleiskulut kasvinviljelyyn €/v</t>
  </si>
  <si>
    <t>Kustannukset jakaantuvat eläinpaikoille eläinmäärien ja eläinyksikköjen %-suhteessa</t>
  </si>
  <si>
    <t>Eläinten tuotantokustannuslaskelmat</t>
  </si>
  <si>
    <t>Eläinyksikköä/eläin</t>
  </si>
  <si>
    <t>Eläinyksikköt</t>
  </si>
  <si>
    <t>LaskeMaito2 laskelma 2. Piilossa, aktivoi</t>
  </si>
  <si>
    <t>LaskeMaito3 laskelma 3. Piilossa, aktivoi</t>
  </si>
  <si>
    <t>Laske Liha 2  - Piilossa, aktivoi (hiiren oikea, näytä)</t>
  </si>
  <si>
    <t>Muut erittelemättömät yleiskulut eläimille €/v</t>
  </si>
  <si>
    <t>Muut €/v</t>
  </si>
  <si>
    <t>Metsäpinta-ala ha</t>
  </si>
  <si>
    <t>Metsä  - Piilossa, aktivoi (hiiren oikea, näytä)</t>
  </si>
  <si>
    <t>Muut erittelemättömät yleiskulut metsä €/v</t>
  </si>
  <si>
    <t>Muut metsän kulut €/v</t>
  </si>
  <si>
    <t>Yksikköä kohden</t>
  </si>
  <si>
    <t>Koneet</t>
  </si>
  <si>
    <t>Rakennukset</t>
  </si>
  <si>
    <t>Muut kustannustiedoista</t>
  </si>
  <si>
    <t>Muut(%-suhteilla)</t>
  </si>
  <si>
    <t>€</t>
  </si>
  <si>
    <t>nurmi</t>
  </si>
  <si>
    <t>Eläinyksiköt yht</t>
  </si>
  <si>
    <t>% osuus</t>
  </si>
  <si>
    <t>€/EY</t>
  </si>
  <si>
    <t>€/eläin</t>
  </si>
  <si>
    <t>Kaikki yhteensä</t>
  </si>
  <si>
    <t>Listaa yrityksen koneet kustannuslaskentaa varten. Harjoitustyötä varten voit etsiä koneita esim. www.mascus.fi (laita hinnat alv 0 %)</t>
  </si>
  <si>
    <t>Ely-laskentaan-Tarkista oppaasta vähennykset! Oletus 100%</t>
  </si>
  <si>
    <t>http://www.mascus.fi</t>
  </si>
  <si>
    <t>Keskim.  käyttöikä (vuodet?) Yleensä  5-10 v</t>
  </si>
  <si>
    <t>Arvioi koneen jäännösarvo %:na = Koneen myyntiarvo</t>
  </si>
  <si>
    <t>Koneen poistopohja</t>
  </si>
  <si>
    <r>
      <t>Vuodet. Älä muuta järjestystä (</t>
    </r>
    <r>
      <rPr>
        <sz val="8"/>
        <rFont val="Arial"/>
        <family val="2"/>
      </rPr>
      <t>jos ole epävarma</t>
    </r>
    <r>
      <rPr>
        <sz val="10"/>
        <rFont val="Arial"/>
        <family val="2"/>
      </rPr>
      <t>), koska tiedot siirtyvät TulosTase-tauluun.</t>
    </r>
  </si>
  <si>
    <t>Koneet ja kalusto</t>
  </si>
  <si>
    <t>Hankintahinta</t>
  </si>
  <si>
    <t>Korko %</t>
  </si>
  <si>
    <t>Annuiteetti (sis. Poiston ja koron)</t>
  </si>
  <si>
    <t>Kiint. kust.</t>
  </si>
  <si>
    <t>Tulostaseelle</t>
  </si>
  <si>
    <t>OHJE</t>
  </si>
  <si>
    <t>€ alv 0%</t>
  </si>
  <si>
    <t>Annuiteettikerroin</t>
  </si>
  <si>
    <t>Kohdistus kunnossa?</t>
  </si>
  <si>
    <t>€/v</t>
  </si>
  <si>
    <t>Vakuutus €/v
Oletus 0,2% hankinta-arvosta.
Muuta halutessasi</t>
  </si>
  <si>
    <t>Menojäännös</t>
  </si>
  <si>
    <t>Ely:n poisto%</t>
  </si>
  <si>
    <t>Elyn poisto</t>
  </si>
  <si>
    <t>Elyn Menojäännös</t>
  </si>
  <si>
    <t>Ely:n pääoman tuottovaatimus korko%</t>
  </si>
  <si>
    <t>Elyn pääoman tuottovaatimus €</t>
  </si>
  <si>
    <t>Elyn poisto 2. vuosi</t>
  </si>
  <si>
    <t>Elyn poisto 3. vuosi</t>
  </si>
  <si>
    <t>Elyn poisto 4. vuosi</t>
  </si>
  <si>
    <t>Elyn poisto 5. vuosi</t>
  </si>
  <si>
    <t>Elyn poisto 6. vuosi</t>
  </si>
  <si>
    <t>Annuiteetti poisto 2. vuosi</t>
  </si>
  <si>
    <t>Annuiteetti Menojäännös</t>
  </si>
  <si>
    <t>Annuiteetti poisto 3. vuosi</t>
  </si>
  <si>
    <t>Annuiteetti poisto 4. vuosi</t>
  </si>
  <si>
    <t>Annuiteetti poisto 5. vuosi</t>
  </si>
  <si>
    <t>Annuiteetti poisto 6. vuosi</t>
  </si>
  <si>
    <t>Tasapoisto poisto 2. vuosi</t>
  </si>
  <si>
    <t>Tasapoisto Menojäännös</t>
  </si>
  <si>
    <t>Tasapoisto poisto 3. vuosi</t>
  </si>
  <si>
    <t>Tasapoisto poisto 4. vuosi</t>
  </si>
  <si>
    <t>Tasapooisto Menojäännös</t>
  </si>
  <si>
    <t>Tasapoisto poisto 5. vuosi</t>
  </si>
  <si>
    <t>Tasapoisto poisto 6. vuosi</t>
  </si>
  <si>
    <t>Kotieläintuotannon koneet</t>
  </si>
  <si>
    <t>Kastelupumppu</t>
  </si>
  <si>
    <t>Ely</t>
  </si>
  <si>
    <t>Listaa rakennukset hintoineen</t>
  </si>
  <si>
    <t>Ely-laskentaan - Tarkista oppaasta vähennykset! Oletus 100%</t>
  </si>
  <si>
    <t>Laskelman tekovuosi</t>
  </si>
  <si>
    <t>Pääoman korkokustannus</t>
  </si>
  <si>
    <t>Rakennukset ja rakennelmat</t>
  </si>
  <si>
    <t xml:space="preserve">Rakentamisvuosi </t>
  </si>
  <si>
    <t>Taloudellinen kestoikä</t>
  </si>
  <si>
    <r>
      <t>m</t>
    </r>
    <r>
      <rPr>
        <b/>
        <vertAlign val="superscript"/>
        <sz val="8"/>
        <rFont val="Arial"/>
        <family val="2"/>
      </rPr>
      <t>2</t>
    </r>
  </si>
  <si>
    <t>Nykyhinta = Arvio käyvästä arvosta</t>
  </si>
  <si>
    <t>Verolomakkeen poistamaton menojäännös kiinteistöveroa varten</t>
  </si>
  <si>
    <t>Poiston pohja</t>
  </si>
  <si>
    <t>Ikä</t>
  </si>
  <si>
    <t>€
=Pääoma - (vuosipoisto * ikä)</t>
  </si>
  <si>
    <t>Poisto tasapoistomenetelmällä</t>
  </si>
  <si>
    <t>Poisto annuiteettimenetelmällä</t>
  </si>
  <si>
    <t>Pääoman poisto €/v</t>
  </si>
  <si>
    <t>Korko €/v</t>
  </si>
  <si>
    <t>Vakuutus €/v</t>
  </si>
  <si>
    <t>Energia  €/v</t>
  </si>
  <si>
    <t>Muut (mm. kiinteistövero)  €/v (esim 1%)</t>
  </si>
  <si>
    <t>Yhteensä  €/v</t>
  </si>
  <si>
    <t>Elyn poisto 1. vuosi</t>
  </si>
  <si>
    <t>Rakennus 6 mikä?</t>
  </si>
  <si>
    <t xml:space="preserve">Rakennus </t>
  </si>
  <si>
    <t>Sillat</t>
  </si>
  <si>
    <t>Salaojat</t>
  </si>
  <si>
    <t>Tiet</t>
  </si>
  <si>
    <t>Yhteensä ilman poistoa ja korkoa €/v</t>
  </si>
  <si>
    <t>Kaikki yht €/v</t>
  </si>
  <si>
    <t>Tiedot siirtyvät TulosTaseelle Ely laskentaan - ei saa poistaa</t>
  </si>
  <si>
    <t>Rakennukseen mahtuu eläimiä</t>
  </si>
  <si>
    <t>Uusimis tai korjaustarve</t>
  </si>
  <si>
    <t>Arvioi nykyhinta rakennukselle</t>
  </si>
  <si>
    <t>1. Laske olemassa olevan rakennuksen rakentamishinta, josta johdetaan nykyhinta laskelmalla vuosipoistot</t>
  </si>
  <si>
    <t>2. Halutessasi voit arvioida maatalousrakennuksen nykyhinnnan iän ja/tai kunnon mukaan</t>
  </si>
  <si>
    <t>Rakennuksen</t>
  </si>
  <si>
    <t>Rakennuksen hinta rakennettaessa uusi on</t>
  </si>
  <si>
    <t>Korkeus</t>
  </si>
  <si>
    <t>Rakennuksen ikä on</t>
  </si>
  <si>
    <t>Arvioi alla olevasta taulukosta käyväki arvoksi uudishinnasta</t>
  </si>
  <si>
    <t>Tilavuus</t>
  </si>
  <si>
    <r>
      <t>m</t>
    </r>
    <r>
      <rPr>
        <b/>
        <vertAlign val="superscript"/>
        <sz val="8"/>
        <rFont val="Arial"/>
        <family val="2"/>
      </rPr>
      <t>3</t>
    </r>
  </si>
  <si>
    <t>Arvioit rakennuksen käyväksi nykyhinnaksi</t>
  </si>
  <si>
    <t>Syötä pinta-ala tai tilavuus</t>
  </si>
  <si>
    <t>Syötä rakentamishinta €/yksikkö</t>
  </si>
  <si>
    <t>Hinta-arvio</t>
  </si>
  <si>
    <t>tuotantoeläintä</t>
  </si>
  <si>
    <t>Korota tai laske</t>
  </si>
  <si>
    <t>3. Muosta näkemys rakennuksen käyvästä nykyhinnasta</t>
  </si>
  <si>
    <t>Hinta 1</t>
  </si>
  <si>
    <t>Onko tämä nykyhinta?</t>
  </si>
  <si>
    <t>Tai syötä hinta suoraan</t>
  </si>
  <si>
    <t>Hinta 2</t>
  </si>
  <si>
    <t>Vai onko tämä nykyhinta?</t>
  </si>
  <si>
    <t>Hinta-arvio uudesta on</t>
  </si>
  <si>
    <t>Vai edellisten keskiarvo?</t>
  </si>
  <si>
    <t>Rakennuksen ikä nyt</t>
  </si>
  <si>
    <t>v</t>
  </si>
  <si>
    <t>Siirrä hinta-arviosi rakennuksen arvoksi (solut F5-F20)</t>
  </si>
  <si>
    <t>Rakennuksen poistoaika</t>
  </si>
  <si>
    <t>Rakennuksen nykyarvo/nykyhinta</t>
  </si>
  <si>
    <t>jossa vuosipoiston osuus</t>
  </si>
  <si>
    <t>Vuosipoiston oletus on 4%. Mikäli laskelmasi ylittää vuosipoiston, voit lisätä poistoaikaa.</t>
  </si>
  <si>
    <t>Elyn laskelmiin laskenta</t>
  </si>
  <si>
    <t xml:space="preserve">Elyn laskelmiin vuosipoisto on </t>
  </si>
  <si>
    <t>Rakennuksen uushankintahinta</t>
  </si>
  <si>
    <t>Rakennuksen nykyarvo on nyt:</t>
  </si>
  <si>
    <t>Muut kustannuksia aiheuttavat kohteet. Voit kohdistaa kustannukset jaksotettavina muuttuvina kustannuksina tai kiinteinä kustannuksina</t>
  </si>
  <si>
    <t>Muuttuva kust. M. Kiinteä K</t>
  </si>
  <si>
    <t>Poistotapa Tasapoisto T, Annuiteetti A</t>
  </si>
  <si>
    <t>Ely-laskentaan - Tarkista oppaasta vähennysoikeutesi! Oletus 100%</t>
  </si>
  <si>
    <t>Kustannus</t>
  </si>
  <si>
    <t>Kustannus 2</t>
  </si>
  <si>
    <t>Kustannus 3</t>
  </si>
  <si>
    <t>Kustannus 4</t>
  </si>
  <si>
    <t>M</t>
  </si>
  <si>
    <t>Paimenkoirat</t>
  </si>
  <si>
    <t>Pelto-omaisuus</t>
  </si>
  <si>
    <t>Metsäomaisuus</t>
  </si>
  <si>
    <t>Kiinteät kustannukset</t>
  </si>
  <si>
    <t>Muuttuvat jaksotettvat kustannukset</t>
  </si>
  <si>
    <t>Listaa pankkilainat (lasket velkojen korot, lyhennykset ja kulut, jotka siirtyvät tuloslaskelmalle kuluiksi)</t>
  </si>
  <si>
    <t>Lainan kohdistus:</t>
  </si>
  <si>
    <t>Yrityksen laina=yritys</t>
  </si>
  <si>
    <t>Kotitalouslaina=koti;Metsä=metsä</t>
  </si>
  <si>
    <t>5. vuosi</t>
  </si>
  <si>
    <t>5.vuosi</t>
  </si>
  <si>
    <t>6. vuosi</t>
  </si>
  <si>
    <t>Laina</t>
  </si>
  <si>
    <t>Lainan nostovuosi</t>
  </si>
  <si>
    <t>Laina-aikaa jäljellä</t>
  </si>
  <si>
    <t>Rakennuksen kunto (1-5)</t>
  </si>
  <si>
    <t>Lainan määrä € tai lainaa jäljellä</t>
  </si>
  <si>
    <t>Pääoman lyhennys €/v</t>
  </si>
  <si>
    <t>Annuiteetti (sis. lyhennyksen ja koron)</t>
  </si>
  <si>
    <t>Korko €/v (annuiteetti)</t>
  </si>
  <si>
    <t>Lainan muut kulut €/v</t>
  </si>
  <si>
    <t>Muut kulut €/v</t>
  </si>
  <si>
    <t>Saldo vuoden lopussa</t>
  </si>
  <si>
    <t>Lisälyhennys</t>
  </si>
  <si>
    <t>Lyhennys</t>
  </si>
  <si>
    <t>Laina 1</t>
  </si>
  <si>
    <t>yritys</t>
  </si>
  <si>
    <t>Laina 2</t>
  </si>
  <si>
    <t>Laina 3</t>
  </si>
  <si>
    <t>koti</t>
  </si>
  <si>
    <t>Laina 4</t>
  </si>
  <si>
    <t>Laina 5</t>
  </si>
  <si>
    <t>Laina 6</t>
  </si>
  <si>
    <t>Laina 7</t>
  </si>
  <si>
    <t>Laina 8</t>
  </si>
  <si>
    <t>Laina 9</t>
  </si>
  <si>
    <t>Laina 10</t>
  </si>
  <si>
    <t>Laina 11</t>
  </si>
  <si>
    <t>Laina 12</t>
  </si>
  <si>
    <t>Laina 13</t>
  </si>
  <si>
    <t>Laina 14</t>
  </si>
  <si>
    <t>Laina 15</t>
  </si>
  <si>
    <t>Laina 16</t>
  </si>
  <si>
    <t>Yrityksen kohdistuvat lainan kulut</t>
  </si>
  <si>
    <t>Kotitalouteen kohdistuvat lainan kulut</t>
  </si>
  <si>
    <t>Metsään kohdistuvat lainan kulut</t>
  </si>
  <si>
    <t>x</t>
  </si>
  <si>
    <t>Nämä tarvitaan TulosTaseelle. Estetään negatiiviset luvut, joita voi tulla, jos syöttää lisälyhennykseen saldoa suurempia lukuja.</t>
  </si>
  <si>
    <t>KASVIEN TUOTANTOKUSTANNUSLASKELMA</t>
  </si>
  <si>
    <t>Viljeltävä kasvi</t>
  </si>
  <si>
    <t>Alasta</t>
  </si>
  <si>
    <t>Viljeltävän kasvin hehtaarit</t>
  </si>
  <si>
    <t>Lasketko yhtä yksikköä kohden (1) vai koko alalle (2)? Oletus 1</t>
  </si>
  <si>
    <t>Tulo</t>
  </si>
  <si>
    <t>Tarkenne</t>
  </si>
  <si>
    <t>á</t>
  </si>
  <si>
    <t>€/viljelty ala</t>
  </si>
  <si>
    <t xml:space="preserve">Sato </t>
  </si>
  <si>
    <t>Mikä</t>
  </si>
  <si>
    <t>Laita hinta vain, jos tuotteella markkinahinta ja myyt sadon. Älä laske säilörehulle!</t>
  </si>
  <si>
    <t>Tuki</t>
  </si>
  <si>
    <t>Muut tulot</t>
  </si>
  <si>
    <t>Tuotot yht.</t>
  </si>
  <si>
    <t>Selite (tuotenimike)</t>
  </si>
  <si>
    <t>à</t>
  </si>
  <si>
    <t>Ostosiemen</t>
  </si>
  <si>
    <t>Ostosiemen joka</t>
  </si>
  <si>
    <t>vuosi</t>
  </si>
  <si>
    <t>Ostosiemen 2</t>
  </si>
  <si>
    <t>tn</t>
  </si>
  <si>
    <t>€/ha</t>
  </si>
  <si>
    <t>lannoite</t>
  </si>
  <si>
    <t>Yara Mila pellon Y5</t>
  </si>
  <si>
    <t>Kasvinsuojelu</t>
  </si>
  <si>
    <t>Pellon vuokra</t>
  </si>
  <si>
    <t>Suhteuta vuokrahehtaarit kokonaispeltoalaan (vuokraHa/kok.ala)</t>
  </si>
  <si>
    <t>Kuivaus</t>
  </si>
  <si>
    <t>Rahti</t>
  </si>
  <si>
    <t>litra</t>
  </si>
  <si>
    <t>Puintikulut (urakoitsija)</t>
  </si>
  <si>
    <t>Muut muuttuvat mutta jaksotettaviksi merkityt</t>
  </si>
  <si>
    <t>Oman traktorityön muuttuvat kulut</t>
  </si>
  <si>
    <t>Katso konelaskurista</t>
  </si>
  <si>
    <t>Liikepääoman korko</t>
  </si>
  <si>
    <t>Muuttuvat kust. yht.</t>
  </si>
  <si>
    <t>Katetuotto A (Katetuotto 1)</t>
  </si>
  <si>
    <t>Tuotot-Muuttuvat kustannukset=Katetuotto A</t>
  </si>
  <si>
    <t>Muut muut.kust+ihmistyö</t>
  </si>
  <si>
    <t>Vuodeksi sidottu osuus %</t>
  </si>
  <si>
    <t>Liikepääoma (lasketaan välisumma tänne ilman liikepääomankorkoa)</t>
  </si>
  <si>
    <t>Muuttuvien kustannusten summa + ihmistyön arvo</t>
  </si>
  <si>
    <t>Liikepääoman korko lasketaan välisummalla eli summataan muuttuvat kulut + ihmistyön arvo ja kerrotaan summa %-kertoimella. Mitä kerroin tarkoittaa?</t>
  </si>
  <si>
    <t xml:space="preserve">Kerroin tarkoittaa, kuinka suuren osan vuodesta pääoman on keskimäärin kiinni, ennen kuin sijoitettu pääoma palautuu takaisin </t>
  </si>
  <si>
    <t xml:space="preserve">Ajattele se vaikka näin: 50 %/12 kk= 6 kk rahat kiinni. 100 %-&gt;rahat 12 kk kiinni. 150 %-&gt; Rahat kiinni 1,5 vuotta jne. </t>
  </si>
  <si>
    <t>Työkustannus (ihmistyö)</t>
  </si>
  <si>
    <t>Tunnit yhteensä</t>
  </si>
  <si>
    <t>Katetuotto B (Katetuotto 2)</t>
  </si>
  <si>
    <t>Katetuotto A-Työkustannus=Katetuotto B</t>
  </si>
  <si>
    <t>KIINTEÄT KUSTANNUKSET</t>
  </si>
  <si>
    <t>Kokonaispeltoala</t>
  </si>
  <si>
    <t>Hehtaarit Total</t>
  </si>
  <si>
    <t>€ tilalla yhteensä</t>
  </si>
  <si>
    <t>€/laskentakohde</t>
  </si>
  <si>
    <t>Kiinteät kustannukset tilikaudella</t>
  </si>
  <si>
    <t>Muut kiinteät kustannukset 1</t>
  </si>
  <si>
    <t>Muut kiinteät kustannukset 2</t>
  </si>
  <si>
    <t>Kiinteät kustannukset yhteensä</t>
  </si>
  <si>
    <t>Katetuotto C (Katetuotto 3)</t>
  </si>
  <si>
    <t>Katetuotto B-Kiinteät kustannukset</t>
  </si>
  <si>
    <t xml:space="preserve">TUOTANTOKUSTANNUKSET </t>
  </si>
  <si>
    <t>Summa kaikista kuluista yhteensä (muuttuvat kulut +työpanos + kiinteät kulut) --&gt; 100 % Kuvaa kulujen %-osuuksien yhteissummaa G-sarakkeelta)</t>
  </si>
  <si>
    <t xml:space="preserve">TUOTOT </t>
  </si>
  <si>
    <t>TUOTOT ilman tukia</t>
  </si>
  <si>
    <t>KASVITUOTANNON VOITTO / TAPPIO</t>
  </si>
  <si>
    <t xml:space="preserve">% suhteessa kokonaistuottoon </t>
  </si>
  <si>
    <t>KASVITUOTANNON VOITTO / TAPPIO ilman tukia</t>
  </si>
  <si>
    <t xml:space="preserve">% suhteessa tuettomaan kokonaistuottoon </t>
  </si>
  <si>
    <t>KASVITUOTANNON TUOTANTOKUSTANNUS (€/KG)</t>
  </si>
  <si>
    <t>€/kg</t>
  </si>
  <si>
    <t>Tuotantokustannus-sivutuotteet</t>
  </si>
  <si>
    <t>TUOTANTOKUSTANNUS, €/KG</t>
  </si>
  <si>
    <t>Ilman tukea, käytä tätä hintaa laskennassa</t>
  </si>
  <si>
    <t>Kustannukset kiloa kohden ilman tukea</t>
  </si>
  <si>
    <t>Tuet €/kg</t>
  </si>
  <si>
    <t>Summataan tuet tulot sarakkeesta</t>
  </si>
  <si>
    <t>Tukien summa vähennetään</t>
  </si>
  <si>
    <t>TUOTTEEN MYYNTIHINTA tuettuna €/KG</t>
  </si>
  <si>
    <t>Kustannuksista vähennetty tuet</t>
  </si>
  <si>
    <t>Tuotteen hinnan muodostus</t>
  </si>
  <si>
    <t>Muuttuvat kustannukset yhteensä</t>
  </si>
  <si>
    <t>Tuotantokustannus yhteensä</t>
  </si>
  <si>
    <t>Tuotetta</t>
  </si>
  <si>
    <t>Tuotantokustannus/tuotemäärällä</t>
  </si>
  <si>
    <t>Ilman tukea</t>
  </si>
  <si>
    <t>Herkkyyslaskuri</t>
  </si>
  <si>
    <t>Sadonmäärän askellus kg/ha</t>
  </si>
  <si>
    <t>Kustannusten nousu % / sadon lisä</t>
  </si>
  <si>
    <t>Sato</t>
  </si>
  <si>
    <t>Bruttotulo=Kokonaistulo TR</t>
  </si>
  <si>
    <t>Määrä q kg/ha</t>
  </si>
  <si>
    <t>Rajatulo €/kg</t>
  </si>
  <si>
    <t>Muuttuvat kust. Yht €/ha</t>
  </si>
  <si>
    <t>Työ €/ha</t>
  </si>
  <si>
    <t>Kiinteä kust €/ha</t>
  </si>
  <si>
    <t>Kust.  Yht €/ha</t>
  </si>
  <si>
    <t>Yksikkökustannukset</t>
  </si>
  <si>
    <t>Ylijäämä=voitto €/ha</t>
  </si>
  <si>
    <t>Voitto €/kg</t>
  </si>
  <si>
    <t>Lisäkustannus</t>
  </si>
  <si>
    <t>Tulon muutos %</t>
  </si>
  <si>
    <t>Menon muutos %</t>
  </si>
  <si>
    <t>Kastelulannoite</t>
  </si>
  <si>
    <t>Myyntilaatikot</t>
  </si>
  <si>
    <t>Poimijoiden palkat</t>
  </si>
  <si>
    <t>Polttoainekulut rahdeista</t>
  </si>
  <si>
    <t>Konelaskuri</t>
  </si>
  <si>
    <t>Laskennallinen korko sitoutuneelle pääomalle</t>
  </si>
  <si>
    <t>Jakajahehtaarit Total</t>
  </si>
  <si>
    <t>MJ ala/ha</t>
  </si>
  <si>
    <t>Korjattu satoa kasvkaudelta</t>
  </si>
  <si>
    <t>Jos rehu syötetään omille eläimille, ei hintaa laiteta.</t>
  </si>
  <si>
    <t>kg kuiva-ainetta/ha</t>
  </si>
  <si>
    <t>D-arvo (suositus 680-700)</t>
  </si>
  <si>
    <t>Suojavilja</t>
  </si>
  <si>
    <t>Jaa perustamisvuoden siemen käyttövuosille</t>
  </si>
  <si>
    <t>kg/ v</t>
  </si>
  <si>
    <t>Nurmensiemen</t>
  </si>
  <si>
    <t>Ostosiemen 3</t>
  </si>
  <si>
    <t>Säilöntäaine</t>
  </si>
  <si>
    <t>Toimistokulut yhteensä €/v : hehtaareilla</t>
  </si>
  <si>
    <t>TUOTANTOKUSTANNUKSET HEHTAARIA KOHDEN</t>
  </si>
  <si>
    <t>TUOTOT HEHTAARIA KOHDEN</t>
  </si>
  <si>
    <t>TUOTOT HEHTAARIA KOHDEN ilman tukia</t>
  </si>
  <si>
    <t>Tuotantokustannukset, €/ha</t>
  </si>
  <si>
    <t>Sivutuotteet, €/ha</t>
  </si>
  <si>
    <t>Sato, kg kuiva-ainetta/ha</t>
  </si>
  <si>
    <t>Rehun hinnoittelu</t>
  </si>
  <si>
    <t>Paali</t>
  </si>
  <si>
    <t>yksikkö</t>
  </si>
  <si>
    <t>Rehua paalissa</t>
  </si>
  <si>
    <t>KA %</t>
  </si>
  <si>
    <t>Paalin hinta ilman tukea</t>
  </si>
  <si>
    <t>Paalin hinta tuetuna</t>
  </si>
  <si>
    <t>Kuormaajalla perävaunuun</t>
  </si>
  <si>
    <r>
      <t>Arvioi tilavuus, montako m</t>
    </r>
    <r>
      <rPr>
        <vertAlign val="superscript"/>
        <sz val="10"/>
        <rFont val="Arial"/>
        <family val="2"/>
      </rPr>
      <t xml:space="preserve">3 </t>
    </r>
    <r>
      <rPr>
        <sz val="10"/>
        <rFont val="Arial"/>
        <family val="2"/>
      </rPr>
      <t>myyt</t>
    </r>
  </si>
  <si>
    <r>
      <t>Yksi m</t>
    </r>
    <r>
      <rPr>
        <vertAlign val="superscript"/>
        <sz val="10"/>
        <rFont val="Arial"/>
        <family val="2"/>
      </rPr>
      <t xml:space="preserve">3 </t>
    </r>
    <r>
      <rPr>
        <sz val="10"/>
        <rFont val="Arial"/>
        <family val="2"/>
      </rPr>
      <t>painaa?</t>
    </r>
  </si>
  <si>
    <r>
      <t>1 m</t>
    </r>
    <r>
      <rPr>
        <vertAlign val="superscript"/>
        <sz val="10"/>
        <rFont val="Arial"/>
        <family val="2"/>
      </rPr>
      <t>3</t>
    </r>
    <r>
      <rPr>
        <sz val="10"/>
        <rFont val="Arial"/>
        <family val="2"/>
      </rPr>
      <t xml:space="preserve"> hinta</t>
    </r>
  </si>
  <si>
    <r>
      <t>1 m</t>
    </r>
    <r>
      <rPr>
        <vertAlign val="superscript"/>
        <sz val="10"/>
        <rFont val="Arial"/>
        <family val="2"/>
      </rPr>
      <t>3</t>
    </r>
    <r>
      <rPr>
        <sz val="10"/>
        <rFont val="Arial"/>
        <family val="2"/>
      </rPr>
      <t xml:space="preserve"> hinta tuettuna</t>
    </r>
  </si>
  <si>
    <t>Muista. Jos huono D-arvo analyysissä, on sulavuus huono ja rehun arvo laskee. Laskelma ei ota huomioon huonoa D-arvoa</t>
  </si>
  <si>
    <t>Laskentahetken tilanne tilikauden aikana</t>
  </si>
  <si>
    <t>Viljelyvuosi</t>
  </si>
  <si>
    <t>Jaa hehtaarit viljelykierron mukaan</t>
  </si>
  <si>
    <t>Tuotanto</t>
  </si>
  <si>
    <t>Sato 1</t>
  </si>
  <si>
    <t>Sato 2</t>
  </si>
  <si>
    <t>Tuotantokustannus €/ kg</t>
  </si>
  <si>
    <t>Sato 3</t>
  </si>
  <si>
    <t>Tuotot yht. €</t>
  </si>
  <si>
    <t>Määritä pakkauskoko</t>
  </si>
  <si>
    <t>kg/laatikko</t>
  </si>
  <si>
    <t>l</t>
  </si>
  <si>
    <t>keskiarvo</t>
  </si>
  <si>
    <t>TUOTTEEN MYYNTIHINTA vähintään €/KG</t>
  </si>
  <si>
    <t>Myyntihinnan oltava vähintään</t>
  </si>
  <si>
    <t>Markkinoilta saatava hinta, tuotantohinta lasketaan</t>
  </si>
  <si>
    <t>Rajalaskuri</t>
  </si>
  <si>
    <t>Rajakustannus Mc</t>
  </si>
  <si>
    <t>Viljeltävän kasvin ala</t>
  </si>
  <si>
    <t>Muut tuet</t>
  </si>
  <si>
    <t>Oma traktorityö</t>
  </si>
  <si>
    <r>
      <t>m</t>
    </r>
    <r>
      <rPr>
        <b/>
        <vertAlign val="superscript"/>
        <sz val="14"/>
        <rFont val="Arial"/>
        <family val="2"/>
      </rPr>
      <t>2</t>
    </r>
  </si>
  <si>
    <t>TUOTOT</t>
  </si>
  <si>
    <t>KASVITUOTANNON TUOTANTOKUSTANNUS (€/yksikkö)</t>
  </si>
  <si>
    <t>€/ala</t>
  </si>
  <si>
    <t>€/m2</t>
  </si>
  <si>
    <t>Tuotantokustannukset €</t>
  </si>
  <si>
    <t>Sivutuotteet, €</t>
  </si>
  <si>
    <t>Sato, kg</t>
  </si>
  <si>
    <t>TUOTANTOKUSTANNUS, €/yksikkö</t>
  </si>
  <si>
    <t>Tuet €/yksikkö</t>
  </si>
  <si>
    <t>TUOTTEEN MYYNTIHINTA tuettuna €/yksikkö</t>
  </si>
  <si>
    <r>
      <t>Tuotantokustannus/m</t>
    </r>
    <r>
      <rPr>
        <vertAlign val="superscript"/>
        <sz val="10"/>
        <rFont val="Arial"/>
        <family val="2"/>
      </rPr>
      <t>2</t>
    </r>
  </si>
  <si>
    <t>Maidon TUOTANTOKUSTANNUSLASKELMA</t>
  </si>
  <si>
    <t>Yhtä lehmää kohden</t>
  </si>
  <si>
    <t>Eläinten lukumäärä</t>
  </si>
  <si>
    <t>Lasketko yhtä yksikköä kohden (1) vai koko karjalle (2)? Oletus 1</t>
  </si>
  <si>
    <t>€/karja</t>
  </si>
  <si>
    <t>Tarkiste: Määrä/yksikkö</t>
  </si>
  <si>
    <t>Maitoa</t>
  </si>
  <si>
    <t>Tuotantotuki</t>
  </si>
  <si>
    <t>Kirjaa tälle riville vain tuki</t>
  </si>
  <si>
    <t>tuki 2(mikä?)</t>
  </si>
  <si>
    <t>tuki 3(mikä?)</t>
  </si>
  <si>
    <t>tuki 4(mikä?)</t>
  </si>
  <si>
    <t>tuki (mikä?)</t>
  </si>
  <si>
    <t>Vanhan lehmän lihan myynti</t>
  </si>
  <si>
    <t>Lehmästä lihakg : pitoaika=&gt;myytävät kg /v</t>
  </si>
  <si>
    <t xml:space="preserve">Vasikkamyynti </t>
  </si>
  <si>
    <t>Lasket lehmää kohden/v. Vasikka voi olla tyttö/poika 50/50%=0,5</t>
  </si>
  <si>
    <t>Muut tulot?</t>
  </si>
  <si>
    <t>Oma säilörehu</t>
  </si>
  <si>
    <t>Poimi oman säilörehun hinta</t>
  </si>
  <si>
    <t>kg ka</t>
  </si>
  <si>
    <t>Ei siirry tuloslaskelmalle, koska kulut huomiotu säilörehulaskelmassa</t>
  </si>
  <si>
    <t>Oma viljaväkirehu</t>
  </si>
  <si>
    <t>Poimi oman viljan hinta</t>
  </si>
  <si>
    <t>Ei siirry tuloslaskelmalle, koska kulut huomiotu viljalaskelmassa</t>
  </si>
  <si>
    <t>Seosruokinta itsetuotetut rehut</t>
  </si>
  <si>
    <t>Omat rehut (säilörehu, vilja)</t>
  </si>
  <si>
    <t>Seosruokinta ostorehut</t>
  </si>
  <si>
    <t>Tiivisteet, rypsi, kivenäiset</t>
  </si>
  <si>
    <t>Rehu (mikä?)</t>
  </si>
  <si>
    <r>
      <t xml:space="preserve">Energia </t>
    </r>
    <r>
      <rPr>
        <sz val="9"/>
        <rFont val="Arial"/>
        <family val="2"/>
      </rPr>
      <t>kWh/lehmä. Jos ei ole kiinteissä kuluissa jo mukana?</t>
    </r>
  </si>
  <si>
    <t>1000-1500 kWhlehmä</t>
  </si>
  <si>
    <t>kWh</t>
  </si>
  <si>
    <t>Eläinlääkäri</t>
  </si>
  <si>
    <t>Uudistaminen</t>
  </si>
  <si>
    <t>Jaa hiehon uudistamiskulu tai hankintahinta/tuotantovuodet</t>
  </si>
  <si>
    <t>Välisumma ilman korkoa</t>
  </si>
  <si>
    <t>Eläinpääoman korko</t>
  </si>
  <si>
    <t>Hiehon tuotantokustannus vasikasta lehmäksi €</t>
  </si>
  <si>
    <t>Tuotantoeläimen kasvatus vasikasta hiehoksi sitoo pääoman pitkäksi aikaa, siksi sille on laskettava korko erikseen.</t>
  </si>
  <si>
    <t xml:space="preserve">Ajattele se vaikka näin: 100 %/12kk=8,33 % per kk-&gt; joten 8,33 % x 12 kk = 100 %. Silloin 50 %/12 kk= 6 kk rahat kiinni. 100 %-&gt;rahat 12 kk kiinni. 150 %-&gt; Rahat kiinni 1,5 vuotta jne. </t>
  </si>
  <si>
    <t>Vuodessa €/tila</t>
  </si>
  <si>
    <t>Muut kiinteät kustannukset eläimille</t>
  </si>
  <si>
    <r>
      <t xml:space="preserve">Katetuotto C (Katetuotto 3) </t>
    </r>
    <r>
      <rPr>
        <b/>
        <sz val="8"/>
        <rFont val="Arial"/>
        <family val="2"/>
      </rPr>
      <t>Nettovoitto tai Nettotappio</t>
    </r>
  </si>
  <si>
    <t>TUOTANTOKUSTANNUKSET</t>
  </si>
  <si>
    <t>TUOTANNON VOITTO / TAPPIO</t>
  </si>
  <si>
    <t>TUOTANNON VOITTO / TAPPIO ilman tukia</t>
  </si>
  <si>
    <t>TUOTANTOKUSTANNUS (€/l)</t>
  </si>
  <si>
    <t>€/l</t>
  </si>
  <si>
    <t>Tuotantokustannukset</t>
  </si>
  <si>
    <t xml:space="preserve">Määrä/v </t>
  </si>
  <si>
    <t>Tämä kustannus, jossa mukana tuet. Jos myyt tällä,on tuet voittoa Tämän alle ei voi myydä</t>
  </si>
  <si>
    <t>Tämä kustannus yrittäjälle ilman tukea. Tämän alle et voi myydä!</t>
  </si>
  <si>
    <t>Hinnan muodostus</t>
  </si>
  <si>
    <t>Tuotantokustannus/määrällä</t>
  </si>
  <si>
    <t>Keskituotos l/lehmä/vuosi</t>
  </si>
  <si>
    <t>Lehmiä kpl tässä tuotostasossa</t>
  </si>
  <si>
    <t>Lehmiä %:na tässä tuotostasossa</t>
  </si>
  <si>
    <t>Hintasi €/l</t>
  </si>
  <si>
    <t>Vuodessa muuttaa tulosta</t>
  </si>
  <si>
    <t>Ero tavoitehintaan €/l</t>
  </si>
  <si>
    <t>Maitoa l vuodessa</t>
  </si>
  <si>
    <t xml:space="preserve">Laskelmassa käytät </t>
  </si>
  <si>
    <t>keskiarvo l/lehmä</t>
  </si>
  <si>
    <t>Herkkyyslaskuri: Maitomäärän askellus l/eläin</t>
  </si>
  <si>
    <t>Kustannusten nousu % / lisä</t>
  </si>
  <si>
    <t>Määrä q l/eläin</t>
  </si>
  <si>
    <t>Rajatulo €/l</t>
  </si>
  <si>
    <t>Muuttuvat kust. Yht €/eläin</t>
  </si>
  <si>
    <t>Työ €/eläin</t>
  </si>
  <si>
    <t>Kiinteä kust €/eläin</t>
  </si>
  <si>
    <t>Kust.  Yht €/eläin</t>
  </si>
  <si>
    <t>Ylijäämä=voitto €/lehmä</t>
  </si>
  <si>
    <t>Voitto €/l</t>
  </si>
  <si>
    <t>TUOTOT €/eläin</t>
  </si>
  <si>
    <t>Maitoa yhdestä lehmästä</t>
  </si>
  <si>
    <t>Muuttuvat kustannukset eläintä kohden</t>
  </si>
  <si>
    <t>TUOTANTOKUSTANNUKSET tuotettua yksikköä KOHDEN (€/eläin)</t>
  </si>
  <si>
    <t>TUOTOT lehmää KOHDEN</t>
  </si>
  <si>
    <t>TUOTOT lehmää KOHDEN ilman tukia</t>
  </si>
  <si>
    <t>Tuotantokustannukset, €/l</t>
  </si>
  <si>
    <t xml:space="preserve">Maitoa l/eläin/v </t>
  </si>
  <si>
    <t>TUOTANTOKUSTANNUS, €/l</t>
  </si>
  <si>
    <t>Tuet €/l</t>
  </si>
  <si>
    <t>Maidon hinnan muodostus</t>
  </si>
  <si>
    <t>Tuotantokustannus/maitomäärällä</t>
  </si>
  <si>
    <t>Keskituotos litraa</t>
  </si>
  <si>
    <t>Maidon tuotantokustannus</t>
  </si>
  <si>
    <t>Siirto tuloslaskelmalle? Kyllä/Ei</t>
  </si>
  <si>
    <t>Eläinten lukumäärä yhteensä</t>
  </si>
  <si>
    <t>Keskituotos</t>
  </si>
  <si>
    <t>Työtunnit</t>
  </si>
  <si>
    <t>€/h</t>
  </si>
  <si>
    <t>Työkustannus (ihmistyö €/lehmä)</t>
  </si>
  <si>
    <t>Lihan TUOTANTOKUSTANNUSLASKELMA</t>
  </si>
  <si>
    <t>Sonnin energiarve</t>
  </si>
  <si>
    <t>Kasvatusaika kk</t>
  </si>
  <si>
    <t>Lihaa yhdestä eläimestä</t>
  </si>
  <si>
    <t>Muut tuotot</t>
  </si>
  <si>
    <t>Laske rehun tuotantokustannus ensin</t>
  </si>
  <si>
    <t>Juomarehu</t>
  </si>
  <si>
    <t>Kivennäinen</t>
  </si>
  <si>
    <t>Kasvatusrehu</t>
  </si>
  <si>
    <t>Ohra</t>
  </si>
  <si>
    <t>Energia</t>
  </si>
  <si>
    <t>Huomioitu navettalaskelmassa</t>
  </si>
  <si>
    <t>€/tila</t>
  </si>
  <si>
    <r>
      <t xml:space="preserve">KIINTEÄT KUSTANNUKSET </t>
    </r>
    <r>
      <rPr>
        <b/>
        <sz val="10"/>
        <rFont val="Arial"/>
        <family val="2"/>
      </rPr>
      <t>(Arvot tulevat kiinteistä rekistereistä)</t>
    </r>
  </si>
  <si>
    <t>Suositus % Jos aika kk &gt;12 kk, kasvaa %-ehdotus kiinteille (suositus)</t>
  </si>
  <si>
    <t>Oma %. Muuta vain jos et hyväksy ehdotus %:ia)</t>
  </si>
  <si>
    <t>TUOTOT eläintä KOHDEN</t>
  </si>
  <si>
    <t>TUOTOT eläintä KOHDEN ilman tukia</t>
  </si>
  <si>
    <t>TUOTANTOKUSTANNUS (€/yksikkö)</t>
  </si>
  <si>
    <t>Tuotantokustannukset, €/yksikkö</t>
  </si>
  <si>
    <t>Lihaa kg/eläin</t>
  </si>
  <si>
    <t>Tuotantomäärä yksikköä</t>
  </si>
  <si>
    <t>Tuotantokustannus €/yksikkö</t>
  </si>
  <si>
    <t>TUOTANTOKUSTANNUSLASKELMA</t>
  </si>
  <si>
    <t>Esim. suoramyyntiosuus</t>
  </si>
  <si>
    <t>Esm. Teurastamo-osuus</t>
  </si>
  <si>
    <t>tuki 1 (mikä?)</t>
  </si>
  <si>
    <t>Villa yms…</t>
  </si>
  <si>
    <t>Muotoile/lisää tarvitsemiasi kaavoja</t>
  </si>
  <si>
    <t>Lihan tuotantokustannus- ja katelaskelma</t>
  </si>
  <si>
    <t>Kasvatuspaikkoja/Eläinten lukumäärä yhteensä</t>
  </si>
  <si>
    <t>Eläimiä kussakin lihapainoluokassa (jaa eläinmäärät)</t>
  </si>
  <si>
    <t>Kasvatuspäivät kk I pv</t>
  </si>
  <si>
    <t>Eläinkasvupäivää</t>
  </si>
  <si>
    <t>Tuotantokuukaudet/Kasvatusaika kk</t>
  </si>
  <si>
    <t>Tuotanto total</t>
  </si>
  <si>
    <t>Keskituotos Total</t>
  </si>
  <si>
    <t>Tuotanto keskim. Vuodessa</t>
  </si>
  <si>
    <t>Keskimäärin</t>
  </si>
  <si>
    <t>Lihaa</t>
  </si>
  <si>
    <t>Kasvatuspalkkio</t>
  </si>
  <si>
    <t>Päivää kohden</t>
  </si>
  <si>
    <t>pv</t>
  </si>
  <si>
    <t>Meno</t>
  </si>
  <si>
    <r>
      <t xml:space="preserve">Energia </t>
    </r>
    <r>
      <rPr>
        <sz val="9"/>
        <rFont val="Arial"/>
        <family val="2"/>
      </rPr>
      <t>kWh/yksikkö. Jos ei ole kiinteissä kuluissa jo mukana?</t>
    </r>
  </si>
  <si>
    <t>Ostoeläin kasvatukseen</t>
  </si>
  <si>
    <t>Tuotantoeläimen kasvatus vasikasta lihaksi sitoo pääoman pitkäksi aikaa, siksi sille on laskettava korko erikseen.</t>
  </si>
  <si>
    <t>Työkustannus (ihmistyö €/eläin)</t>
  </si>
  <si>
    <t>Ajanjaksolla €/tila</t>
  </si>
  <si>
    <t>Suositus % kiinteille kuluille aika huomioiden</t>
  </si>
  <si>
    <t>€/vuosi</t>
  </si>
  <si>
    <t>TUOTOT laskentayksikköä KOHDEN ilman tukia</t>
  </si>
  <si>
    <t>€/yksikkö</t>
  </si>
  <si>
    <t xml:space="preserve">Tuotanto/yksikkö/v </t>
  </si>
  <si>
    <t>Tuet €/yks.</t>
  </si>
  <si>
    <t>Tuotettu määrä</t>
  </si>
  <si>
    <t>yksikköä</t>
  </si>
  <si>
    <t>Tuotantokustannus /määrä</t>
  </si>
  <si>
    <t>Katetuottolaskelma</t>
  </si>
  <si>
    <t>EVL</t>
  </si>
  <si>
    <t>Siirrätkö tuloslaskelmaan? Kyllä, Ei</t>
  </si>
  <si>
    <t>KYLLÄ</t>
  </si>
  <si>
    <t>TUOTOT €/v</t>
  </si>
  <si>
    <t>Tulo1</t>
  </si>
  <si>
    <t>€/kpl</t>
  </si>
  <si>
    <t>Tulo2</t>
  </si>
  <si>
    <t>Tulo3</t>
  </si>
  <si>
    <t>Tulo4</t>
  </si>
  <si>
    <t>Tulo5</t>
  </si>
  <si>
    <t>Tuotot=liikevaihto</t>
  </si>
  <si>
    <t>Muuttuvat kustannukset €/v (käyttöpääoma)</t>
  </si>
  <si>
    <t>Markkinointi</t>
  </si>
  <si>
    <t>Vuokrat</t>
  </si>
  <si>
    <t>Lämmitys, energia yms</t>
  </si>
  <si>
    <t>Jätemaksut</t>
  </si>
  <si>
    <t>Kirjanpito, laskutus, tilitoimisto</t>
  </si>
  <si>
    <t>Vastuuvakuutus</t>
  </si>
  <si>
    <t>Puhelin</t>
  </si>
  <si>
    <t>Konetyö</t>
  </si>
  <si>
    <t>Myyntikate</t>
  </si>
  <si>
    <t>Tuotot-Muuttuvat kustannukset</t>
  </si>
  <si>
    <t>Kiinteät kustannukset €/v (ei poistoja ja korkoja)</t>
  </si>
  <si>
    <t>Palkat sivukuluineen</t>
  </si>
  <si>
    <t>Yrittäjän YEL</t>
  </si>
  <si>
    <t>Kiinteät kustannukset (ei poistoja, korkoa) kust. yht.</t>
  </si>
  <si>
    <t>Käyttökate</t>
  </si>
  <si>
    <t>Tuotot-Muuttuvat kustannukset - kiinteät kustannukset ilman korkoja ja poistoja</t>
  </si>
  <si>
    <t>KIINTEÄT KUSTANNUKSET poistot ja korot yms.</t>
  </si>
  <si>
    <t>€  yhteensä</t>
  </si>
  <si>
    <t>Muut kiinteät kustannukset</t>
  </si>
  <si>
    <t>Voitto</t>
  </si>
  <si>
    <t>Tuotot-Muuttuvat kustannukset - kiinteät kustannukset</t>
  </si>
  <si>
    <t>Muu EVL</t>
  </si>
  <si>
    <t>km</t>
  </si>
  <si>
    <t>Metsälaskelma</t>
  </si>
  <si>
    <t>Metsähehtaarit</t>
  </si>
  <si>
    <t>TUOTOT €/ha</t>
  </si>
  <si>
    <t>Huom! Laskelma tilaa kohden!</t>
  </si>
  <si>
    <t>Puun pystykauppa tukki</t>
  </si>
  <si>
    <r>
      <t>m</t>
    </r>
    <r>
      <rPr>
        <vertAlign val="superscript"/>
        <sz val="12"/>
        <rFont val="Arial"/>
        <family val="2"/>
      </rPr>
      <t>3</t>
    </r>
    <r>
      <rPr>
        <sz val="12"/>
        <rFont val="Arial"/>
        <family val="2"/>
      </rPr>
      <t>/v</t>
    </r>
  </si>
  <si>
    <t>Puun pystykauppa kuitu</t>
  </si>
  <si>
    <t>Puun hankintakauppa tukki</t>
  </si>
  <si>
    <t>Puun hankintakauppa kuitu</t>
  </si>
  <si>
    <t>Energiapuu</t>
  </si>
  <si>
    <t>Muuttuvat kustannukset tilalla</t>
  </si>
  <si>
    <t>€/v metsä</t>
  </si>
  <si>
    <t>Taimet</t>
  </si>
  <si>
    <t>Lannoitus</t>
  </si>
  <si>
    <t>Ulkopuoliset palvelut</t>
  </si>
  <si>
    <t>Metsänhoitomaksu, jäsenmaksut yms.</t>
  </si>
  <si>
    <t>Sahan bensa</t>
  </si>
  <si>
    <t>Sahan ketjuöljy</t>
  </si>
  <si>
    <t>Sahojen huollot</t>
  </si>
  <si>
    <t>Kurssit</t>
  </si>
  <si>
    <t>Työkustannus (ihmistyö) koko metsäala h/v</t>
  </si>
  <si>
    <t>Metsäala</t>
  </si>
  <si>
    <t>TUOTANTOKUSTANNUKSET €/v</t>
  </si>
  <si>
    <t>METSÄN VOITTO / TAPPIO</t>
  </si>
  <si>
    <t>METSÄN TUOTANTOKUSTANNUS (€/m3)</t>
  </si>
  <si>
    <t>€/m3</t>
  </si>
  <si>
    <t>Tuotantokustannukset, €/v</t>
  </si>
  <si>
    <r>
      <t>Puuta yhteensä, m</t>
    </r>
    <r>
      <rPr>
        <vertAlign val="superscript"/>
        <sz val="12"/>
        <rFont val="Arial"/>
        <family val="2"/>
      </rPr>
      <t>3</t>
    </r>
  </si>
  <si>
    <r>
      <t>TUOTANTOKUSTANNUS, €/m</t>
    </r>
    <r>
      <rPr>
        <b/>
        <vertAlign val="superscript"/>
        <sz val="12"/>
        <rFont val="Arial"/>
        <family val="2"/>
      </rPr>
      <t>3</t>
    </r>
  </si>
  <si>
    <r>
      <t>Sadonmäärän askellus m</t>
    </r>
    <r>
      <rPr>
        <vertAlign val="superscript"/>
        <sz val="10"/>
        <rFont val="Arial"/>
        <family val="2"/>
      </rPr>
      <t>3</t>
    </r>
    <r>
      <rPr>
        <sz val="10"/>
        <rFont val="Arial"/>
        <family val="2"/>
      </rPr>
      <t>/tila/v</t>
    </r>
  </si>
  <si>
    <r>
      <t>Määrä q m</t>
    </r>
    <r>
      <rPr>
        <vertAlign val="superscript"/>
        <sz val="10"/>
        <rFont val="Arial"/>
        <family val="2"/>
      </rPr>
      <t>3</t>
    </r>
    <r>
      <rPr>
        <sz val="10"/>
        <rFont val="Arial"/>
        <family val="2"/>
      </rPr>
      <t>/v</t>
    </r>
  </si>
  <si>
    <t>Muuttuvat kust. Yht €/v</t>
  </si>
  <si>
    <t>Työ €/v</t>
  </si>
  <si>
    <t>Kiinteä kust €/v</t>
  </si>
  <si>
    <t>Kust.  Yht €/v</t>
  </si>
  <si>
    <t>Ylijäämä=voitto €/v</t>
  </si>
  <si>
    <t>Voitto €/m3</t>
  </si>
  <si>
    <t>Laskuttajan tiedot</t>
  </si>
  <si>
    <t>LASKU</t>
  </si>
  <si>
    <t>Antti Asiakas</t>
  </si>
  <si>
    <t>Y-tunnus</t>
  </si>
  <si>
    <t>Haarantie 39</t>
  </si>
  <si>
    <t>70100 Kuopio</t>
  </si>
  <si>
    <t>Puhelin:</t>
  </si>
  <si>
    <t>Asiakas</t>
  </si>
  <si>
    <t>Kalle Asiakas</t>
  </si>
  <si>
    <t>Asiakastunniste</t>
  </si>
  <si>
    <t>Laskun pvm</t>
  </si>
  <si>
    <t>Kallentie 1</t>
  </si>
  <si>
    <t>Laskun numero</t>
  </si>
  <si>
    <t>73300 Nilsiä</t>
  </si>
  <si>
    <t>Maksuehto</t>
  </si>
  <si>
    <t>pv netto</t>
  </si>
  <si>
    <t>Eräpvm</t>
  </si>
  <si>
    <t>Viivästyskorko</t>
  </si>
  <si>
    <t>Toimituspvm</t>
  </si>
  <si>
    <t>Toimitusosoite</t>
  </si>
  <si>
    <t>Esimerkintie 1 73300 Nilsiä</t>
  </si>
  <si>
    <t>Viite</t>
  </si>
  <si>
    <t>Puhelinkeskustelu</t>
  </si>
  <si>
    <t>Hae tuote</t>
  </si>
  <si>
    <t>Nimike</t>
  </si>
  <si>
    <t>a'hinta</t>
  </si>
  <si>
    <t>Ale %</t>
  </si>
  <si>
    <t>Hinta Alv 0%</t>
  </si>
  <si>
    <t>ALV-määrä</t>
  </si>
  <si>
    <t>Yhteensä   EUR</t>
  </si>
  <si>
    <t>yhteensä</t>
  </si>
  <si>
    <t>Arvonlisäveroton hinta yhteensä</t>
  </si>
  <si>
    <t>Arvonlisävero 24 %</t>
  </si>
  <si>
    <t>Arvonlisävero 14%</t>
  </si>
  <si>
    <t>Arvonlisävero 10 %</t>
  </si>
  <si>
    <t>Arvonlisävero yhteensä</t>
  </si>
  <si>
    <t>Lasku yhteensä</t>
  </si>
  <si>
    <t>Saajan tilinumero</t>
  </si>
  <si>
    <t>Nordea</t>
  </si>
  <si>
    <t>IBAN FI5414483000109880</t>
  </si>
  <si>
    <t>Saaja</t>
  </si>
  <si>
    <t>Laskun nro</t>
  </si>
  <si>
    <t>Asiakastunnus</t>
  </si>
  <si>
    <t>Viitenro</t>
  </si>
  <si>
    <t>Maksaja</t>
  </si>
  <si>
    <t>Eräpäivä</t>
  </si>
  <si>
    <t>EUR</t>
  </si>
  <si>
    <t>Viitteen rakentuminen</t>
  </si>
  <si>
    <t>HINNOITTELU esim. jatkojalostus tai yms.</t>
  </si>
  <si>
    <t>Mikä?</t>
  </si>
  <si>
    <t>Hinnoittelu esim. torimyyntiin (muuta tämä teksti halumaksesi).</t>
  </si>
  <si>
    <t>Siirrätkö tulosennusteelle? kyllä, ei</t>
  </si>
  <si>
    <t>ei</t>
  </si>
  <si>
    <t>Jos kyllä, tulot ja ostot siirtyvät tuloslaskelmalle. Kikut siirtyvät rekisteistä aina tuloslaskelmalle. Voit poistaa kikuja %-osuutta muuttamalla tuloslaskennassa)</t>
  </si>
  <si>
    <t>KIKUT=Kiinteät kulut koneista ja rakennuksista €/v sekä muut</t>
  </si>
  <si>
    <t>Hinnoittelukertoimella laskettu hinta</t>
  </si>
  <si>
    <t>Korjattu hinta</t>
  </si>
  <si>
    <t>Laskenta</t>
  </si>
  <si>
    <t>Kikut tulevat</t>
  </si>
  <si>
    <t>Kikujen</t>
  </si>
  <si>
    <t>Myytävä määrä</t>
  </si>
  <si>
    <t>Hävikki %</t>
  </si>
  <si>
    <t>Määrä-hävikki</t>
  </si>
  <si>
    <t>Myytävä</t>
  </si>
  <si>
    <t>Oma hinta (hinnoittelun lähtökohta)</t>
  </si>
  <si>
    <t>Ostetut aineet ja tavarat)/yksikkö</t>
  </si>
  <si>
    <t>Työ h/erä</t>
  </si>
  <si>
    <t>Palkka €/aika</t>
  </si>
  <si>
    <t>Aseta kate %</t>
  </si>
  <si>
    <t>Hinnoittelukerroin</t>
  </si>
  <si>
    <t>Veloitushinta/tuote alv 0 %</t>
  </si>
  <si>
    <t>Hinta/yksikkö sis. alv</t>
  </si>
  <si>
    <t xml:space="preserve">Tai syötä hinta/yksikkö sis. alv </t>
  </si>
  <si>
    <t>Veloitushinta/tuote alv 0 % manuaalisti syötetty hinta)</t>
  </si>
  <si>
    <t>%-osuutena</t>
  </si>
  <si>
    <t>kohdistus</t>
  </si>
  <si>
    <t>Ostat jatkojalostukseen yksikköä</t>
  </si>
  <si>
    <t>määrä</t>
  </si>
  <si>
    <t>kokonaistuotemäärästä</t>
  </si>
  <si>
    <t xml:space="preserve">Tulojen </t>
  </si>
  <si>
    <t>tuoteriville</t>
  </si>
  <si>
    <t>Tuote</t>
  </si>
  <si>
    <t>Alv %</t>
  </si>
  <si>
    <t>kate %</t>
  </si>
  <si>
    <t>Hinta yht sis alv</t>
  </si>
  <si>
    <t>Tulot (alv 0%)</t>
  </si>
  <si>
    <t>Oma hinta</t>
  </si>
  <si>
    <t>Ostetut aineet ja tavarat</t>
  </si>
  <si>
    <t>Ostot yhteensä 1 (tuloslaskelmalle)</t>
  </si>
  <si>
    <t>Ostot yhteensä 2 (tälle laskelmalle)</t>
  </si>
  <si>
    <t>Myyntikate (tulot-ostot yht 2)</t>
  </si>
  <si>
    <t>Myyntikate%</t>
  </si>
  <si>
    <t>Palkka</t>
  </si>
  <si>
    <t>KIKUT</t>
  </si>
  <si>
    <t>Työtunnit yht</t>
  </si>
  <si>
    <t>Oletus 100%</t>
  </si>
  <si>
    <t>Työtä hyksikkö</t>
  </si>
  <si>
    <t>Tuote 1</t>
  </si>
  <si>
    <t>k</t>
  </si>
  <si>
    <t>Tuote 2</t>
  </si>
  <si>
    <t>Tuote 3</t>
  </si>
  <si>
    <t>Tuote 4</t>
  </si>
  <si>
    <t>Tuote 5</t>
  </si>
  <si>
    <t>Tuote 6</t>
  </si>
  <si>
    <t>Tuote 7</t>
  </si>
  <si>
    <t>Tuote 8</t>
  </si>
  <si>
    <t>Tuote 9</t>
  </si>
  <si>
    <t>Tuote 10</t>
  </si>
  <si>
    <t>Tuote 11</t>
  </si>
  <si>
    <t>Tuote 12</t>
  </si>
  <si>
    <t>Tuote 13</t>
  </si>
  <si>
    <t>Tuote 14</t>
  </si>
  <si>
    <t>Tuote 15</t>
  </si>
  <si>
    <t>Tuote 16</t>
  </si>
  <si>
    <t>Alennus</t>
  </si>
  <si>
    <t>KA</t>
  </si>
  <si>
    <t>Oikaistu tuloslaskelma jatkojalostuksesta</t>
  </si>
  <si>
    <t>Myyntitulot</t>
  </si>
  <si>
    <t>Mukut</t>
  </si>
  <si>
    <t>Palkkavaatimus</t>
  </si>
  <si>
    <t>työtuntia</t>
  </si>
  <si>
    <t>Kikut</t>
  </si>
  <si>
    <t>Voitto/Tappio</t>
  </si>
  <si>
    <t>Koneurakointi</t>
  </si>
  <si>
    <t>Tuntihinnan voit laskea konelaskurilla</t>
  </si>
  <si>
    <t xml:space="preserve">Tulo1 </t>
  </si>
  <si>
    <t>Huollot</t>
  </si>
  <si>
    <t>Polttoaineet</t>
  </si>
  <si>
    <t>Keikkatyöläisten palkat</t>
  </si>
  <si>
    <t>Pallkkojen sivukulut</t>
  </si>
  <si>
    <t>Palkka itselle (arvio omista nostoista</t>
  </si>
  <si>
    <t>Vakinaisen henkilöstön palkat</t>
  </si>
  <si>
    <t>Palkkojen sivukulut</t>
  </si>
  <si>
    <t>Yrittäjän YEL/Myel</t>
  </si>
  <si>
    <t>Vakuutukset</t>
  </si>
  <si>
    <t>Laskentakooste</t>
  </si>
  <si>
    <t>Tuotot</t>
  </si>
  <si>
    <t>Tulot kasveista (ilman tukia)</t>
  </si>
  <si>
    <t>Hävikki tai omaan käyttöön otettu (esim. siemen)</t>
  </si>
  <si>
    <t>Tuotos:</t>
  </si>
  <si>
    <t>Hävikki:</t>
  </si>
  <si>
    <t>Ala</t>
  </si>
  <si>
    <t>YHT.</t>
  </si>
  <si>
    <t>Kasvien maataloustukitulot</t>
  </si>
  <si>
    <t>Kasveista saatava tulo yhteensä</t>
  </si>
  <si>
    <t>Tulot eläimistä (ilman tukia)</t>
  </si>
  <si>
    <t>kk</t>
  </si>
  <si>
    <t>Tuet eläimissä</t>
  </si>
  <si>
    <t>(Lihantuotanto suhteell. 12 kk)</t>
  </si>
  <si>
    <t>Eläimistä saatava tulo yhteensä</t>
  </si>
  <si>
    <t>Tulot koneurakoinnista</t>
  </si>
  <si>
    <t>EVL:n mukainen toiminta 1</t>
  </si>
  <si>
    <t>EVL:n mukainen toiminta 2</t>
  </si>
  <si>
    <t>Tulot yhteensä (Liikevaihto)</t>
  </si>
  <si>
    <t>alvia laskutettu</t>
  </si>
  <si>
    <t>Kustannukset</t>
  </si>
  <si>
    <t>Muuttuvat kustannukset</t>
  </si>
  <si>
    <t xml:space="preserve">% </t>
  </si>
  <si>
    <t>liikevaihdosta</t>
  </si>
  <si>
    <t>"-"</t>
  </si>
  <si>
    <t>Kasvinviljelyn muuttuvat kustannukset yht</t>
  </si>
  <si>
    <t>arvio keskiarvona, pienennä jos sis. alemman verokannan ostoja</t>
  </si>
  <si>
    <t>X</t>
  </si>
  <si>
    <t>(suhteell. 12 kk)</t>
  </si>
  <si>
    <t>Kotieläin muuttuvat kustannukset yht</t>
  </si>
  <si>
    <t>Kate A tai Myyntikate</t>
  </si>
  <si>
    <t>Työpanos</t>
  </si>
  <si>
    <t>kokonaiskuluista</t>
  </si>
  <si>
    <t>Ei tuoda</t>
  </si>
  <si>
    <t>Työ yhteensä</t>
  </si>
  <si>
    <t>_Ely- laskelmien tunnit ja palkka</t>
  </si>
  <si>
    <t>Kate B</t>
  </si>
  <si>
    <t>Yrityksen lainarekisterin</t>
  </si>
  <si>
    <r>
      <t xml:space="preserve">Poistot </t>
    </r>
    <r>
      <rPr>
        <b/>
        <sz val="8"/>
        <rFont val="Arial"/>
        <family val="2"/>
      </rPr>
      <t>(siirrä tuloslaskelmalle)</t>
    </r>
  </si>
  <si>
    <t>Koneista</t>
  </si>
  <si>
    <t>lainojen lyhennykset</t>
  </si>
  <si>
    <t>1=Jos lainan lyhennykset ylittävät poistojen määrän,  lyhennykset korvaavat poistot. Muutoin poisto ohittaa lyhennykset (oletus)</t>
  </si>
  <si>
    <t>2=vaihda poistot lainan lyhennyksiin</t>
  </si>
  <si>
    <t>3=laske vain poistot, lainan lyhennyksiä ei huomioida laskelmassa.</t>
  </si>
  <si>
    <t>Ely-asetus ohittaa kaikki</t>
  </si>
  <si>
    <t>Poistot yhteensä</t>
  </si>
  <si>
    <t>Pääoman tuottovaatimus korko</t>
  </si>
  <si>
    <t>1=Jos lainakorot ylittävät pääoman korkovaatimuksen määrän,  maksetut korot korvaavat pääoman korkovaatimuksen (oletus)</t>
  </si>
  <si>
    <t>Jos alitus, maksetut korot pienentävät pääoman tuottovaatimuksen korkoa (sulautuvat maksettuihin korkoihin kustannuksena)</t>
  </si>
  <si>
    <t>2=vaihda korkovaatimus lainan korkoihin, pääomavaatimusta ei lasketa</t>
  </si>
  <si>
    <t>3=laske pääoman tuottovaatimus ja maksetut lainan korot omina erinään</t>
  </si>
  <si>
    <t>Korkovaatimus yhteensä</t>
  </si>
  <si>
    <t>Muut 1 + Muut 2</t>
  </si>
  <si>
    <t>Muut kiinteät kust. yhteensä</t>
  </si>
  <si>
    <t>Yrityksen</t>
  </si>
  <si>
    <t>lainasivulta</t>
  </si>
  <si>
    <t>sis. myös metsän.</t>
  </si>
  <si>
    <t>Ei tuloslaskelmalle, koska saat vähentää poistot (Siirrä lainan lyhennys budjettiin)</t>
  </si>
  <si>
    <t>lainojen kulut</t>
  </si>
  <si>
    <t>Siirrä tuloslaskelmalle, koska saat vähentää kulut (Siirrä myös budjettiin)</t>
  </si>
  <si>
    <t>maksetut korot</t>
  </si>
  <si>
    <t>Siirrä tuloslaskelmalle, koska saat vähentää korot (Siirrä myös budjettiin)</t>
  </si>
  <si>
    <t>metsälainojen kulut</t>
  </si>
  <si>
    <t>Siirrä tuloslaskelmalle, koska saat vähentää kulut (Siirrä budjettiin)</t>
  </si>
  <si>
    <t>metsälainojen korot</t>
  </si>
  <si>
    <t>Siirrä tuloslaskelmalle, koska saat vähentää korot (Siirrä budjettiin)</t>
  </si>
  <si>
    <t>Korot ja kulut yhteensä (erittele tuloslaskelmalle)</t>
  </si>
  <si>
    <t xml:space="preserve">Kotitalouden </t>
  </si>
  <si>
    <t>Korot, lyhennykset ja kulut yhteensä</t>
  </si>
  <si>
    <t>Ei kuluksi yksityistaloutta</t>
  </si>
  <si>
    <t>Kiinteät kulut yhteensä</t>
  </si>
  <si>
    <t>Kate C (Voitto)</t>
  </si>
  <si>
    <t>alvia maksettu</t>
  </si>
  <si>
    <t>Erotus</t>
  </si>
  <si>
    <r>
      <t xml:space="preserve">Jos peruslaskenta, jätä tyhjäksi. Jos Ely-laskenta, kirjoita </t>
    </r>
    <r>
      <rPr>
        <b/>
        <sz val="10"/>
        <rFont val="Arial"/>
        <family val="2"/>
      </rPr>
      <t>Ely</t>
    </r>
  </si>
  <si>
    <t>Tulosennuste</t>
  </si>
  <si>
    <t>Myyntituotot (summaa tulot ilman tukia)</t>
  </si>
  <si>
    <t>Laske solut esim.  näin=G4+G5+ jne…</t>
  </si>
  <si>
    <t>Tuet (Hae solusta tuet)</t>
  </si>
  <si>
    <t>Laske solut esim. näin=G12+G20+ jne…</t>
  </si>
  <si>
    <t xml:space="preserve">Liikevaihto </t>
  </si>
  <si>
    <t>Varastojen muutos +/- (Voit ohittaa)</t>
  </si>
  <si>
    <t>KOKONAISTUOTTO</t>
  </si>
  <si>
    <t>Muuttuvat kulut</t>
  </si>
  <si>
    <t>Kiinteät kulut (ilman poistoja ja korkoja)</t>
  </si>
  <si>
    <t>(Huom! Ei poistoja ja korkoja, ei lainojen lyhennyksiä)</t>
  </si>
  <si>
    <t>Yrittäjäperheen palkkavaatimus</t>
  </si>
  <si>
    <t>Ohjeellinen yleinen asteikko</t>
  </si>
  <si>
    <t>Käyttökate %</t>
  </si>
  <si>
    <t>"-------------------------------------------------------------------------------------&gt;"</t>
  </si>
  <si>
    <t xml:space="preserve">Käyttökate-% tulisi olla </t>
  </si>
  <si>
    <t>20-40 %</t>
  </si>
  <si>
    <t>Korko- ja rahoituskulut yrityksestä</t>
  </si>
  <si>
    <t>Tähän pankin korkomenot (yrityslainoista)</t>
  </si>
  <si>
    <t>Sijoitetun pääoman tuotto % Sipo</t>
  </si>
  <si>
    <t>xxxxxxxx</t>
  </si>
  <si>
    <t>Rahoitustulos</t>
  </si>
  <si>
    <t>Rahoitustulos kertoo sen rahamäärän, joka on käyttävissä mm. lainan lyhennyksiin.</t>
  </si>
  <si>
    <t>jos &gt;=</t>
  </si>
  <si>
    <t>hyvä</t>
  </si>
  <si>
    <t xml:space="preserve">Poistot </t>
  </si>
  <si>
    <t>5-14%</t>
  </si>
  <si>
    <t>tyydyttävä</t>
  </si>
  <si>
    <t>Tulos</t>
  </si>
  <si>
    <t>jos&lt;</t>
  </si>
  <si>
    <t>heikko</t>
  </si>
  <si>
    <t>Sipo % (Taseen pääomasta)</t>
  </si>
  <si>
    <t>Verot</t>
  </si>
  <si>
    <t xml:space="preserve">Vero menee Yrittäjän voitosta + oman pääoman korosta+ palkkavaatimuksestasi. </t>
  </si>
  <si>
    <t>Laske verot summasta</t>
  </si>
  <si>
    <t>http://www.vero.fi/laskurit</t>
  </si>
  <si>
    <t>Tulos verojen jälkeen</t>
  </si>
  <si>
    <t>Vähennetään yksityistalouden lainojen korot</t>
  </si>
  <si>
    <t>Vähennetään yksityistalouden lainojen kulut</t>
  </si>
  <si>
    <t>Vähennetään yksityistalouden lainojen lyhennykset</t>
  </si>
  <si>
    <t>Tulos yksityistalouden lainojen jälkeen</t>
  </si>
  <si>
    <t xml:space="preserve">Oman pääoman korkovaatimus </t>
  </si>
  <si>
    <t>Oman pääoman korkovaatimus Ely</t>
  </si>
  <si>
    <t>Kannattavuuskerroin</t>
  </si>
  <si>
    <t>Pääoman korkovaatimus € (tase)</t>
  </si>
  <si>
    <t>Palkkavaatimus €</t>
  </si>
  <si>
    <t>LYHYT TASE</t>
  </si>
  <si>
    <t>VASTAAVAA</t>
  </si>
  <si>
    <t>Seliteteksti</t>
  </si>
  <si>
    <t>Maaomaisuus (pelto ym. ilman ojitusta)</t>
  </si>
  <si>
    <t>Pellot joko Muut kustannustiedot tai elyn mukaan</t>
  </si>
  <si>
    <t>hehtaarin arvo Ely</t>
  </si>
  <si>
    <t>Jos rakennusluettelossa  maaomaisuus, poimii jos ei ely</t>
  </si>
  <si>
    <t>Perusparannukset (Salaojat, sillat yms.)</t>
  </si>
  <si>
    <t>Rakennusten nykyarvo</t>
  </si>
  <si>
    <t>Koneiden ja laitteiden nykyarvo</t>
  </si>
  <si>
    <t>Muu yritysomaisuus</t>
  </si>
  <si>
    <t>Osakkeet, osuudet ja muut sijoitukset</t>
  </si>
  <si>
    <t>Muut pysyvät vastaavat</t>
  </si>
  <si>
    <t>Kotieläimet</t>
  </si>
  <si>
    <t>Tarkista, siirry alaspäin aputaulukkoon</t>
  </si>
  <si>
    <t>Rehut</t>
  </si>
  <si>
    <t>Muut aineet ja tarvikkeet</t>
  </si>
  <si>
    <t>Tuotteet</t>
  </si>
  <si>
    <t>Maksetut ennakkomaksut</t>
  </si>
  <si>
    <t>Muu vaihto-omaisuus</t>
  </si>
  <si>
    <t>Myyntisaamiset (sis. tukisaamiset)</t>
  </si>
  <si>
    <t>Muut lyhytaikaiset saamiset</t>
  </si>
  <si>
    <t>Rahat ja rahoitusarvopaperit</t>
  </si>
  <si>
    <t>Vastaavaa yhteensä</t>
  </si>
  <si>
    <t>VASTATTAVAA</t>
  </si>
  <si>
    <t>Oma pääoma</t>
  </si>
  <si>
    <t>Yrityslainat</t>
  </si>
  <si>
    <t>Poimii lainarekisteristä, jos on merkitty.</t>
  </si>
  <si>
    <t>Yrityslainoja  lainarekisterissäsi on:</t>
  </si>
  <si>
    <t>vuoden lopussa</t>
  </si>
  <si>
    <t>Muut pitkäaikaiset lainat</t>
  </si>
  <si>
    <t>Lisää itse</t>
  </si>
  <si>
    <t>Lyhytaikaiset lainat</t>
  </si>
  <si>
    <t>Max 1 v lainat</t>
  </si>
  <si>
    <t>Muut lyhytaikaiset velat</t>
  </si>
  <si>
    <t>Vieras pääoma yhteensä</t>
  </si>
  <si>
    <t>Vastattavaa yhteensä</t>
  </si>
  <si>
    <t>Onko tase tasan? (Ero)</t>
  </si>
  <si>
    <t>Omavaraisuusaste %</t>
  </si>
  <si>
    <t>Omaisuus ja varastolaskenta taseeseen (aputaulukko)</t>
  </si>
  <si>
    <t>Eläimet</t>
  </si>
  <si>
    <t>Arvostushinta €/eläin</t>
  </si>
  <si>
    <t>*</t>
  </si>
  <si>
    <t>Karjut</t>
  </si>
  <si>
    <t>Emakot</t>
  </si>
  <si>
    <t>Syötä eläinmäärä keltaiseen soluun</t>
  </si>
  <si>
    <t>Lihotussiat &gt; 2kk</t>
  </si>
  <si>
    <t>"</t>
  </si>
  <si>
    <t>Porsaat &lt; 2 kk</t>
  </si>
  <si>
    <t>Hiehot teuraaksi yli 2 v</t>
  </si>
  <si>
    <t>Hiehot uudistukseen &gt; 2 v.</t>
  </si>
  <si>
    <t>Hiehot 1 - 2 v.</t>
  </si>
  <si>
    <t>Vasikat, alle 1 vuotta</t>
  </si>
  <si>
    <t>Vasikat teuraaksi</t>
  </si>
  <si>
    <t>Inventointipäivä</t>
  </si>
  <si>
    <t>Varastot</t>
  </si>
  <si>
    <t>Yksikköhinta</t>
  </si>
  <si>
    <t>Yhteensä €</t>
  </si>
  <si>
    <t>Lannoitteet kg</t>
  </si>
  <si>
    <t xml:space="preserve">Säilöntäaineet </t>
  </si>
  <si>
    <t>Torjunta-aineet</t>
  </si>
  <si>
    <t>Siemenet kg</t>
  </si>
  <si>
    <t>Teolliset rehut kg</t>
  </si>
  <si>
    <t>Polttoaineet l</t>
  </si>
  <si>
    <t xml:space="preserve">Säilörehu 1 </t>
  </si>
  <si>
    <t>Rehuvilja</t>
  </si>
  <si>
    <t>Edellisen vuoden varasto laitettu samaksi, muuta halutessasi (Varaston lisäys tuloutuu, varaston vähennys pienentää tuloa)</t>
  </si>
  <si>
    <t>Yhteensä vuoden lopussa</t>
  </si>
  <si>
    <t>Edellisen vuoden varasto</t>
  </si>
  <si>
    <t>Syötä lähtökassa=Esim. pankkitilin saldo vuoden 1. päivänä 1.1.20xx</t>
  </si>
  <si>
    <t>Tammi</t>
  </si>
  <si>
    <t>Helmi</t>
  </si>
  <si>
    <t>Maalis</t>
  </si>
  <si>
    <t>Huhti</t>
  </si>
  <si>
    <t>Touko</t>
  </si>
  <si>
    <t>Kesä</t>
  </si>
  <si>
    <t>Heinä</t>
  </si>
  <si>
    <t>Elo</t>
  </si>
  <si>
    <t>Syys</t>
  </si>
  <si>
    <t>Loka</t>
  </si>
  <si>
    <t>Marras</t>
  </si>
  <si>
    <t>Joulu</t>
  </si>
  <si>
    <t>KASSA 1=Rahaa kauden alussa ALOITUS</t>
  </si>
  <si>
    <t>Syötä alkukassa -------------&gt;
Alla luvut tulosennusteelta (jaa  luku kuukausille) (sis. Alv-ehdotuksen)</t>
  </si>
  <si>
    <t>Tulot</t>
  </si>
  <si>
    <t>Jaa tulo kuukausille</t>
  </si>
  <si>
    <t>Maito</t>
  </si>
  <si>
    <t>syötä luku</t>
  </si>
  <si>
    <t>Liha-/muu eläin tulot</t>
  </si>
  <si>
    <t>Kasvien myyntitulot</t>
  </si>
  <si>
    <t>Peltotuet</t>
  </si>
  <si>
    <t>Eläintuet</t>
  </si>
  <si>
    <t>EVL yritystoiminta</t>
  </si>
  <si>
    <t>Maatalouden tulot yht</t>
  </si>
  <si>
    <t>Menot</t>
  </si>
  <si>
    <t>Viljanviljelyn ostopanokset (muuttuvat)</t>
  </si>
  <si>
    <t>Säilörehun ostopanokset</t>
  </si>
  <si>
    <t>ostopanokset</t>
  </si>
  <si>
    <t>Puutarhan ostopanokset</t>
  </si>
  <si>
    <t>Koneurakointikulut</t>
  </si>
  <si>
    <t>Maidontuotannon ostopanokset</t>
  </si>
  <si>
    <t>Lihantuotannon 1+2 ostot</t>
  </si>
  <si>
    <t>Muut kustannukset</t>
  </si>
  <si>
    <t>Rahamenot yhteensä</t>
  </si>
  <si>
    <r>
      <t xml:space="preserve">1. Yrityksen kate </t>
    </r>
    <r>
      <rPr>
        <sz val="8"/>
        <rFont val="Arial"/>
        <family val="2"/>
      </rPr>
      <t>(tulot yht. - rahamenot yht.)</t>
    </r>
  </si>
  <si>
    <t>Metsätalouden tulot yhteensä</t>
  </si>
  <si>
    <t>Metsätalouden menot yhteensä</t>
  </si>
  <si>
    <r>
      <t xml:space="preserve">2. Metsätalouden kate </t>
    </r>
    <r>
      <rPr>
        <sz val="10"/>
        <rFont val="Arial"/>
        <family val="2"/>
      </rPr>
      <t>(Metsän tulot - metsän menot)</t>
    </r>
  </si>
  <si>
    <t>Muun yritystoiminnan tulot yhteensä (esim. jatkojalostus,  EVL)</t>
  </si>
  <si>
    <t>Raaka-ainemenot</t>
  </si>
  <si>
    <t>Palkkamenot</t>
  </si>
  <si>
    <t>Pakkaukset ja rahdit</t>
  </si>
  <si>
    <t>Markkinointimenot</t>
  </si>
  <si>
    <t>Puhelin, vuokrat, energia yms.</t>
  </si>
  <si>
    <t>Muut menot</t>
  </si>
  <si>
    <t>Muun yritystoiminnan menot YHTEENSÄ</t>
  </si>
  <si>
    <r>
      <t xml:space="preserve">3. Muun yritystoiminnan kate </t>
    </r>
    <r>
      <rPr>
        <sz val="8"/>
        <rFont val="Arial"/>
        <family val="2"/>
      </rPr>
      <t>(Muun yritystoiminnan tulot - menot)</t>
    </r>
  </si>
  <si>
    <t>4. Yritystoiminnan katteet yhteensä</t>
  </si>
  <si>
    <t>KASSATILANNE</t>
  </si>
  <si>
    <t>KASSA 1</t>
  </si>
  <si>
    <t>Muut tulot mm. alv palautus</t>
  </si>
  <si>
    <t>Lainojen nostot</t>
  </si>
  <si>
    <t>Omaisuuden myynnit</t>
  </si>
  <si>
    <t>Investointimenot</t>
  </si>
  <si>
    <t>(Pikalaskuri) Lainojen korot (Investoinnit-&gt;korkolaskurilta</t>
  </si>
  <si>
    <t>(Pikalaskuri) Lainojen lyhennykset korkolaskurilta</t>
  </si>
  <si>
    <t>Yrityslainojen lyhennykset ja korot ja kulut</t>
  </si>
  <si>
    <t>Kotitalouden korot ja lyhennykset+kulut</t>
  </si>
  <si>
    <t>Tuloverot</t>
  </si>
  <si>
    <t xml:space="preserve"> </t>
  </si>
  <si>
    <t>syötä ALV</t>
  </si>
  <si>
    <t>Yksitysotot</t>
  </si>
  <si>
    <t>Kassa 2=Rahaa kauden lopussa</t>
  </si>
  <si>
    <t>Tekijä: Mika Mujunen 2005-2015</t>
  </si>
  <si>
    <t>Rahoitusjäämä %</t>
  </si>
  <si>
    <t>Myynnin kassaanmaksu</t>
  </si>
  <si>
    <t>Liiketoiminnan kulut</t>
  </si>
  <si>
    <t>Toimintajäämä</t>
  </si>
  <si>
    <t>Rahoituskulut</t>
  </si>
  <si>
    <t>Yksityisotot</t>
  </si>
  <si>
    <t>Rahoitusjäämä</t>
  </si>
  <si>
    <t>Investoinnit</t>
  </si>
  <si>
    <t>Investointijäämä</t>
  </si>
  <si>
    <t>Vieraan pääoman lisäykset</t>
  </si>
  <si>
    <t>Vieraan pääoman lyhennykset</t>
  </si>
  <si>
    <t>Kassan kasvu tai lasku</t>
  </si>
  <si>
    <t>Kassassa rahaa</t>
  </si>
  <si>
    <t>Yrityksen maksuvalmius ja kassavirtalaskelma</t>
  </si>
  <si>
    <t>Syötä alkukassa -------------&gt;</t>
  </si>
  <si>
    <t>Korotus/Lasku</t>
  </si>
  <si>
    <t>Korota/Laske</t>
  </si>
  <si>
    <t>Koneurakoinnin ostot</t>
  </si>
  <si>
    <t>Yleiskustannukset</t>
  </si>
  <si>
    <t>Muun yritystoiminnan tulot yhteensä (esim. jatkojalostus, urakointi, EVL)</t>
  </si>
  <si>
    <t>Ostot</t>
  </si>
  <si>
    <t>Metsätulot</t>
  </si>
  <si>
    <t>Metsämenot</t>
  </si>
  <si>
    <t>Muun yritystoiminnan tulot</t>
  </si>
  <si>
    <t>Muun yritystoiminnan menot</t>
  </si>
  <si>
    <t>Lainojen hoito</t>
  </si>
  <si>
    <t>1. neljännes</t>
  </si>
  <si>
    <t>2. neljännes</t>
  </si>
  <si>
    <t>3. neljännes</t>
  </si>
  <si>
    <t>4. neljännes</t>
  </si>
  <si>
    <t>Kassa</t>
  </si>
  <si>
    <t>Esitystapa Yleinen (oletus tai Ely)</t>
  </si>
  <si>
    <t>ely</t>
  </si>
  <si>
    <t>Rakennukset, pellot yms.</t>
  </si>
  <si>
    <t>Kasvi</t>
  </si>
  <si>
    <t>Nurmi</t>
  </si>
  <si>
    <t>Kotieläintuotanto</t>
  </si>
  <si>
    <t>Kasvihuonetuotanto</t>
  </si>
  <si>
    <t>Urakointi</t>
  </si>
  <si>
    <t>Jatkojalostus</t>
  </si>
  <si>
    <t>Metsä</t>
  </si>
  <si>
    <t>Lähtötiedoissa olevat</t>
  </si>
  <si>
    <t>sis. Myös metsän</t>
  </si>
  <si>
    <t>Ei kuluksi, koska yksityistaloutta</t>
  </si>
  <si>
    <t>Tuloslaskelmaennuste</t>
  </si>
  <si>
    <t>% + -</t>
  </si>
  <si>
    <t>Tuet</t>
  </si>
  <si>
    <t>Vähennä korko- ja rahoituskulut yrityksestä</t>
  </si>
  <si>
    <t>Pääoman korkovaatimus %</t>
  </si>
  <si>
    <t>Tuntihinta</t>
  </si>
  <si>
    <t>Lisäselite</t>
  </si>
  <si>
    <t>Nykyarvo</t>
  </si>
  <si>
    <t>Pellot</t>
  </si>
  <si>
    <t>Onko kenttä vasemmalla tyhjä?</t>
  </si>
  <si>
    <t>Käy lisäämässä tiedot Rakennukset-taulun nykyarvosoluun</t>
  </si>
  <si>
    <t>Koneet ja kalusto (Lähtötiedot Koneet)</t>
  </si>
  <si>
    <t>Maatalouden osakkeet ja osuudet (veroilmoitukselta)</t>
  </si>
  <si>
    <t>Kiintiöt (Veroilmoitukselta)</t>
  </si>
  <si>
    <t>Kannattavuuskertoimelle laskenta</t>
  </si>
  <si>
    <t>Korkolaskuri</t>
  </si>
  <si>
    <t>Lainan koron ja lyhennysosan ja kulujen laskenta</t>
  </si>
  <si>
    <t>Korko-%</t>
  </si>
  <si>
    <t>Lainaa tarvitaan</t>
  </si>
  <si>
    <t>Laina-aika</t>
  </si>
  <si>
    <t>Erät/vuosi</t>
  </si>
  <si>
    <t>Yrityksen liikevaihto</t>
  </si>
  <si>
    <t>Laskelma 1</t>
  </si>
  <si>
    <t>Lainan toimituskulut</t>
  </si>
  <si>
    <t>Luoton maksuerän kulut €/kpl</t>
  </si>
  <si>
    <t>Yrityksen aikasemmat velat €</t>
  </si>
  <si>
    <t>Annuiteetti</t>
  </si>
  <si>
    <t>Josta</t>
  </si>
  <si>
    <t>Ja</t>
  </si>
  <si>
    <t>Korkoa</t>
  </si>
  <si>
    <t>Vuodet</t>
  </si>
  <si>
    <t xml:space="preserve">Luotto </t>
  </si>
  <si>
    <t>vuodessa</t>
  </si>
  <si>
    <t>korkoa</t>
  </si>
  <si>
    <t>lyhennys</t>
  </si>
  <si>
    <t>Kulut</t>
  </si>
  <si>
    <t>maksat yht.</t>
  </si>
  <si>
    <t>Maksun suuruus/erä</t>
  </si>
  <si>
    <t>Suhteellinen velkaantuneisuus</t>
  </si>
  <si>
    <t>Tavoite alle 80 %</t>
  </si>
  <si>
    <t>Vertailulaskelma 2</t>
  </si>
  <si>
    <t>YHTEENSÄ</t>
  </si>
  <si>
    <t>Hinta</t>
  </si>
  <si>
    <t>Tuotteen/Palvelun loppuhinta</t>
  </si>
  <si>
    <t>Materiaali 1</t>
  </si>
  <si>
    <t>Materiaali 2</t>
  </si>
  <si>
    <t>Materiaali 3</t>
  </si>
  <si>
    <t>Materiaali 4</t>
  </si>
  <si>
    <t>Laske alv eritellen (1); Laske alv ilman erittelyä (2).</t>
  </si>
  <si>
    <t>Materiaali 5</t>
  </si>
  <si>
    <t>Jos ilman erittelyä, anna alv %</t>
  </si>
  <si>
    <t>Materiaali 6</t>
  </si>
  <si>
    <t>Materiaali 7</t>
  </si>
  <si>
    <t>Materiaali 8</t>
  </si>
  <si>
    <t>Materiaali 9</t>
  </si>
  <si>
    <t>Materiaali 10</t>
  </si>
  <si>
    <t>Verollinen hinta</t>
  </si>
  <si>
    <t>Materiaali 11</t>
  </si>
  <si>
    <t>Materiaali 12</t>
  </si>
  <si>
    <t>Yksittäisen tuotteen hinta  alv % 0</t>
  </si>
  <si>
    <t>Materiaali 13</t>
  </si>
  <si>
    <t>Yksittäisen tuotteen hinta sis. alv</t>
  </si>
  <si>
    <t>Materiaali 14</t>
  </si>
  <si>
    <t>Pyöristyssääntösi:</t>
  </si>
  <si>
    <t>Materiaali 15</t>
  </si>
  <si>
    <t>Materiaali 16</t>
  </si>
  <si>
    <t>Materiaali 17</t>
  </si>
  <si>
    <t>Materiaali 18</t>
  </si>
  <si>
    <t>Materiaali 19</t>
  </si>
  <si>
    <t>Materiaali 20</t>
  </si>
  <si>
    <t>Materiaali 21</t>
  </si>
  <si>
    <t>Materiaali 22</t>
  </si>
  <si>
    <t>Materiaali 23</t>
  </si>
  <si>
    <t>Materiaali 24</t>
  </si>
  <si>
    <t>Materiaali 25</t>
  </si>
  <si>
    <t>Materiaali 26</t>
  </si>
  <si>
    <t>Materiaali 27</t>
  </si>
  <si>
    <t>Materiaali 28</t>
  </si>
  <si>
    <t>Materiaali 29</t>
  </si>
  <si>
    <t>Materiaali 30</t>
  </si>
  <si>
    <t>Materiaali 31</t>
  </si>
  <si>
    <t>Materiaali 32</t>
  </si>
  <si>
    <t>Materiaali 33</t>
  </si>
  <si>
    <t>Työvaihe 1</t>
  </si>
  <si>
    <t>Työvaihe 2</t>
  </si>
  <si>
    <t>Työvaihe 3</t>
  </si>
  <si>
    <t>Työvaihe 4</t>
  </si>
  <si>
    <t>Työvaihe 5</t>
  </si>
  <si>
    <t>Työvaihe 6</t>
  </si>
  <si>
    <t>Työvaihe 7</t>
  </si>
  <si>
    <t>Työvaihe 8</t>
  </si>
  <si>
    <t>Työvaihe 9</t>
  </si>
  <si>
    <t>Työvaihe 10</t>
  </si>
  <si>
    <t>Työvaihe 11</t>
  </si>
  <si>
    <t>Työvaihe 12</t>
  </si>
  <si>
    <t>Lyhyt tuloslaskelma</t>
  </si>
  <si>
    <t>Liikevaihto</t>
  </si>
  <si>
    <t>Annuiteettitaulukko</t>
  </si>
  <si>
    <t>KATETUOTTO-/TUOTANTOKUSTANNUSLASKELMA</t>
  </si>
  <si>
    <t>Laskelman nimi</t>
  </si>
  <si>
    <t>TUOTOT €/yksikkö</t>
  </si>
  <si>
    <t>Muuttuvat kustannukset hehtaaria/eläintä kohden</t>
  </si>
  <si>
    <t>Katetuotto A (Katetuotto 1) =Myyntikate</t>
  </si>
  <si>
    <t>€/ha/v</t>
  </si>
  <si>
    <t>Sakky Muuruvesi Mika Mujunen</t>
  </si>
  <si>
    <t>Sonni</t>
  </si>
  <si>
    <t>maitorotu</t>
  </si>
  <si>
    <t>Energian tarve</t>
  </si>
  <si>
    <t>liharotu - 10 %</t>
  </si>
  <si>
    <t>energian tarpeesta</t>
  </si>
  <si>
    <t>Maitorotuisten sonnien kasvutavoitteena pidetään vähintään 600 g/pv nettokasvua,</t>
  </si>
  <si>
    <t>Sonnin tavoitekasvatusaika kk</t>
  </si>
  <si>
    <t>340 kilon teuraspainoa ja enintään 18 kuukauden ikää. Pihvirotuisilla</t>
  </si>
  <si>
    <t>Tavoiteteuraspaino maitorotu</t>
  </si>
  <si>
    <t>eläimillä kasvutavoite on rotukohtainen, mutta vähintään 50 g/pv</t>
  </si>
  <si>
    <t>Tavoiteteuraspaino liharotu</t>
  </si>
  <si>
    <t>maitorotuisia korkeampi.</t>
  </si>
  <si>
    <t>Päiväkasvu keskim. g/pv</t>
  </si>
  <si>
    <t>Pihvirotuisten päiväkasvu matorotuun ver</t>
  </si>
  <si>
    <t>g/pv</t>
  </si>
  <si>
    <t>Yllä olevast laskien päiviä välityksestä teuraaksi</t>
  </si>
  <si>
    <t>Bruttokasvu</t>
  </si>
  <si>
    <t>Teuras %</t>
  </si>
  <si>
    <t>Kumulat.</t>
  </si>
  <si>
    <t>Lähtöpaino +</t>
  </si>
  <si>
    <t>ajanjaksolla</t>
  </si>
  <si>
    <t>Keskim.</t>
  </si>
  <si>
    <t>summa</t>
  </si>
  <si>
    <t>kasvu g/pv</t>
  </si>
  <si>
    <t>MJ pv</t>
  </si>
  <si>
    <t>g OIV/pv</t>
  </si>
  <si>
    <t>Elopaino kg</t>
  </si>
  <si>
    <t>Teuraspaino kg</t>
  </si>
  <si>
    <t>Päivää</t>
  </si>
  <si>
    <t>Nettokasvu</t>
  </si>
  <si>
    <t xml:space="preserve">nettokasvu </t>
  </si>
  <si>
    <t>MJ kk</t>
  </si>
  <si>
    <t>g OIV/kk</t>
  </si>
  <si>
    <t>Syntymäpaino</t>
  </si>
  <si>
    <t>Maitorotu</t>
  </si>
  <si>
    <t>Liharotu</t>
  </si>
  <si>
    <t>Ternivasikkakausi</t>
  </si>
  <si>
    <t>1 kk</t>
  </si>
  <si>
    <t>Välitys</t>
  </si>
  <si>
    <t>2 kk</t>
  </si>
  <si>
    <t>Vasikkakasvatusvaihe</t>
  </si>
  <si>
    <t>3 kk</t>
  </si>
  <si>
    <t>4 kk</t>
  </si>
  <si>
    <t>5 kk</t>
  </si>
  <si>
    <t>6 kk</t>
  </si>
  <si>
    <t>7 kk</t>
  </si>
  <si>
    <t>8 kk</t>
  </si>
  <si>
    <t>9 kk</t>
  </si>
  <si>
    <t>10 kk</t>
  </si>
  <si>
    <t>11 kk</t>
  </si>
  <si>
    <t>12 kk</t>
  </si>
  <si>
    <t>13 kk</t>
  </si>
  <si>
    <t>14 kk</t>
  </si>
  <si>
    <t>15 kk</t>
  </si>
  <si>
    <t>16 kk xxx</t>
  </si>
  <si>
    <t>17 kk xx</t>
  </si>
  <si>
    <t>18 kk x</t>
  </si>
  <si>
    <t>19 kk</t>
  </si>
  <si>
    <t>20 kk</t>
  </si>
  <si>
    <t>21 kk</t>
  </si>
  <si>
    <t>22 kk</t>
  </si>
  <si>
    <t>23 kk</t>
  </si>
  <si>
    <t>24 kk</t>
  </si>
  <si>
    <t>25 kk</t>
  </si>
  <si>
    <t>Lypsylehmän energian tarve</t>
  </si>
  <si>
    <t>Itsetuotetut rehut</t>
  </si>
  <si>
    <t>Ostorehut</t>
  </si>
  <si>
    <t>Kertymä</t>
  </si>
  <si>
    <t>Lähtötiedot</t>
  </si>
  <si>
    <t>Säilörehu</t>
  </si>
  <si>
    <t>Vilja 1 ohra</t>
  </si>
  <si>
    <t>Rehuherne</t>
  </si>
  <si>
    <t>Aperuokinta</t>
  </si>
  <si>
    <t>Soija</t>
  </si>
  <si>
    <t>Kuiva heinä</t>
  </si>
  <si>
    <t>Luomu-Tähti 250</t>
  </si>
  <si>
    <t>Lehmien keskipaino kg</t>
  </si>
  <si>
    <t>Kaura</t>
  </si>
  <si>
    <t>puriste</t>
  </si>
  <si>
    <t>rouhe</t>
  </si>
  <si>
    <t>Maidon keskim. valkuais-%</t>
  </si>
  <si>
    <t>D-arvo</t>
  </si>
  <si>
    <t>Maidon keskim. rasva-%</t>
  </si>
  <si>
    <t>Uudistus-%</t>
  </si>
  <si>
    <t>MJ ME/ka kg</t>
  </si>
  <si>
    <t>Keskituotos (syntyy laskelman tuloksena)</t>
  </si>
  <si>
    <t>OIV (ohuts. im. valk.) g/kg ka</t>
  </si>
  <si>
    <t>Lehmiä, kpl</t>
  </si>
  <si>
    <t>PVT g/kg ka</t>
  </si>
  <si>
    <t>Hiehoja, kpl</t>
  </si>
  <si>
    <t>Hinta €/kg</t>
  </si>
  <si>
    <t>Maidon markkinahinta ilman tukea</t>
  </si>
  <si>
    <t>Hinta €/KA-kg</t>
  </si>
  <si>
    <t>Ummessaolokausi</t>
  </si>
  <si>
    <t>Osuus energiasta</t>
  </si>
  <si>
    <t>päiviä lkm</t>
  </si>
  <si>
    <t>Maidontuotanto keskim. päivässä</t>
  </si>
  <si>
    <t>Kertymä yht</t>
  </si>
  <si>
    <t>Tiineyden lisäämä energiantarve MJ/pv</t>
  </si>
  <si>
    <t>Energiantarve päivässä MJ/pv</t>
  </si>
  <si>
    <t>Energiaa ME MJ/pv</t>
  </si>
  <si>
    <t>KA-tarve päivässä</t>
  </si>
  <si>
    <t>Ka-kg kertymä/pv</t>
  </si>
  <si>
    <t>Energiantarve ajanjaksolla MJ</t>
  </si>
  <si>
    <t>Tuorepaino kg/pv</t>
  </si>
  <si>
    <t>Ka-kg ajanjasolla</t>
  </si>
  <si>
    <t>Lypsää valkuaista g/pv</t>
  </si>
  <si>
    <t>Tuorepainokg/ajanjaksolla</t>
  </si>
  <si>
    <t>Tiineyslisä g OIV/pv</t>
  </si>
  <si>
    <t>Valkuaisen tarve g OIV/pv</t>
  </si>
  <si>
    <t>OIV kertymä g/pv</t>
  </si>
  <si>
    <t>Valkuaisen tarve g OIV/ajanjaksolla</t>
  </si>
  <si>
    <t>Tunnutus</t>
  </si>
  <si>
    <t>Osuus</t>
  </si>
  <si>
    <t>Energiantarve päivässä MJ ME/pv</t>
  </si>
  <si>
    <t>Energiantarve ajanjaksolla MJ ME</t>
  </si>
  <si>
    <t>Heruminen</t>
  </si>
  <si>
    <t>Tasaisen tuotannon vaihe (aleneva)</t>
  </si>
  <si>
    <t>Loppulypsykausi (ehtyminen)</t>
  </si>
  <si>
    <t>Ka-kg yht</t>
  </si>
  <si>
    <t>Päiviä yhteensä</t>
  </si>
  <si>
    <t>Tarve lehmää kohden kg</t>
  </si>
  <si>
    <t>Maitoa yhteensä</t>
  </si>
  <si>
    <t>Kustannus €/lehmä (KA-kg x Ka-kg hinta</t>
  </si>
  <si>
    <r>
      <t>Energiantarve yhteensä MJ ME</t>
    </r>
    <r>
      <rPr>
        <b/>
        <sz val="8"/>
        <rFont val="Arial"/>
        <family val="2"/>
      </rPr>
      <t>/vuodessa (lehmä)</t>
    </r>
  </si>
  <si>
    <t>Kertymä energiaa MJ/lehmä</t>
  </si>
  <si>
    <t>Osuus % energiakertymästä</t>
  </si>
  <si>
    <r>
      <t xml:space="preserve">Valkuaisen tarve yhteensä g OIV </t>
    </r>
    <r>
      <rPr>
        <b/>
        <sz val="8"/>
        <rFont val="Arial"/>
        <family val="2"/>
      </rPr>
      <t>vuodessa (lehmä)</t>
    </r>
  </si>
  <si>
    <t>OIV kertymä g/vuosi/lehmä</t>
  </si>
  <si>
    <r>
      <t xml:space="preserve">Osuus % </t>
    </r>
    <r>
      <rPr>
        <b/>
        <sz val="8"/>
        <rFont val="Arial"/>
        <family val="2"/>
      </rPr>
      <t>energiakertymästä</t>
    </r>
  </si>
  <si>
    <t>Kuiva-ainetta yht. kg (lehmä)</t>
  </si>
  <si>
    <t>Kuiva-ainekertymä KA kg/lehmä</t>
  </si>
  <si>
    <r>
      <t>Rehukustannus €/litra</t>
    </r>
    <r>
      <rPr>
        <b/>
        <sz val="9"/>
        <rFont val="Arial"/>
        <family val="2"/>
      </rPr>
      <t xml:space="preserve"> (sis. vain rehukulut)</t>
    </r>
  </si>
  <si>
    <t>Jos sato kg/ha</t>
  </si>
  <si>
    <t>Koko karjalle (lehmät)</t>
  </si>
  <si>
    <t>Energiaa</t>
  </si>
  <si>
    <t>OIV</t>
  </si>
  <si>
    <t>Ha/lehmä</t>
  </si>
  <si>
    <t>Ha yht</t>
  </si>
  <si>
    <t>Kertaseoksen hinnan laskeminen</t>
  </si>
  <si>
    <t>Seos 1</t>
  </si>
  <si>
    <t xml:space="preserve">Lypsylehmien seos </t>
  </si>
  <si>
    <t>OIV g/kg KA</t>
  </si>
  <si>
    <t>Nimi</t>
  </si>
  <si>
    <t>KA-%</t>
  </si>
  <si>
    <t>Ka-kg</t>
  </si>
  <si>
    <t>Ka-kg:sta</t>
  </si>
  <si>
    <t>D-arvosta</t>
  </si>
  <si>
    <t>Mj ME/ka kg</t>
  </si>
  <si>
    <t>OIV G/KG KA</t>
  </si>
  <si>
    <t xml:space="preserve">a'-hinta </t>
  </si>
  <si>
    <t>VILJASEOS Farmarin viljaseos</t>
  </si>
  <si>
    <t>Rypsi farmarin valkuaisiseos</t>
  </si>
  <si>
    <t>Vitamiini</t>
  </si>
  <si>
    <t>famarin lypsykevännäinen</t>
  </si>
  <si>
    <t>Traktorin ja apevaunun kulut (muuttuvat kulut €/h)</t>
  </si>
  <si>
    <t>Työpanos h/kerta</t>
  </si>
  <si>
    <t>Kertaseos yhteensä</t>
  </si>
  <si>
    <t>Kilo seosta sisältää</t>
  </si>
  <si>
    <t>Seoksen hinta €/kg</t>
  </si>
  <si>
    <t xml:space="preserve">Tätä seosta </t>
  </si>
  <si>
    <t>./365 pv</t>
  </si>
  <si>
    <t>PV</t>
  </si>
  <si>
    <t>Vuodessa apevaunuja</t>
  </si>
  <si>
    <t>Kiloja  vuodessa</t>
  </si>
  <si>
    <t>eläintä, jolloin seoksen hinta €/eläin</t>
  </si>
  <si>
    <t>Seos 2</t>
  </si>
  <si>
    <t xml:space="preserve">Ummessaolevat ja hiehot (laiha seos) </t>
  </si>
  <si>
    <t>0lkea/kuivaa heinää 400 (1 paali)</t>
  </si>
  <si>
    <t>Kivennäinm</t>
  </si>
  <si>
    <t>Vitamiinit</t>
  </si>
  <si>
    <t>Seosten yhdistäminen kustannuslaskentaa varten</t>
  </si>
  <si>
    <t>Pv-painotettu</t>
  </si>
  <si>
    <t>Seosten PVM-PAINOTETTU keskiarvo</t>
  </si>
  <si>
    <t>Hinta €/ka-kg</t>
  </si>
  <si>
    <t>Seosruokinnan perusseos</t>
  </si>
  <si>
    <t>Nurmirehu</t>
  </si>
  <si>
    <t>Vilja</t>
  </si>
  <si>
    <t>Rypsirouhe/puriste</t>
  </si>
  <si>
    <t>Viherkivennäinen</t>
  </si>
  <si>
    <t>Sonnin energian tarve</t>
  </si>
  <si>
    <t>Pikku Mullin herkku</t>
  </si>
  <si>
    <t>Mullin herkku 1</t>
  </si>
  <si>
    <t>Sonnin tavoite teuraspaino</t>
  </si>
  <si>
    <t xml:space="preserve">Lihanaudan ruokinnassa väkirehuprosentti voi (ainakin teoriassa) olla </t>
  </si>
  <si>
    <t>0 – 80 välillä.</t>
  </si>
  <si>
    <t xml:space="preserve">i karkearehun NDF-kuidun osuus 20 % rehuannoksesta voisi </t>
  </si>
  <si>
    <t>olla kohtuullisen turvallinen suositus kasvavalle naudalle</t>
  </si>
  <si>
    <t>Sonneja kpl</t>
  </si>
  <si>
    <t>Lihan hinta ilman tukea</t>
  </si>
  <si>
    <t>Vasikka juottokausi</t>
  </si>
  <si>
    <t>2 kk x 30 pv</t>
  </si>
  <si>
    <t>Paino</t>
  </si>
  <si>
    <t>Vasikkakasvatusvaihe 2-5 kk</t>
  </si>
  <si>
    <t>3 kk x 30 pv</t>
  </si>
  <si>
    <t>Loppukasvatusvaihe iät 6-10 kk</t>
  </si>
  <si>
    <t>5 kk x 30 pv</t>
  </si>
  <si>
    <t>Loppukasvatusvaihe iät 11-16 kk</t>
  </si>
  <si>
    <t>6 kk x 30 pv</t>
  </si>
  <si>
    <t>Loppukasvatusvaihe iät 16 kk-20kk</t>
  </si>
  <si>
    <t>1-5 kk x 30 pv</t>
  </si>
  <si>
    <t>Kasvatusaika yht. kk</t>
  </si>
  <si>
    <t>Tarve Sonniä kohden kg</t>
  </si>
  <si>
    <t>Lihaa yhteensä</t>
  </si>
  <si>
    <t xml:space="preserve">kg </t>
  </si>
  <si>
    <t>Kustannus €/Sonni (KA-kg x Ka-kg hinta</t>
  </si>
  <si>
    <t>Energiantarve yhteensä MJ ME/vuodessa (Sonni)</t>
  </si>
  <si>
    <t>Kertymä energiaa MJ/Sonni</t>
  </si>
  <si>
    <t>Valkuaisen tarve yhteensä g OIV vuodessa (Sonni)</t>
  </si>
  <si>
    <t>OIV kertymä g/vuosi/Sonni</t>
  </si>
  <si>
    <t>Kuiva-ainetta yht. kg (Sonni)</t>
  </si>
  <si>
    <t>Kuiva-ainekertymä KA kg/Sonni</t>
  </si>
  <si>
    <t>Rehukustannus €/kg (sis. vain rehukulut)</t>
  </si>
  <si>
    <t>Koko karjalle (Sonnit)</t>
  </si>
  <si>
    <t>Ha/Sonni</t>
  </si>
  <si>
    <t>kpl/penkki</t>
  </si>
  <si>
    <t>Ensisijainen</t>
  </si>
  <si>
    <t>Toissijainen</t>
  </si>
  <si>
    <t>Taimi</t>
  </si>
  <si>
    <t>metriä</t>
  </si>
  <si>
    <t>Paloletkut yms</t>
  </si>
  <si>
    <t>Itsepoiminta</t>
  </si>
  <si>
    <t>Valmiiksipoimittu</t>
  </si>
  <si>
    <t>Putkilähdöt (riveittäin)</t>
  </si>
  <si>
    <t>Tihkukastelujärjestelmä</t>
  </si>
  <si>
    <t>Istustystyö 1hlö=900kpl/pv</t>
  </si>
  <si>
    <t>Päästölaskurin ohjaustiedot</t>
  </si>
  <si>
    <t>Polttoaine</t>
  </si>
  <si>
    <t>Päästöarvo</t>
  </si>
  <si>
    <t>Päästö yhteensä</t>
  </si>
  <si>
    <t>Kevyt polttoöljy</t>
  </si>
  <si>
    <t>Diesel</t>
  </si>
  <si>
    <t>Bensiini</t>
  </si>
  <si>
    <t>Biokaasu</t>
  </si>
  <si>
    <r>
      <t>g CO</t>
    </r>
    <r>
      <rPr>
        <sz val="9"/>
        <color rgb="FF222222"/>
        <rFont val="Arial"/>
        <family val="2"/>
      </rPr>
      <t>2</t>
    </r>
    <r>
      <rPr>
        <sz val="12"/>
        <color rgb="FF222222"/>
        <rFont val="Arial"/>
        <family val="2"/>
      </rPr>
      <t>/kg</t>
    </r>
  </si>
  <si>
    <t>Sähköajoneuvo</t>
  </si>
  <si>
    <t>Lähteet päästölaskennalle</t>
  </si>
  <si>
    <t>https://www.openco2.net/fi/</t>
  </si>
  <si>
    <t>https://www.stat.fi/tup/khkinv/khkaasut_polttoaineluokitus.html</t>
  </si>
  <si>
    <t>http://www.ilmastolaskuri.fi/fi/calculation-basis?country=2&amp;year=10746</t>
  </si>
  <si>
    <t>Polttoaineen kulutus l/v</t>
  </si>
  <si>
    <t>Barrelia (Tynnyriä a' 159 l)</t>
  </si>
  <si>
    <t>CO2 päästö kg/l</t>
  </si>
  <si>
    <t>Co2 määrä kg</t>
  </si>
  <si>
    <t>Co2 määrä tn</t>
  </si>
  <si>
    <t>Hiiltä C kg</t>
  </si>
  <si>
    <t>CO2-päästöt kg/h</t>
  </si>
  <si>
    <t>litraa/h</t>
  </si>
  <si>
    <t>Polttoaineen kulutus l/h keskikulutus työssä</t>
  </si>
  <si>
    <t>CO2-päästöt kg/ha</t>
  </si>
  <si>
    <t>Konetunnit yhteensä</t>
  </si>
  <si>
    <t>CO2-päästöt kg/sato kg</t>
  </si>
  <si>
    <t>CO2-päästöt kg/sato kg ka</t>
  </si>
  <si>
    <t>Polttoaine lämmitykseen</t>
  </si>
  <si>
    <t>CO2-päästöt kg/m2</t>
  </si>
  <si>
    <t>Urakoitsijoiden konetunnit yhteensä h</t>
  </si>
  <si>
    <t>Keskikulutus urakoitsijalla l/h</t>
  </si>
  <si>
    <t>Päästölaskuriin</t>
  </si>
  <si>
    <t>Omat konetunnit yhteensä</t>
  </si>
  <si>
    <t>Urakoitsijoiden litrat yhteensä</t>
  </si>
  <si>
    <t>Omien koneiden kulutus litrat yhteensä</t>
  </si>
  <si>
    <t>Urakointipalkkiot 2</t>
  </si>
  <si>
    <t>Urakontipalkkiot 1</t>
  </si>
  <si>
    <t>Puintipalkkiot urakoitsijalle</t>
  </si>
  <si>
    <t>Urakointipalkkiot</t>
  </si>
  <si>
    <t>Litraa yht:</t>
  </si>
  <si>
    <t>Tunnit yht:</t>
  </si>
  <si>
    <t>Koneiden keskikulutus/h</t>
  </si>
  <si>
    <t>Polttoainetta :</t>
  </si>
  <si>
    <t>Laskentakohde</t>
  </si>
  <si>
    <t>Polttoaineita yhteensä litraa</t>
  </si>
  <si>
    <t>C02 - päästöt kg yht</t>
  </si>
  <si>
    <t>Co2-päästöt t yht</t>
  </si>
  <si>
    <t>C yhteensä kg</t>
  </si>
  <si>
    <t>Co2 päästöt kg %-osuus</t>
  </si>
  <si>
    <r>
      <t>g CO</t>
    </r>
    <r>
      <rPr>
        <sz val="9"/>
        <color rgb="FF222222"/>
        <rFont val="Arial"/>
        <family val="2"/>
      </rPr>
      <t>2</t>
    </r>
    <r>
      <rPr>
        <sz val="12"/>
        <color rgb="FF222222"/>
        <rFont val="Arial"/>
        <family val="2"/>
      </rPr>
      <t>/l</t>
    </r>
  </si>
  <si>
    <t>Muu kulutus polttoainetta; täydennä tarvittaessa tällä</t>
  </si>
  <si>
    <t>Co2 kg/tuotanto kg</t>
  </si>
  <si>
    <t>Tuotanto kg/CO2 kg</t>
  </si>
  <si>
    <r>
      <t>g CO</t>
    </r>
    <r>
      <rPr>
        <sz val="9"/>
        <color rgb="FF222222"/>
        <rFont val="Arial"/>
        <family val="2"/>
      </rPr>
      <t>2</t>
    </r>
    <r>
      <rPr>
        <sz val="12"/>
        <color rgb="FF222222"/>
        <rFont val="Arial"/>
        <family val="2"/>
      </rPr>
      <t>/</t>
    </r>
    <r>
      <rPr>
        <sz val="10"/>
        <rFont val="Arial"/>
        <family val="2"/>
      </rPr>
      <t>l</t>
    </r>
  </si>
  <si>
    <t>Kuivurin polttoaine</t>
  </si>
  <si>
    <t>Viljankuivauksen polttoöljyn tarvelaskenta:</t>
  </si>
  <si>
    <t>Polttoöljyn tarve tilalla:</t>
  </si>
  <si>
    <t>Viljahehtaarit</t>
  </si>
  <si>
    <t>Kuivattava sato yhteensä</t>
  </si>
  <si>
    <t>Polttoöljyn tiheys g/l</t>
  </si>
  <si>
    <t>g/dm3 (litra)</t>
  </si>
  <si>
    <t>Kuivuri käyttää öljyä g/vesikg</t>
  </si>
  <si>
    <t>litraa arvio</t>
  </si>
  <si>
    <t>Avaa viljankuivurilaskuri</t>
  </si>
  <si>
    <t>Litraa/ha</t>
  </si>
  <si>
    <t>Litraa/kg</t>
  </si>
  <si>
    <t>litraa/kg arvio</t>
  </si>
  <si>
    <t>litraa/ha arvio</t>
  </si>
  <si>
    <t>Puintikosteus:</t>
  </si>
  <si>
    <t>Tavoite varastointikosteus</t>
  </si>
  <si>
    <t>Satotaso keskimäärin kuivana kg/ha</t>
  </si>
  <si>
    <t>Vettä poistetaan kuivaamalla:</t>
  </si>
  <si>
    <t>Käsisyöttö</t>
  </si>
  <si>
    <t>Henkilöauton polttoaine</t>
  </si>
  <si>
    <t>Kulutus l/100 km</t>
  </si>
  <si>
    <t>Ajokilometrit km/v</t>
  </si>
  <si>
    <t>Päästölaskentakooste</t>
  </si>
  <si>
    <t>Hiilidioksin ja hiilen sitoutuminen puun kasvuun:</t>
  </si>
  <si>
    <t>Lähde: http://www.metla.fi/metinfo/northernpine/ilmastovaikutukset-ja-hiilensidonta.html</t>
  </si>
  <si>
    <t>Hiilen sitoutuminen puuhun</t>
  </si>
  <si>
    <t>C t/m3</t>
  </si>
  <si>
    <t>Päästöjesi yhteismäärä</t>
  </si>
  <si>
    <t>tonnia hiiltä</t>
  </si>
  <si>
    <t>m3</t>
  </si>
  <si>
    <t>jolloin metsän pinta-ala on oiltava vähintään</t>
  </si>
  <si>
    <t>m3/ha</t>
  </si>
  <si>
    <r>
      <rPr>
        <b/>
        <sz val="10"/>
        <color rgb="FF000000"/>
        <rFont val="Times New Roman"/>
        <family val="1"/>
      </rPr>
      <t>Puu sitoo hiiltä kasvaessaan</t>
    </r>
    <r>
      <rPr>
        <sz val="10"/>
        <color rgb="FF000000"/>
        <rFont val="Times New Roman"/>
        <family val="1"/>
      </rPr>
      <t xml:space="preserve">: jokaista puukuutiometriä kohti sitoutuu ilmakehästä keskimäärin 0,9 tonnia hiilidioksidia. </t>
    </r>
  </si>
  <si>
    <t xml:space="preserve">Maatila tarvitsee hiilensidontaan metsän kasvua </t>
  </si>
  <si>
    <t>Metsän keski kasvu m3/v:</t>
  </si>
  <si>
    <t>Kuva: http://www.puuproffa.fi/PuuProffa_2012/7/puun-kasvu/metsan-kasvu</t>
  </si>
  <si>
    <t>Päästöt kg co2/km</t>
  </si>
  <si>
    <t>ha/v</t>
  </si>
  <si>
    <t>1. Kuivurin kustannuslaskelma</t>
  </si>
  <si>
    <t>Lasketaanko rakennus mukaan? K/E</t>
  </si>
  <si>
    <t>Kytke kuivuriin: K/E</t>
  </si>
  <si>
    <t>Kuivurikoneisto</t>
  </si>
  <si>
    <t>Siilot (varastona)</t>
  </si>
  <si>
    <t>Lajiitelija</t>
  </si>
  <si>
    <t>hl</t>
  </si>
  <si>
    <t>Arvioitu käyttöaika vuosina</t>
  </si>
  <si>
    <t>Laske Ajankäyttölaskurilla</t>
  </si>
  <si>
    <t>Hankintahinta alv</t>
  </si>
  <si>
    <t>Hankintahinta alv 0 % (Laskennan peruste)</t>
  </si>
  <si>
    <t>Jäännösarvo (Arvio arvosta se myytäessä)</t>
  </si>
  <si>
    <t>Katso laskuri</t>
  </si>
  <si>
    <t>Kuivurin työtunnin hinta (yrittäjän oma hinta)</t>
  </si>
  <si>
    <t>Työlle palkka h ja €/h</t>
  </si>
  <si>
    <t>Yhteensä (hinta alv 0%)</t>
  </si>
  <si>
    <t>hl paino</t>
  </si>
  <si>
    <t>Hinta € / kg alv 0%</t>
  </si>
  <si>
    <t>2. Kuivurin kokolaskuri (arvio)</t>
  </si>
  <si>
    <t>3. Kuivurin ajankäyttölaskuri (arvio)</t>
  </si>
  <si>
    <r>
      <t xml:space="preserve">Tilavuuden mitoitus </t>
    </r>
    <r>
      <rPr>
        <b/>
        <sz val="11"/>
        <rFont val="Arial"/>
        <family val="2"/>
      </rPr>
      <t>m</t>
    </r>
    <r>
      <rPr>
        <b/>
        <vertAlign val="superscript"/>
        <sz val="11"/>
        <rFont val="Arial"/>
        <family val="2"/>
      </rPr>
      <t>3</t>
    </r>
    <r>
      <rPr>
        <sz val="11"/>
        <rFont val="Arial"/>
        <family val="2"/>
      </rPr>
      <t xml:space="preserve"> puimurin päiväpuintikapasiteetti huomioiden</t>
    </r>
  </si>
  <si>
    <t>Tilan oma sato</t>
  </si>
  <si>
    <t>Sato kg/ha</t>
  </si>
  <si>
    <t>Tilavuuspaino = Hehtolitrapaino kg/100 l (keskim. kuivana)</t>
  </si>
  <si>
    <t>kg / hl</t>
  </si>
  <si>
    <r>
      <t>eli tilavuuspaino kg/m</t>
    </r>
    <r>
      <rPr>
        <vertAlign val="superscript"/>
        <sz val="10"/>
        <rFont val="Arial"/>
        <family val="2"/>
      </rPr>
      <t>3</t>
    </r>
  </si>
  <si>
    <r>
      <t>kg / m</t>
    </r>
    <r>
      <rPr>
        <vertAlign val="superscript"/>
        <sz val="10"/>
        <rFont val="Arial"/>
        <family val="2"/>
      </rPr>
      <t>3</t>
    </r>
  </si>
  <si>
    <t>Kuivattava omaa satoa yht. kg</t>
  </si>
  <si>
    <t>kg / vuosi</t>
  </si>
  <si>
    <t>Rahtiuivausta kg / vuosi</t>
  </si>
  <si>
    <t>Kuivattavaa satoa yhteensä kg / v</t>
  </si>
  <si>
    <t>Puintikosteus %</t>
  </si>
  <si>
    <t>Puimurien puintikapasiteetti ha/h</t>
  </si>
  <si>
    <t>ha / h</t>
  </si>
  <si>
    <t>Tavoite varastointikosteus %</t>
  </si>
  <si>
    <t>Puimurit pui päivässä h</t>
  </si>
  <si>
    <t>Puimurien puintikapasiteetti kg / pv (paine kuivurille)</t>
  </si>
  <si>
    <t>kg /pv</t>
  </si>
  <si>
    <t>Kuivumisen nopeus %/h</t>
  </si>
  <si>
    <t>% / h</t>
  </si>
  <si>
    <t>kg / ha</t>
  </si>
  <si>
    <t>Kuivurin käyntiaika h/kuivauserä</t>
  </si>
  <si>
    <t>Kuivaukseen tulossa viljaa</t>
  </si>
  <si>
    <t>kg / pv</t>
  </si>
  <si>
    <t>Hehtolitrapaino keskim.</t>
  </si>
  <si>
    <t>Kuivurin kuivauserien lkm/vrk</t>
  </si>
  <si>
    <t>erää / vrk</t>
  </si>
  <si>
    <t>kg / erä</t>
  </si>
  <si>
    <t>Kuivurilla kuivataan satoa hl /vuosi</t>
  </si>
  <si>
    <t>hl / erä</t>
  </si>
  <si>
    <t>eli m3</t>
  </si>
  <si>
    <t>litraa / erä</t>
  </si>
  <si>
    <t>Kuivurin koko</t>
  </si>
  <si>
    <r>
      <t>Puimuria kohden on kuivurikapasiteetin oltava m</t>
    </r>
    <r>
      <rPr>
        <b/>
        <vertAlign val="superscript"/>
        <sz val="10"/>
        <rFont val="Arial"/>
        <family val="2"/>
      </rPr>
      <t>3</t>
    </r>
    <r>
      <rPr>
        <b/>
        <sz val="10"/>
        <rFont val="Arial"/>
        <family val="2"/>
      </rPr>
      <t>/vrk:</t>
    </r>
  </si>
  <si>
    <t>Kuivurin koko hl</t>
  </si>
  <si>
    <t>Puimurien puintiaika h yhteensä</t>
  </si>
  <si>
    <t>Puimurien puintiaika pv yhteensä</t>
  </si>
  <si>
    <t>Puintiaikaa pv:</t>
  </si>
  <si>
    <t>Kuivurilla kuivauseriä kpl/vuosi</t>
  </si>
  <si>
    <t>Puimurilta kuivaamolle siirtokertoja?</t>
  </si>
  <si>
    <t>Kuivurin käyttö yhteensä h / vuosi</t>
  </si>
  <si>
    <t xml:space="preserve"> Perävaunun koko m3?</t>
  </si>
  <si>
    <t>Päivää / vuosi</t>
  </si>
  <si>
    <t>h/pv</t>
  </si>
  <si>
    <t>Traktorin perävaunu kippaa krt / päivä</t>
  </si>
  <si>
    <t>krt / päivä</t>
  </si>
  <si>
    <t>Kuivausaika h / tonni</t>
  </si>
  <si>
    <t>h  / tonni</t>
  </si>
  <si>
    <t>Traktorin perävaunu kippaa krt / koko sato</t>
  </si>
  <si>
    <t>krt / koko sato</t>
  </si>
  <si>
    <t>Viljaa kuivuu Tonnia / h</t>
  </si>
  <si>
    <t>tn / h</t>
  </si>
  <si>
    <r>
      <t xml:space="preserve">5. Biopolttoaineen tarve </t>
    </r>
    <r>
      <rPr>
        <b/>
        <sz val="10"/>
        <rFont val="Arial"/>
        <family val="2"/>
      </rPr>
      <t>(polttoöljyn korvaaja)</t>
    </r>
    <r>
      <rPr>
        <b/>
        <sz val="12"/>
        <rFont val="Arial"/>
        <family val="2"/>
      </rPr>
      <t xml:space="preserve"> (arvio)</t>
    </r>
  </si>
  <si>
    <t>Energiaa MWh/tn</t>
  </si>
  <si>
    <t>Energiaan tarve MWh</t>
  </si>
  <si>
    <t>Polttoöljyä tarvitaan</t>
  </si>
  <si>
    <r>
      <t xml:space="preserve">Polttoöljyn </t>
    </r>
    <r>
      <rPr>
        <b/>
        <u/>
        <sz val="10"/>
        <rFont val="Arial"/>
        <family val="2"/>
      </rPr>
      <t>korvaaminen</t>
    </r>
    <r>
      <rPr>
        <b/>
        <sz val="10"/>
        <rFont val="Arial"/>
        <family val="2"/>
      </rPr>
      <t xml:space="preserve"> hakkeella:</t>
    </r>
  </si>
  <si>
    <r>
      <t>Hakkeen energiasisältö MWh / i-m</t>
    </r>
    <r>
      <rPr>
        <vertAlign val="superscript"/>
        <sz val="10"/>
        <rFont val="Arial"/>
        <family val="2"/>
      </rPr>
      <t>3</t>
    </r>
  </si>
  <si>
    <t>Hakkeen hyötysuhde</t>
  </si>
  <si>
    <t>jolloin haketta tarvitaan:</t>
  </si>
  <si>
    <r>
      <t>i-m</t>
    </r>
    <r>
      <rPr>
        <vertAlign val="superscript"/>
        <sz val="10"/>
        <rFont val="Arial"/>
        <family val="2"/>
      </rPr>
      <t>3</t>
    </r>
  </si>
  <si>
    <t>Suuntaa antava arvio, joka riippuu uunista ja hakkeesta</t>
  </si>
  <si>
    <t xml:space="preserve">Kuivattava sato yhteensä </t>
  </si>
  <si>
    <t>hl paino:</t>
  </si>
  <si>
    <t>Kuivurin tunnit vuodessa</t>
  </si>
  <si>
    <t>h/v</t>
  </si>
  <si>
    <t>%/h</t>
  </si>
  <si>
    <t>Polttoainetarvearvio i-m3/tunti</t>
  </si>
  <si>
    <t>g/l</t>
  </si>
  <si>
    <t>Kuivuri käyttää öljyä kuivaamiseen g/vesikg</t>
  </si>
  <si>
    <t>kpl / vuosi</t>
  </si>
  <si>
    <t>Polttoöljyn korvaaminen:</t>
  </si>
  <si>
    <t>Maakaasu tms</t>
  </si>
  <si>
    <t>Aikaa kuivaamiseen kuluu h / kuivauserä</t>
  </si>
  <si>
    <t>h / kuivauserä</t>
  </si>
  <si>
    <t>MWh/tonni</t>
  </si>
  <si>
    <t>Kuivurin käyntiaika yhteensä tuntia vuodessa</t>
  </si>
  <si>
    <t>h / vuosi</t>
  </si>
  <si>
    <t>Hyötysuhde</t>
  </si>
  <si>
    <t>Polttoöljyn tarve tilalla l / vuosi:</t>
  </si>
  <si>
    <t>tonnia</t>
  </si>
  <si>
    <t>Arvio</t>
  </si>
  <si>
    <t>Polttoaineen tarvearvio tn/tunti</t>
  </si>
  <si>
    <t>l / h</t>
  </si>
  <si>
    <t>Litraa/kuivaustunti</t>
  </si>
  <si>
    <t>litraa / h arvio</t>
  </si>
  <si>
    <t xml:space="preserve">Lähde ja innoittaja: </t>
  </si>
  <si>
    <t>Maatilakuivurit; HAUTALA M., JOKINIEMI T. JA AHOKAS J.; Helsingin yliopisto 2013</t>
  </si>
  <si>
    <t>Mika Mujunen versio</t>
  </si>
  <si>
    <t>Valikko</t>
  </si>
  <si>
    <t>Yksiköt</t>
  </si>
  <si>
    <t>(ÄLÄ MUUTA!)</t>
  </si>
  <si>
    <t>Kyllä</t>
  </si>
  <si>
    <t>Ei</t>
  </si>
  <si>
    <t>Pakettikuivaamo</t>
  </si>
  <si>
    <t>Laske kokolaskurilla</t>
  </si>
  <si>
    <t>Polttoaineen kulutus l/h | hinta/l</t>
  </si>
  <si>
    <t>Tai biopolttoaine Mwh/h|hinta/Mwh</t>
  </si>
  <si>
    <t>Sähköenergiaa h | €/h</t>
  </si>
  <si>
    <t>Katso sähköenergiaslaskuri</t>
  </si>
  <si>
    <t>Voitto % (kuivaaminen vieraalle)</t>
  </si>
  <si>
    <t>per kg</t>
  </si>
  <si>
    <t>Kuivauksen hinta € / h alv 0%</t>
  </si>
  <si>
    <t>Erän kuivaus kestää h</t>
  </si>
  <si>
    <t>h/erä</t>
  </si>
  <si>
    <t>Hinta € / erä alv 0%</t>
  </si>
  <si>
    <t>Erän jäähdytys kestää h</t>
  </si>
  <si>
    <r>
      <t xml:space="preserve">Hinta € / erä alv 0% </t>
    </r>
    <r>
      <rPr>
        <b/>
        <sz val="8"/>
        <rFont val="Arial"/>
        <family val="2"/>
      </rPr>
      <t>(kuivausenergia pois)</t>
    </r>
  </si>
  <si>
    <t>Kuivauserän koko:</t>
  </si>
  <si>
    <t>Hinta € / tonni alv 0%</t>
  </si>
  <si>
    <t>4. Viljankuivauksen polttoöljyn ja sähköenergian tarvelaskenta kuivurille (arvio)</t>
  </si>
  <si>
    <t>Jäähdytysaika-arvio h/kuivauserä | Kuivatustunnit</t>
  </si>
  <si>
    <t>Aikaa kuivaamiseen kuluu h / kuivauserä jäähdytys huomioiden</t>
  </si>
  <si>
    <t>Kuivurin käyntiaika + jäähdytysaika-arvio</t>
  </si>
  <si>
    <t>Sähkömoottori(e)n teho(t) yhteensä kW</t>
  </si>
  <si>
    <t>kW</t>
  </si>
  <si>
    <t>Sähkömoottorin käyntitunnit</t>
  </si>
  <si>
    <t>Sähköenergian tarvearvio</t>
  </si>
  <si>
    <t>kWh/h</t>
  </si>
  <si>
    <t>Polttoöljyn tarve tilalla l / kuivauserä:</t>
  </si>
  <si>
    <t>l / erä</t>
  </si>
  <si>
    <t>Polttoöljyn tarve tilalla kg / vuosi:</t>
  </si>
  <si>
    <t>kg / vuosi  arvio</t>
  </si>
  <si>
    <t>l / vuosi  arvio</t>
  </si>
  <si>
    <t>Kohdistusvaihtoehdot --&gt;&gt;&gt;</t>
  </si>
  <si>
    <t>Muokattavat kohdistukset</t>
  </si>
  <si>
    <r>
      <t>m</t>
    </r>
    <r>
      <rPr>
        <vertAlign val="superscript"/>
        <sz val="10"/>
        <rFont val="Arial"/>
        <family val="2"/>
      </rPr>
      <t xml:space="preserve">3 </t>
    </r>
    <r>
      <rPr>
        <sz val="10"/>
        <rFont val="Arial"/>
        <family val="2"/>
      </rPr>
      <t>/ erä / vrk</t>
    </r>
  </si>
  <si>
    <r>
      <t>m</t>
    </r>
    <r>
      <rPr>
        <vertAlign val="superscript"/>
        <sz val="10"/>
        <rFont val="Arial"/>
        <family val="2"/>
      </rPr>
      <t xml:space="preserve">3 </t>
    </r>
    <r>
      <rPr>
        <sz val="10"/>
        <rFont val="Arial"/>
        <family val="2"/>
      </rPr>
      <t>/ vaunu</t>
    </r>
  </si>
  <si>
    <r>
      <t>i-m</t>
    </r>
    <r>
      <rPr>
        <vertAlign val="superscript"/>
        <sz val="10"/>
        <rFont val="Arial"/>
        <family val="2"/>
      </rPr>
      <t xml:space="preserve">3 </t>
    </r>
    <r>
      <rPr>
        <sz val="10"/>
        <rFont val="Arial"/>
        <family val="2"/>
      </rPr>
      <t>/ h</t>
    </r>
  </si>
  <si>
    <r>
      <t>tn</t>
    </r>
    <r>
      <rPr>
        <vertAlign val="superscript"/>
        <sz val="10"/>
        <rFont val="Arial"/>
        <family val="2"/>
      </rPr>
      <t xml:space="preserve"> </t>
    </r>
    <r>
      <rPr>
        <sz val="10"/>
        <rFont val="Arial"/>
        <family val="2"/>
      </rPr>
      <t>/ h</t>
    </r>
  </si>
  <si>
    <t>Viljankuivuri</t>
  </si>
  <si>
    <t>Listaus valikosta (Siemen)</t>
  </si>
  <si>
    <t>Kohdista kustannus</t>
  </si>
  <si>
    <t>HA</t>
  </si>
  <si>
    <t>paalain</t>
  </si>
  <si>
    <t>jyväsato</t>
  </si>
  <si>
    <t>perustuki</t>
  </si>
  <si>
    <t>viherryttämistuki</t>
  </si>
  <si>
    <t>luonnonhaittakorvaus</t>
  </si>
  <si>
    <t>Kasvinviljelyn koneet, kaikki yht</t>
  </si>
  <si>
    <t>ympäristökorvaus, ei lisätoimenpiteitä</t>
  </si>
  <si>
    <t>Karjanlanta</t>
  </si>
  <si>
    <t>lietevaunu</t>
  </si>
  <si>
    <t>yara mila Y5</t>
  </si>
  <si>
    <t>Luonnonhaittakorvaus</t>
  </si>
  <si>
    <t>Ympäristökorvaus</t>
  </si>
  <si>
    <t>Yara MilaY3</t>
  </si>
  <si>
    <t>lannoite kevätlevitys toukokuussa</t>
  </si>
  <si>
    <t>Yara Mila NK1</t>
  </si>
  <si>
    <t>lannoite kakkoslevitys ekan rehunteon jälk</t>
  </si>
  <si>
    <t>Suojaviljan rikkaruiskutus</t>
  </si>
  <si>
    <t>Karhotus</t>
  </si>
  <si>
    <t>tuki 2</t>
  </si>
  <si>
    <t>puolitiiviste</t>
  </si>
  <si>
    <t>kivennäinen</t>
  </si>
  <si>
    <t>Rehu kivennäinen</t>
  </si>
  <si>
    <t>Rehu suolakivet</t>
  </si>
  <si>
    <t>Vesi</t>
  </si>
  <si>
    <t>Kate C</t>
  </si>
  <si>
    <t>Kate A</t>
  </si>
  <si>
    <t>Kasvatusaika kk (keskimäärin)</t>
  </si>
  <si>
    <t>Rakennus 1 mikä?</t>
  </si>
  <si>
    <t>Rakennus 2 mikä?</t>
  </si>
  <si>
    <t>Rakennus 3 mikä?</t>
  </si>
  <si>
    <t>Rakennus 4 mikä?</t>
  </si>
  <si>
    <t>Rakennus 5 mikä?</t>
  </si>
  <si>
    <t>Maito (LaskeMaito1)</t>
  </si>
  <si>
    <t>Viljan kuivurilaskuri sisältää 4 eri laskuria: 1. Tuntihintalaskurin, jolla saat selville kuivurin tuntihinnan; 2. Kuivurin kokolaskurin, jolla selvität kuivurin kokotarpeen; 3. Kuivurin ajankäyttölaskurin , jolla selvität käyttötunnit; 4. Kuivauksen öljyntarpeen laskurin. [Katso ohjevideo]</t>
  </si>
  <si>
    <t>LaskeSäilörehu</t>
  </si>
  <si>
    <t>LaskeMonivuotinen Marja1 esim. mansikka</t>
  </si>
  <si>
    <t>LaskeMonivuotiset marjakasvit 4 - Piilossa, aktivoi (hiiren oikea, näytä)</t>
  </si>
  <si>
    <t>LaskeMonivuotiset marjakasvit 5 - Piilossa, aktivoi (hiiren oikea, näytä)</t>
  </si>
  <si>
    <t>LaskeMonivuotiset marjakasvit 6 - Piilossa, aktivoi (hiiren oikea, näytä)</t>
  </si>
  <si>
    <t>LaskeKasvi 5 - Piilossa, aktivoi (hiiren oikea, näytä)</t>
  </si>
  <si>
    <t>Eläinten määrä tilalla</t>
  </si>
  <si>
    <t>Mika Mujunen, Kuopio</t>
  </si>
  <si>
    <t>Ohje</t>
  </si>
  <si>
    <t>Tällä ohjelmalla voit laskea maanviljelyn tuotantokustannukset yksittäisille tuotteille ja saat selville koko tilan kannattavuuden.</t>
  </si>
  <si>
    <t>Peruslaskenta kasvinviljelytila</t>
  </si>
  <si>
    <t>Työjärjestys</t>
  </si>
  <si>
    <t>Laske Liha</t>
  </si>
  <si>
    <t>LaskeKasvi1</t>
  </si>
  <si>
    <t>LaskeKasvi 2</t>
  </si>
  <si>
    <t>Alla näet välilehtiä. Kukin välilehti muodostaa oman tärkeän kokonaisuuden.</t>
  </si>
  <si>
    <t>5. Nyt olet valmis laskelmaan kasvin katetuotto- ja tuontantokustannuslaskelmat</t>
  </si>
  <si>
    <t>5.1. Siirry Laskekasvi 1 laskelmalle</t>
  </si>
  <si>
    <t>Tuotot - muuttuvat kustannukset - Kiinteät kustannukset=Voitto tai tappio</t>
  </si>
  <si>
    <t>Katetuottolaskenta:</t>
  </si>
  <si>
    <t>Tuotantotkustannus €/yksikkö:</t>
  </si>
  <si>
    <t>(Muuttuvat kustannukset + Kiinteät kustannukset) / tuotantomäärä kg tai litra.</t>
  </si>
  <si>
    <t>Peruslaskenta kotieläintila</t>
  </si>
  <si>
    <t>Koneen tuntihintalaskuri</t>
  </si>
  <si>
    <t>5.2 Katetuotto lasketaan aina yhdelle hehtaarille (oletus).</t>
  </si>
  <si>
    <t>6. Tee tarvittaessa koneen tuntihintalaskelma. Se löytyy tästä:</t>
  </si>
  <si>
    <t>7. Laske tuotantokustannus niin monelle kasville kuin tarvitset. Laskelmapohjia on viidelle kasville.</t>
  </si>
  <si>
    <t>9. Tee tarvittaessa Budjetti.</t>
  </si>
  <si>
    <t>Kotieläintilan laskennassa lasket ensin kasvinviljelyn tuotantokustannukset viljellyille kasveille.</t>
  </si>
  <si>
    <t>Jos olet opiskelemassa alaa, kannattaa tutustua Peltoalalaskuriin. Sillä saat suuntaviivan eläinten rehualaan. Peltoalalaskuriin tästä:</t>
  </si>
  <si>
    <t>Peltoalalaskuri</t>
  </si>
  <si>
    <t>1. Syötä Lähtötiedot (peltohehtaarit ja tee tarvittaessa kohdistukset pelloille).</t>
  </si>
  <si>
    <t>2. Syötä konerekisteriin käyttämäsi koneet käyvillä hinnoilla. Näin saadaan koneiden kiiteät kustannukset selville.</t>
  </si>
  <si>
    <t>3. Syötä rakennukset käyvillä hinnoilla. Näin saadaan selville rakennusten aiheuttamat kiinteät kustannukset.</t>
  </si>
  <si>
    <t>4. Tarvittaessa Muut kustannustiedot välilehdelle voit tuoda muita kiinteitä kustannuksia esim. piha-asfaltoinnit yms. Nämäkin siirtyvät kiinteisiin kustannuksiin.</t>
  </si>
  <si>
    <t xml:space="preserve">Eläimiä kussakin tuotostasossa (jaa eläinmäärät) </t>
  </si>
  <si>
    <t>13. Voit tarvittaesa tehdä Maitolaskelman suurtilaversiona esim. navetoittain tai tuotantomäärien jaon mukaan</t>
  </si>
  <si>
    <t>12. Tee maito- ja/tai lihalaskelmat ja siirrä näihin kasvinviljelylaskelmissa syntynyt tuotantokustannus eläinten syömienkotoisten ehujen hinnaksi.</t>
  </si>
  <si>
    <t>14. Siirry Rakenna tulosennuste välilehdelle. Selaa riville 167. Kate C näyttää tuloksen.</t>
  </si>
  <si>
    <t>15. Tee tarvittaessa Budjetti.</t>
  </si>
  <si>
    <r>
      <t>10. Tarkastele maatilasi kasvinviljelyn päästölaskentaa (CO</t>
    </r>
    <r>
      <rPr>
        <vertAlign val="superscript"/>
        <sz val="10"/>
        <rFont val="Arial"/>
        <family val="2"/>
      </rPr>
      <t>2</t>
    </r>
    <r>
      <rPr>
        <sz val="10"/>
        <rFont val="Arial"/>
        <family val="2"/>
      </rPr>
      <t>). Laskennan löydät täältä:</t>
    </r>
  </si>
  <si>
    <t>Päästölaskenta</t>
  </si>
  <si>
    <t>10. Tee ensin kasvinviljelytilan vaiheet 1-7.</t>
  </si>
  <si>
    <t>11. Tee säilörehun tuotantokustannuslaskelma LaskeSäilörehu.</t>
  </si>
  <si>
    <t>Laske Liha special  --Suurtilalle (ota tarvittaessa käyttöön, piilotettu)</t>
  </si>
  <si>
    <t>Laske Maito special  -Suurtilalle (ota tarvittaessa käyttöön, piilotettu)</t>
  </si>
  <si>
    <t xml:space="preserve">Lisää ohjeita www-sivuilta. </t>
  </si>
  <si>
    <t>Marjanviljelyn koneet</t>
  </si>
  <si>
    <t>Kastelupumppu (siirrä konerekisteriin)</t>
  </si>
  <si>
    <t>Siirrä lukema Monivuotiselle marjakasville kullekin vuodelle (jokaiselle vuodelle)</t>
  </si>
  <si>
    <t xml:space="preserve">LaskeMonivuotiset marjakasvit 2 </t>
  </si>
  <si>
    <t>LaskeMonivuotiset marjakasvit 3</t>
  </si>
  <si>
    <t>Peruslaskenta marjatilalla</t>
  </si>
  <si>
    <t>5.1. Siirry LaskeMonivuotinenMarja 1 laskelmalle</t>
  </si>
  <si>
    <t>(Muuttuvat kustannukset + Kiinteät kustannukset) / tuotantomäärä kg</t>
  </si>
  <si>
    <t>7. Laske tuotantokustannus niin monelle kasville kuin tarvitset. Laskelmapohjia on kuudelle kasville.</t>
  </si>
  <si>
    <t>5.2 Katetuotto lasketaan aina yhdelle hehtaarille (oletus). Mutta voit tällä laskelmalla tehdä sen myös kyseisen kasvin kohdealalle (ei suositeltavaa).</t>
  </si>
  <si>
    <r>
      <t xml:space="preserve">8. Siirry </t>
    </r>
    <r>
      <rPr>
        <b/>
        <sz val="10"/>
        <rFont val="Arial"/>
        <family val="2"/>
      </rPr>
      <t xml:space="preserve">Rakenna tulosennuste </t>
    </r>
    <r>
      <rPr>
        <sz val="10"/>
        <rFont val="Arial"/>
        <family val="2"/>
      </rPr>
      <t>väilehdelle. Selaa riville 167. Kate C näyttää tuloksen.</t>
    </r>
  </si>
  <si>
    <t>www.mikamujunen.com</t>
  </si>
  <si>
    <t>Huomio! Lisää ohjeita www-sivuilta. Löydät sieltä mm- marjatilan laskentavideon.</t>
  </si>
  <si>
    <t>Asfaltointi</t>
  </si>
  <si>
    <t>Palvelun tai tuotteen hinnoittelulaskuri</t>
  </si>
  <si>
    <t>Tuotteen tai Palvelun  nimi:</t>
  </si>
  <si>
    <t>Palvelu/tuote</t>
  </si>
  <si>
    <t>Jakaja</t>
  </si>
  <si>
    <t>"Tuottaa arvoa?"</t>
  </si>
  <si>
    <t>Omakustannus- eli voittolisähinnoittelu</t>
  </si>
  <si>
    <t>Palvelut / materiaalit yms. Ostot</t>
  </si>
  <si>
    <t>Kerroin</t>
  </si>
  <si>
    <t>Hävikki % / Kate%</t>
  </si>
  <si>
    <t>Ostettu ulkopuolinen palvelu</t>
  </si>
  <si>
    <t>Materiaalit ja ostot (veroton hinta yht.)</t>
  </si>
  <si>
    <t>Voittotavoite % ostoille</t>
  </si>
  <si>
    <t>Matkat 1</t>
  </si>
  <si>
    <t>Materiaalit ja ostot (veroton hinta + voitto)</t>
  </si>
  <si>
    <t>Matkat 2</t>
  </si>
  <si>
    <t>Työkustannus (veroton hinta yht.)</t>
  </si>
  <si>
    <t>Matkat 3</t>
  </si>
  <si>
    <t>Voittotavoite % työlle</t>
  </si>
  <si>
    <t>Matkat 4</t>
  </si>
  <si>
    <t>Työkustannus (veroton hinta + voitto)</t>
  </si>
  <si>
    <t>Matkat 5</t>
  </si>
  <si>
    <t>Kaikki yhteensä Hinta alv 0%</t>
  </si>
  <si>
    <t>Erästä kpl-------------&gt;</t>
  </si>
  <si>
    <t>TYÖKUSTANNUS</t>
  </si>
  <si>
    <t>Hinta €/h</t>
  </si>
  <si>
    <t>% Varakerroin Oletus 100%</t>
  </si>
  <si>
    <t>Tuotantokustannukset yhteensä</t>
  </si>
  <si>
    <t>ALV arvio</t>
  </si>
  <si>
    <t>Voitto % korottaa myös alvia</t>
  </si>
  <si>
    <t>Alv ostot</t>
  </si>
  <si>
    <t>Alv työ</t>
  </si>
  <si>
    <t>Määrä kpl ajanjaksolla</t>
  </si>
  <si>
    <t>Ajanjakso</t>
  </si>
  <si>
    <t xml:space="preserve">Kiinteät kustannukset </t>
  </si>
  <si>
    <t>Kaikki kustanukset yhteensä</t>
  </si>
  <si>
    <t>Tulos ennen veroja</t>
  </si>
  <si>
    <r>
      <t xml:space="preserve">11. </t>
    </r>
    <r>
      <rPr>
        <b/>
        <sz val="10"/>
        <rFont val="Arial"/>
        <family val="2"/>
      </rPr>
      <t>Extra</t>
    </r>
    <r>
      <rPr>
        <sz val="10"/>
        <rFont val="Arial"/>
        <family val="2"/>
      </rPr>
      <t>: Halutessasi voit hinnoitella jatkojalostustuotteita ottamalla käyttööön Hintalaskurin. Se on välilehdillä äärimmäisenä oikealla:</t>
    </r>
  </si>
  <si>
    <t>Hintalaskurissa lasketaan jatkojalostustuotteelle tai palvelulle hinta. Voittolisäkerroin lasketaan kaavalla = 100 / (100 – voitto%)</t>
  </si>
  <si>
    <r>
      <t xml:space="preserve">Voitto on tuloslaskelman viimeinen rivi, siksi voitto% on yleensä </t>
    </r>
    <r>
      <rPr>
        <b/>
        <sz val="11"/>
        <color rgb="FF000000"/>
        <rFont val="Calibri"/>
        <family val="2"/>
      </rPr>
      <t>10-35%</t>
    </r>
    <r>
      <rPr>
        <sz val="11"/>
        <color rgb="FF000000"/>
        <rFont val="Calibri"/>
        <family val="2"/>
      </rPr>
      <t xml:space="preserve"> eli maltillisempi kuin mitä on myyntikate % (50-85%).</t>
    </r>
  </si>
  <si>
    <t xml:space="preserve">Jos olet opiskelemassa marjankasvatusalaa, kannattaa tutustua Taimilaskuriin. Sillä saat suuntaviivan tarvittavista taimimääristä. </t>
  </si>
  <si>
    <t>Jos olet opiskelemassa alaa, kannattaa tutustua Peltoalalaskuriin. Sillä saat suuntaviivan eläinten rehualaan.</t>
  </si>
  <si>
    <t>8. Siirry Rakenna tulosennuste välilehdelle. Selaa riville 167. Kate C näyttää tuloksen.</t>
  </si>
  <si>
    <t>Arvo x (varalla, älä käytä)</t>
  </si>
  <si>
    <t>Ruokinta koiralle (muuta nimi tarpeesi mukaan)</t>
  </si>
  <si>
    <t>LaskeKasvi 4 - Piilossa, aktivoi (hiiren oikea, näytä)</t>
  </si>
  <si>
    <t>26.1A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</si>
</sst>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0\ &quot;€&quot;;\-#,##0\ &quot;€&quot;"/>
    <numFmt numFmtId="42" formatCode="_-* #,##0\ &quot;€&quot;_-;\-* #,##0\ &quot;€&quot;_-;_-* &quot;-&quot;\ &quot;€&quot;_-;_-@_-"/>
    <numFmt numFmtId="44" formatCode="_-* #,##0.00\ &quot;€&quot;_-;\-* #,##0.00\ &quot;€&quot;_-;_-* &quot;-&quot;??\ &quot;€&quot;_-;_-@_-"/>
    <numFmt numFmtId="164" formatCode="_-* #,##0.00\ _€_-;\-* #,##0.00\ _€_-;_-* &quot;-&quot;??\ _€_-;_-@_-"/>
    <numFmt numFmtId="165" formatCode="#,##0.00_);\(#,##0.00\)"/>
    <numFmt numFmtId="166" formatCode="\$#,##0.00_);&quot;($&quot;#,##0.00\)"/>
    <numFmt numFmtId="167" formatCode="mmmm\ d&quot;, &quot;yyyy"/>
    <numFmt numFmtId="168" formatCode="_-* #,##0.00\ _€_-;\-* #,##0.00\ _€_-;_-* \-??\ _€_-;_-@_-"/>
    <numFmt numFmtId="169" formatCode="_-* #,##0.00&quot; €&quot;_-;\-* #,##0.00&quot; €&quot;_-;_-* \-??&quot; €&quot;_-;_-@_-"/>
    <numFmt numFmtId="170" formatCode="0.00%"/>
    <numFmt numFmtId="171" formatCode="0%"/>
    <numFmt numFmtId="172" formatCode="_-* #,##0.00&quot; mk&quot;_-;\-* #,##0.00&quot; mk&quot;_-;_-* \-??&quot; mk&quot;_-;_-@_-"/>
    <numFmt numFmtId="173" formatCode="_-* #,##0\ _€_-;\-* #,##0\ _€_-;_-* \-??\ _€_-;_-@_-"/>
    <numFmt numFmtId="174" formatCode="#,##0.00_ ;\-#,##0.00\ "/>
    <numFmt numFmtId="175" formatCode="0.0000"/>
    <numFmt numFmtId="176" formatCode="0.000"/>
    <numFmt numFmtId="177" formatCode="#,##0.00\ [$€-1];[Red]\-#,##0.00\ [$€-1]"/>
    <numFmt numFmtId="178" formatCode="#,##0.00&quot; €&quot;"/>
    <numFmt numFmtId="179" formatCode="0.0"/>
    <numFmt numFmtId="180" formatCode="#,##0.00&quot; €&quot;;[Red]\-#,##0.00&quot; €&quot;"/>
    <numFmt numFmtId="181" formatCode="_-* #,##0.0000&quot; €&quot;_-;\-* #,##0.0000&quot; €&quot;_-;_-* \-??&quot; €&quot;_-;_-@_-"/>
    <numFmt numFmtId="182" formatCode="_-* #,##0.000\ _€_-;\-* #,##0.000\ _€_-;_-* \-??\ _€_-;_-@_-"/>
    <numFmt numFmtId="183" formatCode="_-* #,##0.000&quot; €&quot;_-;\-* #,##0.000&quot; €&quot;_-;_-* \-??&quot; €&quot;_-;_-@_-"/>
    <numFmt numFmtId="184" formatCode="_-* #,##0.000\ _€_-;\-* #,##0.000\ _€_-;_-* \-????\ _€_-;_-@_-"/>
    <numFmt numFmtId="185" formatCode="_-* #,##0&quot; €&quot;_-;\-* #,##0&quot; €&quot;_-;_-* \-??&quot; €&quot;_-;_-@_-"/>
    <numFmt numFmtId="186" formatCode="_-* #,##0.0\ _€_-;\-* #,##0.0\ _€_-;_-* \-??\ _€_-;_-@_-"/>
    <numFmt numFmtId="187" formatCode="_-* #,##0.0\ _€_-;\-* #,##0.0\ _€_-;_-* \-?\ _€_-;_-@_-"/>
    <numFmt numFmtId="188" formatCode="d\.m\.;@"/>
    <numFmt numFmtId="189" formatCode="_-* #,##0.00\ [$€-1]_-;\-* #,##0.00\ [$€-1]_-;_-* \-??\ [$€-1]_-;_-@_-"/>
    <numFmt numFmtId="190" formatCode="#,##0.00\ &quot;€&quot;"/>
    <numFmt numFmtId="191" formatCode="0.000\ %"/>
    <numFmt numFmtId="192" formatCode="#,##0&quot; €&quot;"/>
    <numFmt numFmtId="193" formatCode="#,##0_ ;\-#,##0\ "/>
    <numFmt numFmtId="194" formatCode="_-* #,##0.00\ [$€-40B]_-;\-* #,##0.00\ [$€-40B]_-;_-* &quot;-&quot;??\ [$€-40B]_-;_-@_-"/>
    <numFmt numFmtId="195" formatCode="_-* #,##0.00\ [$€]_-;\-* #,##0.00\ [$€]_-;_-* &quot;-&quot;??\ [$€]_-;_-@_-"/>
    <numFmt numFmtId="196" formatCode="_-* #,##0.00\ [$€-1]_-;\-* #,##0.00\ [$€-1]_-;_-* &quot;-&quot;??\ [$€-1]_-;_-@_-"/>
    <numFmt numFmtId="197" formatCode="#,##0\ &quot;€&quot;"/>
    <numFmt numFmtId="198" formatCode="0.0%"/>
    <numFmt numFmtId="199" formatCode="0.0\ %"/>
    <numFmt numFmtId="200" formatCode="_-* #,##0\ _€_-;\-* #,##0\ _€_-;_-* &quot;-&quot;??\ _€_-;_-@_-"/>
    <numFmt numFmtId="201" formatCode="_-* #,##0.000\ _€_-;\-* #,##0.000\ _€_-;_-* &quot;-&quot;???\ _€_-;_-@_-"/>
    <numFmt numFmtId="202" formatCode="_-* #,##0.0&quot; €&quot;_-;\-* #,##0.0&quot; €&quot;_-;_-* \-??&quot; €&quot;_-;_-@_-"/>
    <numFmt numFmtId="203" formatCode="_-* #,##0.0\ _€_-;\-* #,##0.0\ _€_-;_-* &quot;-&quot;??\ _€_-;_-@_-"/>
    <numFmt numFmtId="204" formatCode="_-* #,##0.000\ &quot;€&quot;_-;\-* #,##0.000\ &quot;€&quot;_-;_-* &quot;-&quot;??\ &quot;€&quot;_-;_-@_-"/>
  </numFmts>
  <fonts count="105">
    <font>
      <sz val="10"/>
      <name val="Arial"/>
      <family val="2"/>
    </font>
    <font>
      <sz val="11"/>
      <color theme="1"/>
      <name val="Calibri"/>
      <family val="2"/>
      <scheme val="minor"/>
    </font>
    <font>
      <sz val="10"/>
      <name val="Arial"/>
      <family val="2"/>
    </font>
    <font>
      <sz val="12"/>
      <name val="Arial"/>
      <family val="2"/>
    </font>
    <font>
      <b/>
      <sz val="18"/>
      <name val="Arial"/>
      <family val="2"/>
    </font>
    <font>
      <b/>
      <sz val="12"/>
      <name val="Arial"/>
      <family val="2"/>
    </font>
    <font>
      <u/>
      <sz val="10"/>
      <color indexed="12"/>
      <name val="Arial"/>
      <family val="2"/>
    </font>
    <font>
      <b/>
      <sz val="9"/>
      <name val="Arial"/>
      <family val="2"/>
    </font>
    <font>
      <b/>
      <sz val="10"/>
      <name val="Arial"/>
      <family val="2"/>
    </font>
    <font>
      <sz val="9"/>
      <name val="Arial"/>
      <family val="2"/>
    </font>
    <font>
      <b/>
      <sz val="9"/>
      <color indexed="8"/>
      <name val="Tahoma"/>
      <family val="2"/>
    </font>
    <font>
      <sz val="9"/>
      <color indexed="8"/>
      <name val="Tahoma"/>
      <family val="2"/>
    </font>
    <font>
      <b/>
      <sz val="10"/>
      <name val="Arial Black"/>
      <family val="2"/>
    </font>
    <font>
      <sz val="8"/>
      <name val="Arial"/>
      <family val="2"/>
    </font>
    <font>
      <b/>
      <sz val="11"/>
      <name val="Arial"/>
      <family val="2"/>
    </font>
    <font>
      <sz val="11"/>
      <name val="Arial"/>
      <family val="2"/>
    </font>
    <font>
      <b/>
      <sz val="14"/>
      <name val="Arial"/>
      <family val="2"/>
    </font>
    <font>
      <vertAlign val="superscript"/>
      <sz val="10"/>
      <name val="Arial"/>
      <family val="2"/>
    </font>
    <font>
      <b/>
      <u/>
      <sz val="10"/>
      <name val="Arial"/>
      <family val="2"/>
    </font>
    <font>
      <sz val="10"/>
      <color indexed="10"/>
      <name val="Arial"/>
      <family val="2"/>
    </font>
    <font>
      <sz val="8"/>
      <color indexed="10"/>
      <name val="Arial"/>
      <family val="2"/>
    </font>
    <font>
      <sz val="7"/>
      <name val="Arial"/>
      <family val="2"/>
    </font>
    <font>
      <b/>
      <sz val="8"/>
      <name val="Arial"/>
      <family val="2"/>
    </font>
    <font>
      <b/>
      <sz val="10"/>
      <color indexed="10"/>
      <name val="Arial"/>
      <family val="2"/>
    </font>
    <font>
      <b/>
      <vertAlign val="superscript"/>
      <sz val="8"/>
      <name val="Arial"/>
      <family val="2"/>
    </font>
    <font>
      <vertAlign val="superscript"/>
      <sz val="11"/>
      <name val="Arial"/>
      <family val="2"/>
    </font>
    <font>
      <i/>
      <sz val="10"/>
      <name val="Arial"/>
      <family val="2"/>
    </font>
    <font>
      <sz val="9"/>
      <color indexed="63"/>
      <name val="Arial"/>
      <family val="2"/>
    </font>
    <font>
      <sz val="14"/>
      <name val="Arial"/>
      <family val="2"/>
    </font>
    <font>
      <sz val="12"/>
      <color indexed="10"/>
      <name val="Arial"/>
      <family val="2"/>
    </font>
    <font>
      <b/>
      <i/>
      <sz val="10"/>
      <name val="Arial"/>
      <family val="2"/>
    </font>
    <font>
      <b/>
      <sz val="8"/>
      <color indexed="9"/>
      <name val="Tahoma"/>
      <family val="2"/>
    </font>
    <font>
      <sz val="8"/>
      <color indexed="9"/>
      <name val="Tahoma"/>
      <family val="2"/>
    </font>
    <font>
      <sz val="10"/>
      <color indexed="8"/>
      <name val="Arial"/>
      <family val="2"/>
    </font>
    <font>
      <b/>
      <sz val="14"/>
      <color indexed="10"/>
      <name val="Arial"/>
      <family val="2"/>
    </font>
    <font>
      <b/>
      <sz val="16"/>
      <color indexed="10"/>
      <name val="Arial"/>
      <family val="2"/>
    </font>
    <font>
      <sz val="9"/>
      <color indexed="10"/>
      <name val="Tahoma"/>
      <family val="2"/>
    </font>
    <font>
      <b/>
      <sz val="22"/>
      <name val="Arial"/>
      <family val="2"/>
    </font>
    <font>
      <b/>
      <sz val="10"/>
      <color indexed="57"/>
      <name val="Arial"/>
      <family val="2"/>
    </font>
    <font>
      <sz val="8"/>
      <color indexed="8"/>
      <name val="Arial"/>
      <family val="2"/>
    </font>
    <font>
      <b/>
      <sz val="10"/>
      <color indexed="60"/>
      <name val="Arial"/>
      <family val="2"/>
    </font>
    <font>
      <b/>
      <sz val="11"/>
      <color indexed="8"/>
      <name val="Calibri"/>
      <family val="2"/>
    </font>
    <font>
      <b/>
      <i/>
      <sz val="16"/>
      <name val="Arial"/>
      <family val="2"/>
    </font>
    <font>
      <b/>
      <i/>
      <sz val="11"/>
      <color indexed="10"/>
      <name val="Arial"/>
      <family val="2"/>
    </font>
    <font>
      <b/>
      <sz val="12"/>
      <color indexed="10"/>
      <name val="Arial"/>
      <family val="2"/>
    </font>
    <font>
      <b/>
      <sz val="16"/>
      <name val="Arial"/>
      <family val="2"/>
    </font>
    <font>
      <sz val="10"/>
      <name val="Arial"/>
      <family val="2"/>
    </font>
    <font>
      <sz val="9"/>
      <color indexed="81"/>
      <name val="Tahoma"/>
      <family val="2"/>
    </font>
    <font>
      <b/>
      <sz val="9"/>
      <color indexed="81"/>
      <name val="Tahoma"/>
      <family val="2"/>
    </font>
    <font>
      <sz val="10"/>
      <color rgb="FFFF0000"/>
      <name val="Arial"/>
      <family val="2"/>
    </font>
    <font>
      <b/>
      <vertAlign val="superscript"/>
      <sz val="14"/>
      <name val="Arial"/>
      <family val="2"/>
    </font>
    <font>
      <b/>
      <sz val="12"/>
      <color indexed="60"/>
      <name val="Arial"/>
      <family val="2"/>
    </font>
    <font>
      <sz val="10"/>
      <color rgb="FF000000"/>
      <name val="Droid Sans"/>
    </font>
    <font>
      <b/>
      <sz val="7"/>
      <name val="Comic Sans MS"/>
      <family val="4"/>
    </font>
    <font>
      <sz val="10"/>
      <color rgb="FF000000"/>
      <name val="Courier New"/>
      <family val="3"/>
    </font>
    <font>
      <b/>
      <u/>
      <sz val="7"/>
      <color indexed="12"/>
      <name val="Comic Sans MS"/>
      <family val="4"/>
    </font>
    <font>
      <sz val="10"/>
      <color indexed="12"/>
      <name val="Arial"/>
      <family val="2"/>
    </font>
    <font>
      <b/>
      <sz val="10"/>
      <name val="Comic Sans MS"/>
      <family val="4"/>
    </font>
    <font>
      <vertAlign val="superscript"/>
      <sz val="12"/>
      <name val="Arial"/>
      <family val="2"/>
    </font>
    <font>
      <b/>
      <vertAlign val="superscript"/>
      <sz val="12"/>
      <name val="Arial"/>
      <family val="2"/>
    </font>
    <font>
      <b/>
      <sz val="7"/>
      <name val="Arial"/>
      <family val="2"/>
    </font>
    <font>
      <sz val="8"/>
      <color rgb="FFFF0000"/>
      <name val="Arial"/>
      <family val="2"/>
    </font>
    <font>
      <b/>
      <sz val="10"/>
      <color rgb="FFFF0000"/>
      <name val="Arial"/>
      <family val="2"/>
    </font>
    <font>
      <sz val="10"/>
      <color rgb="FFC00000"/>
      <name val="Arial"/>
      <family val="2"/>
    </font>
    <font>
      <b/>
      <i/>
      <sz val="14"/>
      <name val="Arial"/>
      <family val="2"/>
    </font>
    <font>
      <b/>
      <i/>
      <sz val="8"/>
      <name val="Arial"/>
      <family val="2"/>
    </font>
    <font>
      <b/>
      <sz val="8"/>
      <color indexed="81"/>
      <name val="Tahoma"/>
      <family val="2"/>
    </font>
    <font>
      <b/>
      <sz val="10"/>
      <color rgb="FF0070C0"/>
      <name val="Arial"/>
      <family val="2"/>
    </font>
    <font>
      <b/>
      <sz val="8"/>
      <color rgb="FF0070C0"/>
      <name val="Arial"/>
      <family val="2"/>
    </font>
    <font>
      <b/>
      <sz val="12"/>
      <color rgb="FFFF0000"/>
      <name val="Arial"/>
      <family val="2"/>
    </font>
    <font>
      <b/>
      <sz val="14"/>
      <color rgb="FFFF0000"/>
      <name val="Arial"/>
      <family val="2"/>
    </font>
    <font>
      <u/>
      <sz val="12"/>
      <color indexed="12"/>
      <name val="Arial"/>
      <family val="2"/>
    </font>
    <font>
      <b/>
      <sz val="10"/>
      <color theme="0"/>
      <name val="Arial"/>
      <family val="2"/>
    </font>
    <font>
      <b/>
      <sz val="8"/>
      <color rgb="FFFF0000"/>
      <name val="Arial"/>
      <family val="2"/>
    </font>
    <font>
      <i/>
      <sz val="8"/>
      <name val="Arial"/>
      <family val="2"/>
    </font>
    <font>
      <sz val="10"/>
      <name val="MS Sans Serif"/>
    </font>
    <font>
      <sz val="12"/>
      <color rgb="FFFF0000"/>
      <name val="Arial"/>
      <family val="2"/>
    </font>
    <font>
      <sz val="11"/>
      <color rgb="FFFF0000"/>
      <name val="Arial"/>
      <family val="2"/>
    </font>
    <font>
      <sz val="10"/>
      <color theme="0"/>
      <name val="Arial"/>
      <family val="2"/>
    </font>
    <font>
      <sz val="9"/>
      <color rgb="FF222222"/>
      <name val="Arial"/>
      <family val="2"/>
    </font>
    <font>
      <sz val="12"/>
      <color rgb="FF222222"/>
      <name val="Arial"/>
      <family val="2"/>
    </font>
    <font>
      <sz val="10"/>
      <color rgb="FF000000"/>
      <name val="Times New Roman"/>
      <family val="1"/>
    </font>
    <font>
      <b/>
      <sz val="10"/>
      <color rgb="FF000000"/>
      <name val="Times New Roman"/>
      <family val="1"/>
    </font>
    <font>
      <u/>
      <sz val="10"/>
      <color theme="10"/>
      <name val="Arial"/>
      <family val="2"/>
    </font>
    <font>
      <strike/>
      <sz val="10"/>
      <name val="Arial"/>
      <family val="2"/>
    </font>
    <font>
      <b/>
      <sz val="9"/>
      <color rgb="FFFF0000"/>
      <name val="Arial"/>
      <family val="2"/>
    </font>
    <font>
      <b/>
      <sz val="11"/>
      <color rgb="FFFF0000"/>
      <name val="Arial"/>
      <family val="2"/>
    </font>
    <font>
      <b/>
      <u/>
      <sz val="12"/>
      <name val="Arial"/>
      <family val="2"/>
    </font>
    <font>
      <b/>
      <vertAlign val="superscript"/>
      <sz val="11"/>
      <name val="Arial"/>
      <family val="2"/>
    </font>
    <font>
      <sz val="10"/>
      <name val="Arial"/>
      <family val="2"/>
    </font>
    <font>
      <b/>
      <vertAlign val="superscript"/>
      <sz val="10"/>
      <name val="Arial"/>
      <family val="2"/>
    </font>
    <font>
      <b/>
      <u val="singleAccounting"/>
      <sz val="12"/>
      <color rgb="FFFF0000"/>
      <name val="Arial"/>
      <family val="2"/>
    </font>
    <font>
      <u val="singleAccounting"/>
      <sz val="10"/>
      <color rgb="FFFF0000"/>
      <name val="Arial"/>
      <family val="2"/>
    </font>
    <font>
      <b/>
      <u/>
      <sz val="12"/>
      <color rgb="FFFF0000"/>
      <name val="Arial"/>
      <family val="2"/>
    </font>
    <font>
      <sz val="23"/>
      <name val="Arial"/>
      <family val="2"/>
    </font>
    <font>
      <sz val="26"/>
      <name val="Arial"/>
      <family val="2"/>
    </font>
    <font>
      <sz val="16"/>
      <name val="Arial"/>
      <family val="2"/>
    </font>
    <font>
      <u/>
      <sz val="8"/>
      <color indexed="12"/>
      <name val="Arial"/>
      <family val="2"/>
    </font>
    <font>
      <sz val="10"/>
      <color theme="1"/>
      <name val="Arial"/>
      <family val="2"/>
    </font>
    <font>
      <sz val="5"/>
      <name val="Arial"/>
      <family val="2"/>
    </font>
    <font>
      <b/>
      <sz val="16"/>
      <color rgb="FFFF0000"/>
      <name val="Arial"/>
      <family val="2"/>
    </font>
    <font>
      <sz val="11"/>
      <color rgb="FF000000"/>
      <name val="Calibri"/>
      <family val="2"/>
    </font>
    <font>
      <b/>
      <sz val="11"/>
      <color rgb="FF000000"/>
      <name val="Calibri"/>
      <family val="2"/>
    </font>
    <font>
      <sz val="12"/>
      <color indexed="81"/>
      <name val="Tahoma"/>
      <family val="2"/>
    </font>
    <font>
      <sz val="14"/>
      <color indexed="81"/>
      <name val="Tahoma"/>
      <family val="2"/>
    </font>
  </fonts>
  <fills count="34">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8"/>
        <bgColor indexed="58"/>
      </patternFill>
    </fill>
    <fill>
      <patternFill patternType="solid">
        <fgColor indexed="23"/>
        <bgColor indexed="55"/>
      </patternFill>
    </fill>
    <fill>
      <patternFill patternType="solid">
        <fgColor indexed="22"/>
        <bgColor indexed="31"/>
      </patternFill>
    </fill>
    <fill>
      <patternFill patternType="solid">
        <fgColor indexed="26"/>
        <bgColor indexed="9"/>
      </patternFill>
    </fill>
    <fill>
      <patternFill patternType="solid">
        <fgColor indexed="51"/>
        <bgColor indexed="13"/>
      </patternFill>
    </fill>
    <fill>
      <patternFill patternType="solid">
        <fgColor indexed="44"/>
        <bgColor indexed="31"/>
      </patternFill>
    </fill>
    <fill>
      <patternFill patternType="solid">
        <fgColor indexed="27"/>
        <bgColor indexed="41"/>
      </patternFill>
    </fill>
    <fill>
      <patternFill patternType="solid">
        <fgColor indexed="42"/>
        <bgColor indexed="27"/>
      </patternFill>
    </fill>
    <fill>
      <patternFill patternType="solid">
        <fgColor indexed="13"/>
        <bgColor indexed="64"/>
      </patternFill>
    </fill>
    <fill>
      <patternFill patternType="solid">
        <fgColor indexed="9"/>
        <bgColor indexed="64"/>
      </patternFill>
    </fill>
    <fill>
      <patternFill patternType="solid">
        <fgColor theme="3" tint="-0.499984740745262"/>
        <bgColor indexed="64"/>
      </patternFill>
    </fill>
    <fill>
      <patternFill patternType="solid">
        <fgColor rgb="FFFFFF00"/>
        <bgColor indexed="64"/>
      </patternFill>
    </fill>
    <fill>
      <patternFill patternType="solid">
        <fgColor theme="0"/>
        <bgColor indexed="34"/>
      </patternFill>
    </fill>
    <fill>
      <patternFill patternType="solid">
        <fgColor theme="0"/>
        <bgColor indexed="26"/>
      </patternFill>
    </fill>
    <fill>
      <patternFill patternType="solid">
        <fgColor rgb="FF92D050"/>
        <bgColor indexed="64"/>
      </patternFill>
    </fill>
    <fill>
      <patternFill patternType="solid">
        <fgColor theme="1"/>
        <bgColor indexed="64"/>
      </patternFill>
    </fill>
    <fill>
      <patternFill patternType="solid">
        <fgColor theme="7"/>
        <bgColor indexed="64"/>
      </patternFill>
    </fill>
    <fill>
      <patternFill patternType="solid">
        <fgColor theme="0"/>
        <bgColor indexed="64"/>
      </patternFill>
    </fill>
    <fill>
      <patternFill patternType="solid">
        <fgColor rgb="FFFFFF00"/>
        <bgColor indexed="34"/>
      </patternFill>
    </fill>
    <fill>
      <patternFill patternType="solid">
        <fgColor indexed="51"/>
        <bgColor indexed="34"/>
      </patternFill>
    </fill>
    <fill>
      <patternFill patternType="solid">
        <fgColor indexed="22"/>
        <bgColor indexed="64"/>
      </patternFill>
    </fill>
    <fill>
      <patternFill patternType="solid">
        <fgColor rgb="FFFFFF00"/>
        <bgColor indexed="26"/>
      </patternFill>
    </fill>
    <fill>
      <patternFill patternType="solid">
        <fgColor theme="2" tint="-9.9978637043366805E-2"/>
        <bgColor indexed="64"/>
      </patternFill>
    </fill>
    <fill>
      <patternFill patternType="solid">
        <fgColor theme="0"/>
        <bgColor indexed="27"/>
      </patternFill>
    </fill>
    <fill>
      <patternFill patternType="solid">
        <fgColor theme="5"/>
        <bgColor indexed="3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499984740745262"/>
        <bgColor indexed="64"/>
      </patternFill>
    </fill>
  </fills>
  <borders count="315">
    <border>
      <left/>
      <right/>
      <top/>
      <bottom/>
      <diagonal/>
    </border>
    <border>
      <left/>
      <right/>
      <top style="thin">
        <color indexed="63"/>
      </top>
      <bottom style="double">
        <color indexed="63"/>
      </bottom>
      <diagonal/>
    </border>
    <border>
      <left style="thin">
        <color indexed="63"/>
      </left>
      <right style="thin">
        <color indexed="63"/>
      </right>
      <top style="thin">
        <color indexed="63"/>
      </top>
      <bottom style="thin">
        <color indexed="63"/>
      </bottom>
      <diagonal/>
    </border>
    <border>
      <left/>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medium">
        <color indexed="8"/>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thin">
        <color indexed="8"/>
      </right>
      <top/>
      <bottom/>
      <diagonal/>
    </border>
    <border>
      <left style="thin">
        <color indexed="8"/>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style="thin">
        <color indexed="8"/>
      </left>
      <right style="thin">
        <color indexed="8"/>
      </right>
      <top style="thin">
        <color indexed="8"/>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style="medium">
        <color indexed="63"/>
      </top>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right style="thin">
        <color indexed="63"/>
      </right>
      <top/>
      <bottom style="thin">
        <color indexed="63"/>
      </bottom>
      <diagonal/>
    </border>
    <border>
      <left style="medium">
        <color indexed="63"/>
      </left>
      <right style="thin">
        <color indexed="63"/>
      </right>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bottom style="medium">
        <color indexed="63"/>
      </bottom>
      <diagonal/>
    </border>
    <border>
      <left style="thin">
        <color indexed="63"/>
      </left>
      <right style="thin">
        <color indexed="63"/>
      </right>
      <top style="thin">
        <color indexed="63"/>
      </top>
      <bottom style="medium">
        <color indexed="63"/>
      </bottom>
      <diagonal/>
    </border>
    <border>
      <left/>
      <right style="thin">
        <color indexed="63"/>
      </right>
      <top/>
      <bottom style="medium">
        <color indexed="63"/>
      </bottom>
      <diagonal/>
    </border>
    <border>
      <left/>
      <right/>
      <top/>
      <bottom style="medium">
        <color indexed="63"/>
      </bottom>
      <diagonal/>
    </border>
    <border>
      <left style="thin">
        <color indexed="63"/>
      </left>
      <right style="medium">
        <color indexed="63"/>
      </right>
      <top style="thin">
        <color indexed="63"/>
      </top>
      <bottom style="medium">
        <color indexed="63"/>
      </bottom>
      <diagonal/>
    </border>
    <border>
      <left style="medium">
        <color indexed="63"/>
      </left>
      <right/>
      <top style="medium">
        <color indexed="63"/>
      </top>
      <bottom style="medium">
        <color indexed="63"/>
      </bottom>
      <diagonal/>
    </border>
    <border>
      <left style="medium">
        <color indexed="8"/>
      </left>
      <right style="medium">
        <color indexed="8"/>
      </right>
      <top style="medium">
        <color indexed="8"/>
      </top>
      <bottom style="medium">
        <color indexed="8"/>
      </bottom>
      <diagonal/>
    </border>
    <border>
      <left/>
      <right/>
      <top style="medium">
        <color indexed="8"/>
      </top>
      <bottom style="thin">
        <color indexed="8"/>
      </bottom>
      <diagonal/>
    </border>
    <border>
      <left/>
      <right style="thin">
        <color indexed="8"/>
      </right>
      <top/>
      <bottom style="thin">
        <color indexed="8"/>
      </bottom>
      <diagonal/>
    </border>
    <border>
      <left/>
      <right/>
      <top/>
      <bottom style="thin">
        <color indexed="63"/>
      </bottom>
      <diagonal/>
    </border>
    <border>
      <left/>
      <right/>
      <top style="thin">
        <color indexed="63"/>
      </top>
      <bottom style="thin">
        <color indexed="63"/>
      </bottom>
      <diagonal/>
    </border>
    <border>
      <left style="thin">
        <color indexed="63"/>
      </left>
      <right style="thin">
        <color indexed="63"/>
      </right>
      <top/>
      <bottom/>
      <diagonal/>
    </border>
    <border>
      <left/>
      <right/>
      <top/>
      <bottom style="double">
        <color indexed="63"/>
      </bottom>
      <diagonal/>
    </border>
    <border>
      <left style="thin">
        <color indexed="63"/>
      </left>
      <right style="thin">
        <color indexed="63"/>
      </right>
      <top style="thin">
        <color indexed="63"/>
      </top>
      <bottom style="double">
        <color indexed="63"/>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thin">
        <color indexed="8"/>
      </left>
      <right style="thin">
        <color indexed="8"/>
      </right>
      <top/>
      <bottom style="thin">
        <color indexed="8"/>
      </bottom>
      <diagonal/>
    </border>
    <border>
      <left style="medium">
        <color indexed="63"/>
      </left>
      <right/>
      <top style="medium">
        <color indexed="63"/>
      </top>
      <bottom/>
      <diagonal/>
    </border>
    <border>
      <left style="medium">
        <color indexed="63"/>
      </left>
      <right/>
      <top/>
      <bottom/>
      <diagonal/>
    </border>
    <border>
      <left style="medium">
        <color indexed="8"/>
      </left>
      <right style="medium">
        <color indexed="8"/>
      </right>
      <top/>
      <bottom style="thin">
        <color indexed="8"/>
      </bottom>
      <diagonal/>
    </border>
    <border>
      <left style="thin">
        <color indexed="8"/>
      </left>
      <right style="medium">
        <color indexed="8"/>
      </right>
      <top/>
      <bottom style="medium">
        <color indexed="8"/>
      </bottom>
      <diagonal/>
    </border>
    <border>
      <left style="medium">
        <color indexed="8"/>
      </left>
      <right style="medium">
        <color indexed="8"/>
      </right>
      <top/>
      <bottom/>
      <diagonal/>
    </border>
    <border>
      <left style="thin">
        <color indexed="8"/>
      </left>
      <right style="thin">
        <color indexed="8"/>
      </right>
      <top style="medium">
        <color indexed="8"/>
      </top>
      <bottom style="medium">
        <color indexed="8"/>
      </bottom>
      <diagonal/>
    </border>
    <border>
      <left style="medium">
        <color indexed="63"/>
      </left>
      <right style="thin">
        <color indexed="63"/>
      </right>
      <top style="medium">
        <color indexed="63"/>
      </top>
      <bottom style="medium">
        <color indexed="63"/>
      </bottom>
      <diagonal/>
    </border>
    <border>
      <left style="thin">
        <color indexed="63"/>
      </left>
      <right style="thin">
        <color indexed="63"/>
      </right>
      <top style="medium">
        <color indexed="63"/>
      </top>
      <bottom style="medium">
        <color indexed="63"/>
      </bottom>
      <diagonal/>
    </border>
    <border>
      <left style="thin">
        <color indexed="63"/>
      </left>
      <right style="medium">
        <color indexed="63"/>
      </right>
      <top style="medium">
        <color indexed="63"/>
      </top>
      <bottom style="medium">
        <color indexed="63"/>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style="medium">
        <color indexed="63"/>
      </right>
      <top style="medium">
        <color indexed="63"/>
      </top>
      <bottom style="thin">
        <color indexed="63"/>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thin">
        <color indexed="63"/>
      </left>
      <right/>
      <top style="thin">
        <color indexed="63"/>
      </top>
      <bottom style="double">
        <color indexed="63"/>
      </bottom>
      <diagonal/>
    </border>
    <border>
      <left/>
      <right style="thin">
        <color indexed="63"/>
      </right>
      <top style="medium">
        <color indexed="63"/>
      </top>
      <bottom/>
      <diagonal/>
    </border>
    <border>
      <left style="thin">
        <color indexed="63"/>
      </left>
      <right style="thin">
        <color indexed="63"/>
      </right>
      <top style="medium">
        <color indexed="63"/>
      </top>
      <bottom/>
      <diagonal/>
    </border>
    <border>
      <left/>
      <right/>
      <top style="medium">
        <color indexed="63"/>
      </top>
      <bottom/>
      <diagonal/>
    </border>
    <border>
      <left style="thin">
        <color indexed="63"/>
      </left>
      <right style="medium">
        <color indexed="63"/>
      </right>
      <top style="medium">
        <color indexed="63"/>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medium">
        <color indexed="8"/>
      </bottom>
      <diagonal/>
    </border>
    <border>
      <left style="medium">
        <color indexed="8"/>
      </left>
      <right style="thin">
        <color indexed="63"/>
      </right>
      <top style="medium">
        <color indexed="8"/>
      </top>
      <bottom style="medium">
        <color indexed="8"/>
      </bottom>
      <diagonal/>
    </border>
    <border>
      <left style="thin">
        <color indexed="63"/>
      </left>
      <right style="thin">
        <color indexed="63"/>
      </right>
      <top style="medium">
        <color indexed="8"/>
      </top>
      <bottom style="medium">
        <color indexed="8"/>
      </bottom>
      <diagonal/>
    </border>
    <border>
      <left style="thin">
        <color indexed="63"/>
      </left>
      <right style="medium">
        <color indexed="8"/>
      </right>
      <top style="medium">
        <color indexed="8"/>
      </top>
      <bottom style="medium">
        <color indexed="8"/>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style="medium">
        <color indexed="10"/>
      </right>
      <top style="medium">
        <color indexed="10"/>
      </top>
      <bottom style="thin">
        <color indexed="8"/>
      </bottom>
      <diagonal/>
    </border>
    <border>
      <left style="medium">
        <color indexed="10"/>
      </left>
      <right/>
      <top/>
      <bottom/>
      <diagonal/>
    </border>
    <border>
      <left/>
      <right style="medium">
        <color indexed="10"/>
      </right>
      <top/>
      <bottom/>
      <diagonal/>
    </border>
    <border>
      <left/>
      <right style="medium">
        <color indexed="10"/>
      </right>
      <top style="thin">
        <color indexed="8"/>
      </top>
      <bottom style="thin">
        <color indexed="8"/>
      </bottom>
      <diagonal/>
    </border>
    <border>
      <left style="medium">
        <color indexed="10"/>
      </left>
      <right style="thin">
        <color indexed="8"/>
      </right>
      <top style="thin">
        <color indexed="8"/>
      </top>
      <bottom style="thin">
        <color indexed="8"/>
      </bottom>
      <diagonal/>
    </border>
    <border>
      <left style="medium">
        <color indexed="10"/>
      </left>
      <right style="medium">
        <color indexed="10"/>
      </right>
      <top style="thin">
        <color indexed="8"/>
      </top>
      <bottom style="thin">
        <color indexed="8"/>
      </bottom>
      <diagonal/>
    </border>
    <border>
      <left style="medium">
        <color indexed="10"/>
      </left>
      <right style="medium">
        <color indexed="10"/>
      </right>
      <top/>
      <bottom/>
      <diagonal/>
    </border>
    <border>
      <left style="medium">
        <color indexed="10"/>
      </left>
      <right/>
      <top style="medium">
        <color indexed="8"/>
      </top>
      <bottom/>
      <diagonal/>
    </border>
    <border>
      <left/>
      <right style="medium">
        <color indexed="10"/>
      </right>
      <top style="medium">
        <color indexed="8"/>
      </top>
      <bottom/>
      <diagonal/>
    </border>
    <border>
      <left style="medium">
        <color indexed="10"/>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10"/>
      </left>
      <right style="medium">
        <color indexed="10"/>
      </right>
      <top style="medium">
        <color indexed="8"/>
      </top>
      <bottom style="thin">
        <color indexed="8"/>
      </bottom>
      <diagonal/>
    </border>
    <border>
      <left/>
      <right style="thin">
        <color indexed="8"/>
      </right>
      <top style="medium">
        <color indexed="8"/>
      </top>
      <bottom style="thin">
        <color indexed="8"/>
      </bottom>
      <diagonal/>
    </border>
    <border>
      <left/>
      <right/>
      <top style="thin">
        <color indexed="8"/>
      </top>
      <bottom style="thin">
        <color indexed="8"/>
      </bottom>
      <diagonal/>
    </border>
    <border>
      <left style="medium">
        <color indexed="10"/>
      </left>
      <right/>
      <top/>
      <bottom style="medium">
        <color indexed="8"/>
      </bottom>
      <diagonal/>
    </border>
    <border>
      <left/>
      <right style="medium">
        <color indexed="10"/>
      </right>
      <top/>
      <bottom style="medium">
        <color indexed="8"/>
      </bottom>
      <diagonal/>
    </border>
    <border>
      <left style="medium">
        <color indexed="10"/>
      </left>
      <right style="medium">
        <color indexed="10"/>
      </right>
      <top/>
      <bottom style="medium">
        <color indexed="8"/>
      </bottom>
      <diagonal/>
    </border>
    <border>
      <left/>
      <right style="medium">
        <color indexed="10"/>
      </right>
      <top style="thin">
        <color indexed="8"/>
      </top>
      <bottom/>
      <diagonal/>
    </border>
    <border>
      <left style="medium">
        <color indexed="10"/>
      </left>
      <right style="thin">
        <color indexed="8"/>
      </right>
      <top style="thin">
        <color indexed="8"/>
      </top>
      <bottom/>
      <diagonal/>
    </border>
    <border>
      <left style="thin">
        <color indexed="8"/>
      </left>
      <right/>
      <top style="thin">
        <color indexed="8"/>
      </top>
      <bottom/>
      <diagonal/>
    </border>
    <border>
      <left style="medium">
        <color indexed="10"/>
      </left>
      <right style="medium">
        <color indexed="10"/>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10"/>
      </left>
      <right style="medium">
        <color indexed="10"/>
      </right>
      <top style="medium">
        <color indexed="8"/>
      </top>
      <bottom style="medium">
        <color indexed="8"/>
      </bottom>
      <diagonal/>
    </border>
    <border>
      <left/>
      <right style="thin">
        <color indexed="8"/>
      </right>
      <top style="medium">
        <color indexed="8"/>
      </top>
      <bottom style="medium">
        <color indexed="8"/>
      </bottom>
      <diagonal/>
    </border>
    <border>
      <left style="medium">
        <color indexed="10"/>
      </left>
      <right style="medium">
        <color indexed="8"/>
      </right>
      <top style="medium">
        <color indexed="8"/>
      </top>
      <bottom style="medium">
        <color indexed="8"/>
      </bottom>
      <diagonal/>
    </border>
    <border>
      <left style="medium">
        <color indexed="10"/>
      </left>
      <right/>
      <top/>
      <bottom style="medium">
        <color indexed="10"/>
      </bottom>
      <diagonal/>
    </border>
    <border>
      <left/>
      <right style="medium">
        <color indexed="10"/>
      </right>
      <top/>
      <bottom style="medium">
        <color indexed="10"/>
      </bottom>
      <diagonal/>
    </border>
    <border>
      <left/>
      <right/>
      <top/>
      <bottom style="medium">
        <color indexed="10"/>
      </bottom>
      <diagonal/>
    </border>
    <border>
      <left style="medium">
        <color indexed="10"/>
      </left>
      <right style="medium">
        <color indexed="10"/>
      </right>
      <top/>
      <bottom style="medium">
        <color indexed="10"/>
      </bottom>
      <diagonal/>
    </border>
    <border>
      <left style="thin">
        <color indexed="8"/>
      </left>
      <right style="thin">
        <color indexed="8"/>
      </right>
      <top style="medium">
        <color indexed="10"/>
      </top>
      <bottom/>
      <diagonal/>
    </border>
    <border>
      <left/>
      <right/>
      <top style="thick">
        <color indexed="63"/>
      </top>
      <bottom/>
      <diagonal/>
    </border>
    <border>
      <left/>
      <right/>
      <top style="thin">
        <color indexed="63"/>
      </top>
      <bottom/>
      <diagonal/>
    </border>
    <border>
      <left style="thick">
        <color indexed="63"/>
      </left>
      <right/>
      <top style="thick">
        <color indexed="63"/>
      </top>
      <bottom style="thin">
        <color indexed="63"/>
      </bottom>
      <diagonal/>
    </border>
    <border>
      <left/>
      <right/>
      <top style="thick">
        <color indexed="63"/>
      </top>
      <bottom style="thin">
        <color indexed="63"/>
      </bottom>
      <diagonal/>
    </border>
    <border>
      <left/>
      <right style="thick">
        <color indexed="63"/>
      </right>
      <top style="thick">
        <color indexed="63"/>
      </top>
      <bottom/>
      <diagonal/>
    </border>
    <border>
      <left/>
      <right style="thick">
        <color indexed="63"/>
      </right>
      <top/>
      <bottom/>
      <diagonal/>
    </border>
    <border>
      <left style="thick">
        <color indexed="63"/>
      </left>
      <right/>
      <top/>
      <bottom/>
      <diagonal/>
    </border>
    <border>
      <left style="thick">
        <color indexed="63"/>
      </left>
      <right style="thin">
        <color indexed="63"/>
      </right>
      <top style="thick">
        <color indexed="63"/>
      </top>
      <bottom style="thin">
        <color indexed="63"/>
      </bottom>
      <diagonal/>
    </border>
    <border>
      <left style="thick">
        <color indexed="63"/>
      </left>
      <right style="thick">
        <color indexed="63"/>
      </right>
      <top style="thick">
        <color indexed="63"/>
      </top>
      <bottom/>
      <diagonal/>
    </border>
    <border>
      <left style="thick">
        <color indexed="63"/>
      </left>
      <right style="thick">
        <color indexed="63"/>
      </right>
      <top/>
      <bottom/>
      <diagonal/>
    </border>
    <border>
      <left style="thick">
        <color indexed="63"/>
      </left>
      <right style="thin">
        <color indexed="63"/>
      </right>
      <top style="thin">
        <color indexed="63"/>
      </top>
      <bottom style="thin">
        <color indexed="63"/>
      </bottom>
      <diagonal/>
    </border>
    <border>
      <left style="thick">
        <color indexed="63"/>
      </left>
      <right style="thick">
        <color indexed="63"/>
      </right>
      <top style="thin">
        <color indexed="63"/>
      </top>
      <bottom style="thin">
        <color indexed="63"/>
      </bottom>
      <diagonal/>
    </border>
    <border>
      <left style="thick">
        <color indexed="63"/>
      </left>
      <right/>
      <top style="thin">
        <color indexed="63"/>
      </top>
      <bottom style="thin">
        <color indexed="63"/>
      </bottom>
      <diagonal/>
    </border>
    <border>
      <left style="thin">
        <color indexed="63"/>
      </left>
      <right style="thick">
        <color indexed="63"/>
      </right>
      <top style="thin">
        <color indexed="63"/>
      </top>
      <bottom style="thin">
        <color indexed="63"/>
      </bottom>
      <diagonal/>
    </border>
    <border>
      <left style="thick">
        <color indexed="63"/>
      </left>
      <right style="thin">
        <color indexed="63"/>
      </right>
      <top style="thin">
        <color indexed="63"/>
      </top>
      <bottom style="thick">
        <color indexed="8"/>
      </bottom>
      <diagonal/>
    </border>
    <border>
      <left style="thick">
        <color indexed="63"/>
      </left>
      <right style="thick">
        <color indexed="63"/>
      </right>
      <top style="thin">
        <color indexed="63"/>
      </top>
      <bottom style="thick">
        <color indexed="8"/>
      </bottom>
      <diagonal/>
    </border>
    <border>
      <left style="thick">
        <color indexed="63"/>
      </left>
      <right style="thin">
        <color indexed="63"/>
      </right>
      <top/>
      <bottom style="thin">
        <color indexed="63"/>
      </bottom>
      <diagonal/>
    </border>
    <border>
      <left style="thick">
        <color indexed="63"/>
      </left>
      <right style="thin">
        <color indexed="63"/>
      </right>
      <top style="thin">
        <color indexed="63"/>
      </top>
      <bottom/>
      <diagonal/>
    </border>
    <border>
      <left style="thick">
        <color indexed="63"/>
      </left>
      <right/>
      <top style="thick">
        <color indexed="63"/>
      </top>
      <bottom style="thick">
        <color indexed="63"/>
      </bottom>
      <diagonal/>
    </border>
    <border>
      <left style="thick">
        <color indexed="63"/>
      </left>
      <right/>
      <top style="thin">
        <color indexed="63"/>
      </top>
      <bottom style="thick">
        <color indexed="63"/>
      </bottom>
      <diagonal/>
    </border>
    <border>
      <left/>
      <right style="thick">
        <color indexed="63"/>
      </right>
      <top/>
      <bottom style="thick">
        <color indexed="63"/>
      </bottom>
      <diagonal/>
    </border>
    <border>
      <left style="thick">
        <color indexed="63"/>
      </left>
      <right/>
      <top/>
      <bottom style="thick">
        <color indexed="63"/>
      </bottom>
      <diagonal/>
    </border>
    <border>
      <left/>
      <right/>
      <top/>
      <bottom style="thick">
        <color indexed="63"/>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3"/>
      </left>
      <right style="thin">
        <color indexed="63"/>
      </right>
      <top/>
      <bottom/>
      <diagonal/>
    </border>
    <border>
      <left/>
      <right style="thin">
        <color indexed="64"/>
      </right>
      <top style="medium">
        <color indexed="8"/>
      </top>
      <bottom style="medium">
        <color indexed="8"/>
      </bottom>
      <diagonal/>
    </border>
    <border>
      <left style="medium">
        <color indexed="64"/>
      </left>
      <right style="thin">
        <color indexed="8"/>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
      <left style="medium">
        <color indexed="10"/>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3"/>
      </left>
      <right style="thin">
        <color indexed="63"/>
      </right>
      <top style="medium">
        <color indexed="64"/>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3"/>
      </left>
      <right style="medium">
        <color indexed="63"/>
      </right>
      <top style="medium">
        <color indexed="63"/>
      </top>
      <bottom style="thin">
        <color indexed="64"/>
      </bottom>
      <diagonal/>
    </border>
    <border>
      <left/>
      <right style="thin">
        <color indexed="63"/>
      </right>
      <top/>
      <bottom/>
      <diagonal/>
    </border>
    <border>
      <left style="thin">
        <color indexed="63"/>
      </left>
      <right/>
      <top/>
      <bottom/>
      <diagonal/>
    </border>
    <border>
      <left style="medium">
        <color indexed="63"/>
      </left>
      <right style="thin">
        <color indexed="63"/>
      </right>
      <top style="thin">
        <color indexed="63"/>
      </top>
      <bottom/>
      <diagonal/>
    </border>
    <border>
      <left style="medium">
        <color indexed="8"/>
      </left>
      <right style="thin">
        <color indexed="64"/>
      </right>
      <top/>
      <bottom/>
      <diagonal/>
    </border>
    <border>
      <left style="medium">
        <color indexed="8"/>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3"/>
      </right>
      <top style="medium">
        <color indexed="63"/>
      </top>
      <bottom style="medium">
        <color indexed="63"/>
      </bottom>
      <diagonal/>
    </border>
    <border>
      <left/>
      <right style="medium">
        <color indexed="64"/>
      </right>
      <top style="thin">
        <color indexed="63"/>
      </top>
      <bottom style="thin">
        <color indexed="63"/>
      </bottom>
      <diagonal/>
    </border>
    <border>
      <left style="medium">
        <color indexed="64"/>
      </left>
      <right style="thin">
        <color indexed="63"/>
      </right>
      <top style="medium">
        <color indexed="63"/>
      </top>
      <bottom style="thin">
        <color indexed="63"/>
      </bottom>
      <diagonal/>
    </border>
    <border>
      <left style="medium">
        <color indexed="64"/>
      </left>
      <right style="thin">
        <color indexed="63"/>
      </right>
      <top style="thin">
        <color indexed="63"/>
      </top>
      <bottom style="thin">
        <color indexed="63"/>
      </bottom>
      <diagonal/>
    </border>
    <border>
      <left style="medium">
        <color indexed="64"/>
      </left>
      <right style="thin">
        <color indexed="63"/>
      </right>
      <top/>
      <bottom/>
      <diagonal/>
    </border>
    <border>
      <left style="thin">
        <color indexed="63"/>
      </left>
      <right style="medium">
        <color indexed="64"/>
      </right>
      <top style="thin">
        <color indexed="63"/>
      </top>
      <bottom style="thin">
        <color indexed="63"/>
      </bottom>
      <diagonal/>
    </border>
    <border>
      <left style="medium">
        <color indexed="64"/>
      </left>
      <right style="thin">
        <color indexed="63"/>
      </right>
      <top style="thin">
        <color indexed="63"/>
      </top>
      <bottom style="double">
        <color indexed="63"/>
      </bottom>
      <diagonal/>
    </border>
    <border>
      <left style="thin">
        <color indexed="63"/>
      </left>
      <right style="medium">
        <color indexed="64"/>
      </right>
      <top style="thin">
        <color indexed="63"/>
      </top>
      <bottom/>
      <diagonal/>
    </border>
    <border>
      <left style="medium">
        <color indexed="64"/>
      </left>
      <right/>
      <top/>
      <bottom style="thin">
        <color indexed="63"/>
      </bottom>
      <diagonal/>
    </border>
    <border>
      <left/>
      <right style="medium">
        <color indexed="64"/>
      </right>
      <top/>
      <bottom style="thin">
        <color indexed="63"/>
      </bottom>
      <diagonal/>
    </border>
    <border>
      <left style="medium">
        <color indexed="64"/>
      </left>
      <right/>
      <top style="thin">
        <color indexed="63"/>
      </top>
      <bottom style="thin">
        <color indexed="63"/>
      </bottom>
      <diagonal/>
    </border>
    <border>
      <left style="thin">
        <color indexed="63"/>
      </left>
      <right style="medium">
        <color indexed="64"/>
      </right>
      <top/>
      <bottom style="thin">
        <color indexed="63"/>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3"/>
      </bottom>
      <diagonal/>
    </border>
    <border>
      <left style="medium">
        <color indexed="64"/>
      </left>
      <right style="medium">
        <color indexed="64"/>
      </right>
      <top style="thin">
        <color indexed="63"/>
      </top>
      <bottom style="thin">
        <color indexed="63"/>
      </bottom>
      <diagonal/>
    </border>
    <border>
      <left style="medium">
        <color indexed="64"/>
      </left>
      <right style="medium">
        <color indexed="64"/>
      </right>
      <top style="thin">
        <color indexed="63"/>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3"/>
      </right>
      <top/>
      <bottom style="thin">
        <color indexed="63"/>
      </bottom>
      <diagonal/>
    </border>
    <border>
      <left style="medium">
        <color indexed="64"/>
      </left>
      <right style="thin">
        <color indexed="63"/>
      </right>
      <top style="medium">
        <color indexed="64"/>
      </top>
      <bottom style="medium">
        <color indexed="64"/>
      </bottom>
      <diagonal/>
    </border>
    <border>
      <left style="thin">
        <color indexed="63"/>
      </left>
      <right/>
      <top style="thin">
        <color indexed="63"/>
      </top>
      <bottom/>
      <diagonal/>
    </border>
    <border>
      <left style="thin">
        <color indexed="63"/>
      </left>
      <right/>
      <top style="medium">
        <color indexed="63"/>
      </top>
      <bottom style="thin">
        <color indexed="63"/>
      </bottom>
      <diagonal/>
    </border>
    <border>
      <left style="thin">
        <color indexed="63"/>
      </left>
      <right/>
      <top style="medium">
        <color indexed="8"/>
      </top>
      <bottom style="medium">
        <color indexed="8"/>
      </bottom>
      <diagonal/>
    </border>
    <border>
      <left style="medium">
        <color indexed="64"/>
      </left>
      <right style="thin">
        <color indexed="63"/>
      </right>
      <top style="medium">
        <color indexed="64"/>
      </top>
      <bottom style="thin">
        <color indexed="63"/>
      </bottom>
      <diagonal/>
    </border>
    <border>
      <left style="thin">
        <color indexed="63"/>
      </left>
      <right style="thin">
        <color indexed="63"/>
      </right>
      <top style="medium">
        <color indexed="64"/>
      </top>
      <bottom style="double">
        <color indexed="63"/>
      </bottom>
      <diagonal/>
    </border>
    <border>
      <left style="thin">
        <color indexed="63"/>
      </left>
      <right style="thin">
        <color indexed="63"/>
      </right>
      <top style="medium">
        <color indexed="64"/>
      </top>
      <bottom style="thin">
        <color indexed="63"/>
      </bottom>
      <diagonal/>
    </border>
    <border>
      <left style="medium">
        <color indexed="64"/>
      </left>
      <right/>
      <top style="thin">
        <color indexed="63"/>
      </top>
      <bottom style="double">
        <color indexed="63"/>
      </bottom>
      <diagonal/>
    </border>
    <border>
      <left style="thin">
        <color indexed="63"/>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thin">
        <color indexed="63"/>
      </top>
      <bottom style="double">
        <color indexed="63"/>
      </bottom>
      <diagonal/>
    </border>
    <border>
      <left style="medium">
        <color indexed="64"/>
      </left>
      <right style="thin">
        <color indexed="64"/>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3"/>
      </right>
      <top style="double">
        <color indexed="63"/>
      </top>
      <bottom style="thin">
        <color indexed="63"/>
      </bottom>
      <diagonal/>
    </border>
    <border>
      <left/>
      <right style="thin">
        <color indexed="64"/>
      </right>
      <top style="thin">
        <color indexed="63"/>
      </top>
      <bottom style="thin">
        <color indexed="63"/>
      </bottom>
      <diagonal/>
    </border>
    <border>
      <left/>
      <right style="medium">
        <color indexed="64"/>
      </right>
      <top/>
      <bottom style="double">
        <color indexed="63"/>
      </bottom>
      <diagonal/>
    </border>
    <border>
      <left/>
      <right style="thin">
        <color indexed="63"/>
      </right>
      <top style="thin">
        <color indexed="63"/>
      </top>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3"/>
      </right>
      <top style="thin">
        <color indexed="63"/>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3"/>
      </top>
      <bottom style="medium">
        <color indexed="6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3"/>
      </right>
      <top style="medium">
        <color indexed="63"/>
      </top>
      <bottom style="medium">
        <color indexed="63"/>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8"/>
      </left>
      <right/>
      <top/>
      <bottom style="medium">
        <color indexed="64"/>
      </bottom>
      <diagonal/>
    </border>
    <border>
      <left/>
      <right style="thin">
        <color auto="1"/>
      </right>
      <top/>
      <bottom/>
      <diagonal/>
    </border>
    <border>
      <left/>
      <right style="thin">
        <color indexed="63"/>
      </right>
      <top style="thin">
        <color indexed="63"/>
      </top>
      <bottom style="double">
        <color indexed="63"/>
      </bottom>
      <diagonal/>
    </border>
    <border>
      <left/>
      <right style="thick">
        <color auto="1"/>
      </right>
      <top/>
      <bottom/>
      <diagonal/>
    </border>
    <border>
      <left style="thin">
        <color indexed="63"/>
      </left>
      <right style="thick">
        <color auto="1"/>
      </right>
      <top style="thin">
        <color indexed="63"/>
      </top>
      <bottom style="thin">
        <color indexed="63"/>
      </bottom>
      <diagonal/>
    </border>
    <border>
      <left style="thin">
        <color indexed="64"/>
      </left>
      <right style="thick">
        <color auto="1"/>
      </right>
      <top style="thin">
        <color indexed="64"/>
      </top>
      <bottom style="thin">
        <color indexed="64"/>
      </bottom>
      <diagonal/>
    </border>
    <border>
      <left/>
      <right style="thick">
        <color auto="1"/>
      </right>
      <top/>
      <bottom style="thin">
        <color indexed="63"/>
      </bottom>
      <diagonal/>
    </border>
    <border>
      <left/>
      <right style="thick">
        <color auto="1"/>
      </right>
      <top style="medium">
        <color indexed="64"/>
      </top>
      <bottom/>
      <diagonal/>
    </border>
    <border>
      <left style="thin">
        <color indexed="8"/>
      </left>
      <right style="thick">
        <color auto="1"/>
      </right>
      <top style="thin">
        <color indexed="8"/>
      </top>
      <bottom style="thin">
        <color indexed="8"/>
      </bottom>
      <diagonal/>
    </border>
    <border>
      <left/>
      <right style="thick">
        <color auto="1"/>
      </right>
      <top/>
      <bottom style="medium">
        <color indexed="64"/>
      </bottom>
      <diagonal/>
    </border>
    <border>
      <left style="thin">
        <color indexed="63"/>
      </left>
      <right style="thick">
        <color auto="1"/>
      </right>
      <top/>
      <bottom style="thin">
        <color indexed="63"/>
      </bottom>
      <diagonal/>
    </border>
    <border>
      <left/>
      <right style="thick">
        <color auto="1"/>
      </right>
      <top style="medium">
        <color indexed="64"/>
      </top>
      <bottom style="medium">
        <color indexed="64"/>
      </bottom>
      <diagonal/>
    </border>
    <border>
      <left style="thin">
        <color indexed="63"/>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auto="1"/>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ck">
        <color auto="1"/>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3"/>
      </left>
      <right style="thick">
        <color auto="1"/>
      </right>
      <top style="thin">
        <color indexed="63"/>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3"/>
      </left>
      <right style="medium">
        <color indexed="63"/>
      </right>
      <top/>
      <bottom style="thin">
        <color indexed="63"/>
      </bottom>
      <diagonal/>
    </border>
    <border>
      <left style="medium">
        <color indexed="64"/>
      </left>
      <right style="thin">
        <color indexed="63"/>
      </right>
      <top style="thin">
        <color indexed="63"/>
      </top>
      <bottom/>
      <diagonal/>
    </border>
    <border>
      <left style="medium">
        <color indexed="63"/>
      </left>
      <right style="thin">
        <color indexed="63"/>
      </right>
      <top style="thin">
        <color indexed="64"/>
      </top>
      <bottom style="double">
        <color indexed="64"/>
      </bottom>
      <diagonal/>
    </border>
    <border>
      <left style="thin">
        <color indexed="63"/>
      </left>
      <right style="thin">
        <color indexed="63"/>
      </right>
      <top style="thin">
        <color indexed="64"/>
      </top>
      <bottom style="double">
        <color indexed="64"/>
      </bottom>
      <diagonal/>
    </border>
    <border>
      <left style="thin">
        <color indexed="63"/>
      </left>
      <right/>
      <top style="thin">
        <color indexed="64"/>
      </top>
      <bottom style="double">
        <color indexed="64"/>
      </bottom>
      <diagonal/>
    </border>
    <border>
      <left style="medium">
        <color indexed="64"/>
      </left>
      <right style="thin">
        <color indexed="63"/>
      </right>
      <top style="thin">
        <color indexed="64"/>
      </top>
      <bottom style="double">
        <color indexed="64"/>
      </bottom>
      <diagonal/>
    </border>
    <border>
      <left style="thin">
        <color indexed="63"/>
      </left>
      <right style="medium">
        <color indexed="63"/>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4"/>
      </bottom>
      <diagonal/>
    </border>
    <border>
      <left style="thin">
        <color indexed="63"/>
      </left>
      <right style="thin">
        <color indexed="63"/>
      </right>
      <top/>
      <bottom style="double">
        <color indexed="63"/>
      </bottom>
      <diagonal/>
    </border>
    <border>
      <left style="thin">
        <color indexed="63"/>
      </left>
      <right/>
      <top style="thin">
        <color indexed="63"/>
      </top>
      <bottom style="thin">
        <color indexed="64"/>
      </bottom>
      <diagonal/>
    </border>
    <border>
      <left style="medium">
        <color indexed="64"/>
      </left>
      <right style="thin">
        <color indexed="63"/>
      </right>
      <top style="thin">
        <color indexed="63"/>
      </top>
      <bottom style="medium">
        <color indexed="64"/>
      </bottom>
      <diagonal/>
    </border>
    <border>
      <left style="thin">
        <color indexed="63"/>
      </left>
      <right style="thin">
        <color indexed="63"/>
      </right>
      <top style="thin">
        <color indexed="63"/>
      </top>
      <bottom style="medium">
        <color indexed="64"/>
      </bottom>
      <diagonal/>
    </border>
    <border>
      <left style="thin">
        <color indexed="63"/>
      </left>
      <right/>
      <top style="medium">
        <color indexed="64"/>
      </top>
      <bottom style="thin">
        <color indexed="63"/>
      </bottom>
      <diagonal/>
    </border>
    <border>
      <left style="thin">
        <color indexed="63"/>
      </left>
      <right/>
      <top style="thin">
        <color indexed="63"/>
      </top>
      <bottom style="medium">
        <color indexed="64"/>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3"/>
      </left>
      <right style="medium">
        <color indexed="63"/>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auto="1"/>
      </bottom>
      <diagonal/>
    </border>
    <border>
      <left/>
      <right/>
      <top style="thin">
        <color indexed="8"/>
      </top>
      <bottom/>
      <diagonal/>
    </border>
  </borders>
  <cellStyleXfs count="69">
    <xf numFmtId="0" fontId="0" fillId="0" borderId="0"/>
    <xf numFmtId="0" fontId="3" fillId="0" borderId="0" applyNumberFormat="0" applyFill="0" applyBorder="0" applyAlignment="0" applyProtection="0"/>
    <xf numFmtId="165" fontId="3" fillId="0" borderId="0" applyFill="0" applyBorder="0" applyAlignment="0" applyProtection="0"/>
    <xf numFmtId="166" fontId="3" fillId="0" borderId="0" applyFill="0" applyBorder="0" applyAlignment="0" applyProtection="0"/>
    <xf numFmtId="167" fontId="3"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44" fontId="2" fillId="0" borderId="0" applyFont="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 fillId="0" borderId="0"/>
    <xf numFmtId="0" fontId="3" fillId="0" borderId="0" applyNumberFormat="0" applyFill="0" applyBorder="0" applyAlignment="0" applyProtection="0"/>
    <xf numFmtId="170" fontId="3" fillId="0" borderId="0" applyFill="0" applyBorder="0" applyAlignment="0" applyProtection="0"/>
    <xf numFmtId="168"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9" fontId="2" fillId="0" borderId="0" applyFont="0" applyFill="0" applyBorder="0" applyAlignment="0" applyProtection="0"/>
    <xf numFmtId="171" fontId="46" fillId="0" borderId="0" applyFill="0" applyBorder="0" applyAlignment="0" applyProtection="0"/>
    <xf numFmtId="0" fontId="3" fillId="0" borderId="1" applyNumberFormat="0" applyFill="0" applyAlignment="0" applyProtection="0"/>
    <xf numFmtId="169" fontId="46" fillId="0" borderId="0" applyFill="0" applyBorder="0" applyAlignment="0" applyProtection="0"/>
    <xf numFmtId="169" fontId="46" fillId="0" borderId="0" applyFill="0" applyBorder="0" applyAlignment="0" applyProtection="0"/>
    <xf numFmtId="172"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95" fontId="2" fillId="0" borderId="0" applyFont="0" applyFill="0" applyBorder="0" applyAlignment="0" applyProtection="0"/>
    <xf numFmtId="0" fontId="6" fillId="0" borderId="0" applyNumberFormat="0" applyFill="0" applyBorder="0" applyAlignment="0" applyProtection="0">
      <alignment vertical="top"/>
      <protection locked="0"/>
    </xf>
    <xf numFmtId="168" fontId="2" fillId="0" borderId="0" applyFill="0" applyBorder="0" applyAlignment="0" applyProtection="0"/>
    <xf numFmtId="169" fontId="2" fillId="0" borderId="0" applyFill="0" applyBorder="0" applyAlignment="0" applyProtection="0"/>
    <xf numFmtId="171" fontId="2" fillId="0" borderId="0" applyFill="0" applyBorder="0" applyAlignment="0" applyProtection="0"/>
    <xf numFmtId="9" fontId="2" fillId="0" borderId="0" applyFont="0" applyFill="0" applyBorder="0" applyAlignment="0" applyProtection="0"/>
    <xf numFmtId="42" fontId="2"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2" fillId="0" borderId="0"/>
    <xf numFmtId="169" fontId="2" fillId="0" borderId="0" applyFill="0" applyBorder="0" applyAlignment="0" applyProtection="0"/>
    <xf numFmtId="171"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9" fontId="2" fillId="0" borderId="0" applyFill="0" applyBorder="0" applyAlignment="0" applyProtection="0"/>
    <xf numFmtId="168" fontId="2" fillId="0" borderId="0" applyFill="0" applyBorder="0" applyAlignment="0" applyProtection="0"/>
    <xf numFmtId="44" fontId="2" fillId="0" borderId="0" applyFont="0" applyFill="0" applyBorder="0" applyAlignment="0" applyProtection="0"/>
    <xf numFmtId="0" fontId="89" fillId="0" borderId="0"/>
    <xf numFmtId="9" fontId="2" fillId="0" borderId="0" applyFont="0" applyFill="0" applyBorder="0" applyAlignment="0" applyProtection="0"/>
    <xf numFmtId="0" fontId="2" fillId="0" borderId="0"/>
    <xf numFmtId="169"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889">
    <xf numFmtId="0" fontId="0" fillId="0" borderId="0" xfId="0"/>
    <xf numFmtId="0" fontId="5" fillId="0" borderId="0" xfId="0" applyFont="1"/>
    <xf numFmtId="0" fontId="7" fillId="0" borderId="0" xfId="0" applyFont="1"/>
    <xf numFmtId="0" fontId="8" fillId="0" borderId="0" xfId="0" applyFont="1"/>
    <xf numFmtId="0" fontId="0" fillId="0" borderId="0" xfId="0" applyAlignment="1">
      <alignment horizontal="center"/>
    </xf>
    <xf numFmtId="0" fontId="0" fillId="2" borderId="4" xfId="0" applyFill="1" applyBorder="1" applyProtection="1">
      <protection locked="0"/>
    </xf>
    <xf numFmtId="171" fontId="0" fillId="2" borderId="4" xfId="0" applyNumberFormat="1" applyFill="1" applyBorder="1" applyProtection="1">
      <protection locked="0"/>
    </xf>
    <xf numFmtId="169" fontId="46" fillId="0" borderId="0" xfId="37" applyFill="1" applyBorder="1" applyAlignment="1" applyProtection="1"/>
    <xf numFmtId="0" fontId="0" fillId="2" borderId="4" xfId="0" applyFill="1" applyBorder="1" applyAlignment="1" applyProtection="1">
      <alignment horizontal="center"/>
      <protection locked="0"/>
    </xf>
    <xf numFmtId="169" fontId="8" fillId="0" borderId="0" xfId="0" applyNumberFormat="1" applyFont="1"/>
    <xf numFmtId="169" fontId="0" fillId="0" borderId="0" xfId="0" applyNumberFormat="1"/>
    <xf numFmtId="0" fontId="0" fillId="0" borderId="4" xfId="0" applyBorder="1"/>
    <xf numFmtId="0" fontId="8" fillId="0" borderId="0" xfId="0" applyFont="1" applyAlignment="1">
      <alignment horizontal="right"/>
    </xf>
    <xf numFmtId="169" fontId="8" fillId="0" borderId="0" xfId="37" applyFont="1" applyFill="1" applyBorder="1" applyAlignment="1" applyProtection="1"/>
    <xf numFmtId="0" fontId="3" fillId="0" borderId="0" xfId="0" applyFont="1"/>
    <xf numFmtId="168" fontId="0" fillId="0" borderId="0" xfId="0" applyNumberFormat="1"/>
    <xf numFmtId="168" fontId="0" fillId="0" borderId="0" xfId="0" applyNumberFormat="1" applyAlignment="1">
      <alignment horizontal="center"/>
    </xf>
    <xf numFmtId="0" fontId="0" fillId="4" borderId="0" xfId="0" applyFill="1"/>
    <xf numFmtId="0" fontId="0" fillId="0" borderId="0" xfId="0" applyProtection="1">
      <protection locked="0"/>
    </xf>
    <xf numFmtId="1" fontId="0" fillId="0" borderId="0" xfId="0" applyNumberFormat="1"/>
    <xf numFmtId="0" fontId="8" fillId="2" borderId="4" xfId="0" applyFont="1" applyFill="1" applyBorder="1" applyAlignment="1" applyProtection="1">
      <alignment horizontal="center"/>
      <protection locked="0"/>
    </xf>
    <xf numFmtId="169" fontId="46" fillId="2" borderId="4" xfId="37" applyFill="1" applyBorder="1" applyAlignment="1" applyProtection="1">
      <protection locked="0"/>
    </xf>
    <xf numFmtId="171" fontId="0" fillId="2" borderId="0" xfId="0" applyNumberFormat="1" applyFill="1" applyProtection="1">
      <protection locked="0"/>
    </xf>
    <xf numFmtId="0" fontId="9" fillId="0" borderId="0" xfId="0" applyFont="1"/>
    <xf numFmtId="169" fontId="46" fillId="3" borderId="4" xfId="37" applyFill="1" applyBorder="1" applyAlignment="1" applyProtection="1"/>
    <xf numFmtId="0" fontId="0" fillId="0" borderId="0" xfId="0" applyAlignment="1">
      <alignment horizontal="right"/>
    </xf>
    <xf numFmtId="170" fontId="8" fillId="0" borderId="0" xfId="29" applyNumberFormat="1" applyFont="1" applyFill="1" applyBorder="1" applyAlignment="1" applyProtection="1"/>
    <xf numFmtId="0" fontId="6" fillId="0" borderId="0" xfId="18" applyNumberFormat="1" applyFill="1" applyBorder="1" applyAlignment="1" applyProtection="1"/>
    <xf numFmtId="1" fontId="0" fillId="2" borderId="10" xfId="0" applyNumberFormat="1" applyFill="1" applyBorder="1" applyAlignment="1" applyProtection="1">
      <alignment horizontal="center"/>
      <protection locked="0"/>
    </xf>
    <xf numFmtId="171" fontId="0" fillId="2" borderId="11" xfId="0" applyNumberFormat="1" applyFill="1" applyBorder="1" applyAlignment="1" applyProtection="1">
      <alignment horizontal="center"/>
      <protection locked="0"/>
    </xf>
    <xf numFmtId="1" fontId="0" fillId="0" borderId="11" xfId="0" applyNumberFormat="1" applyBorder="1" applyAlignment="1">
      <alignment horizontal="center"/>
    </xf>
    <xf numFmtId="1" fontId="0" fillId="2" borderId="11" xfId="0" applyNumberFormat="1" applyFill="1" applyBorder="1" applyAlignment="1" applyProtection="1">
      <alignment horizontal="center"/>
      <protection locked="0"/>
    </xf>
    <xf numFmtId="1" fontId="0" fillId="0" borderId="12" xfId="0" applyNumberFormat="1" applyBorder="1" applyAlignment="1">
      <alignment horizontal="center"/>
    </xf>
    <xf numFmtId="0" fontId="0" fillId="3" borderId="4" xfId="0" applyFill="1" applyBorder="1" applyAlignment="1">
      <alignment horizontal="center"/>
    </xf>
    <xf numFmtId="0" fontId="12" fillId="0" borderId="0" xfId="0" applyFont="1" applyAlignment="1">
      <alignment horizontal="right"/>
    </xf>
    <xf numFmtId="173" fontId="46" fillId="2" borderId="8" xfId="5" applyNumberFormat="1" applyFill="1" applyBorder="1" applyAlignment="1" applyProtection="1">
      <protection locked="0"/>
    </xf>
    <xf numFmtId="173" fontId="0" fillId="0" borderId="0" xfId="0" applyNumberFormat="1"/>
    <xf numFmtId="171" fontId="0" fillId="2" borderId="4" xfId="0" applyNumberFormat="1" applyFill="1" applyBorder="1" applyAlignment="1" applyProtection="1">
      <alignment horizontal="center"/>
      <protection locked="0"/>
    </xf>
    <xf numFmtId="173" fontId="46" fillId="0" borderId="0" xfId="5" applyNumberFormat="1" applyFill="1" applyBorder="1" applyAlignment="1" applyProtection="1"/>
    <xf numFmtId="173" fontId="46" fillId="2" borderId="4" xfId="5" applyNumberFormat="1" applyFill="1" applyBorder="1" applyAlignment="1" applyProtection="1">
      <protection locked="0"/>
    </xf>
    <xf numFmtId="173" fontId="46" fillId="3" borderId="8" xfId="5" applyNumberFormat="1" applyFill="1" applyBorder="1" applyAlignment="1" applyProtection="1"/>
    <xf numFmtId="1" fontId="0" fillId="2" borderId="4" xfId="0" applyNumberFormat="1" applyFill="1" applyBorder="1" applyAlignment="1" applyProtection="1">
      <alignment horizontal="center"/>
      <protection locked="0"/>
    </xf>
    <xf numFmtId="0" fontId="0" fillId="2" borderId="0" xfId="0" applyFill="1"/>
    <xf numFmtId="0" fontId="0" fillId="2" borderId="0" xfId="0" applyFill="1" applyAlignment="1">
      <alignment horizontal="right"/>
    </xf>
    <xf numFmtId="173" fontId="0" fillId="2" borderId="0" xfId="0" applyNumberFormat="1" applyFill="1"/>
    <xf numFmtId="0" fontId="0" fillId="2" borderId="0" xfId="0" applyFill="1" applyAlignment="1">
      <alignment horizontal="center"/>
    </xf>
    <xf numFmtId="173" fontId="46" fillId="2" borderId="8" xfId="5" applyNumberFormat="1" applyFill="1" applyBorder="1" applyAlignment="1" applyProtection="1"/>
    <xf numFmtId="173" fontId="46" fillId="2" borderId="0" xfId="5" applyNumberFormat="1" applyFill="1" applyBorder="1" applyAlignment="1" applyProtection="1"/>
    <xf numFmtId="0" fontId="0" fillId="2" borderId="4" xfId="0" applyFill="1" applyBorder="1" applyAlignment="1">
      <alignment horizontal="center"/>
    </xf>
    <xf numFmtId="0" fontId="0" fillId="0" borderId="4" xfId="0" applyBorder="1" applyAlignment="1">
      <alignment horizontal="center"/>
    </xf>
    <xf numFmtId="2" fontId="0" fillId="0" borderId="0" xfId="0" applyNumberFormat="1" applyAlignment="1">
      <alignment horizontal="right"/>
    </xf>
    <xf numFmtId="0" fontId="0" fillId="0" borderId="13" xfId="0" applyBorder="1"/>
    <xf numFmtId="0" fontId="13" fillId="0" borderId="0" xfId="0" applyFont="1"/>
    <xf numFmtId="0" fontId="0" fillId="0" borderId="14" xfId="0" applyBorder="1" applyAlignment="1">
      <alignment horizontal="right"/>
    </xf>
    <xf numFmtId="168" fontId="0" fillId="0" borderId="4" xfId="0" applyNumberFormat="1" applyBorder="1" applyAlignment="1">
      <alignment horizontal="center"/>
    </xf>
    <xf numFmtId="171" fontId="0" fillId="3" borderId="8" xfId="0" applyNumberFormat="1" applyFill="1" applyBorder="1" applyAlignment="1">
      <alignment horizontal="center"/>
    </xf>
    <xf numFmtId="174" fontId="15" fillId="0" borderId="4" xfId="5" applyNumberFormat="1" applyFont="1" applyFill="1" applyBorder="1" applyAlignment="1" applyProtection="1">
      <alignment horizontal="center"/>
    </xf>
    <xf numFmtId="168" fontId="46" fillId="0" borderId="0" xfId="5" applyFill="1" applyBorder="1" applyAlignment="1" applyProtection="1"/>
    <xf numFmtId="1" fontId="0" fillId="0" borderId="0" xfId="0" applyNumberFormat="1" applyAlignment="1">
      <alignment horizontal="center"/>
    </xf>
    <xf numFmtId="2" fontId="0" fillId="0" borderId="0" xfId="0" applyNumberFormat="1"/>
    <xf numFmtId="2" fontId="0" fillId="0" borderId="4" xfId="0" applyNumberFormat="1" applyBorder="1" applyAlignment="1">
      <alignment horizontal="center"/>
    </xf>
    <xf numFmtId="0" fontId="8" fillId="2" borderId="15" xfId="0" applyFont="1" applyFill="1" applyBorder="1" applyAlignment="1">
      <alignment horizontal="left"/>
    </xf>
    <xf numFmtId="0" fontId="0" fillId="2" borderId="16" xfId="0" applyFill="1" applyBorder="1"/>
    <xf numFmtId="0" fontId="0" fillId="2" borderId="17" xfId="0" applyFill="1" applyBorder="1"/>
    <xf numFmtId="0" fontId="0" fillId="2" borderId="18" xfId="0" applyFill="1" applyBorder="1" applyAlignment="1">
      <alignment horizontal="right"/>
    </xf>
    <xf numFmtId="2" fontId="0" fillId="2" borderId="0" xfId="0" applyNumberFormat="1" applyFill="1" applyAlignment="1">
      <alignment horizontal="right"/>
    </xf>
    <xf numFmtId="0" fontId="0" fillId="2" borderId="19" xfId="0" applyFill="1" applyBorder="1"/>
    <xf numFmtId="2" fontId="0" fillId="2" borderId="0" xfId="0" applyNumberFormat="1" applyFill="1" applyAlignment="1">
      <alignment horizontal="center"/>
    </xf>
    <xf numFmtId="0" fontId="5" fillId="2" borderId="20" xfId="0" applyFont="1" applyFill="1" applyBorder="1" applyAlignment="1">
      <alignment horizontal="right"/>
    </xf>
    <xf numFmtId="2" fontId="16" fillId="2" borderId="21" xfId="0" applyNumberFormat="1" applyFont="1" applyFill="1" applyBorder="1"/>
    <xf numFmtId="2" fontId="16" fillId="2" borderId="21" xfId="0" applyNumberFormat="1" applyFont="1" applyFill="1" applyBorder="1" applyAlignment="1">
      <alignment horizontal="center"/>
    </xf>
    <xf numFmtId="0" fontId="0" fillId="2" borderId="22" xfId="0" applyFill="1" applyBorder="1"/>
    <xf numFmtId="0" fontId="0" fillId="2" borderId="23" xfId="0" applyFill="1" applyBorder="1" applyProtection="1">
      <protection locked="0"/>
    </xf>
    <xf numFmtId="0" fontId="0" fillId="0" borderId="15" xfId="0" applyBorder="1" applyAlignment="1">
      <alignment horizontal="right"/>
    </xf>
    <xf numFmtId="2" fontId="8" fillId="2" borderId="16" xfId="0" applyNumberFormat="1" applyFont="1" applyFill="1" applyBorder="1"/>
    <xf numFmtId="0" fontId="0" fillId="0" borderId="17" xfId="0" applyBorder="1"/>
    <xf numFmtId="0" fontId="0" fillId="0" borderId="20" xfId="0" applyBorder="1" applyAlignment="1">
      <alignment horizontal="right"/>
    </xf>
    <xf numFmtId="2" fontId="8" fillId="2" borderId="6" xfId="0" applyNumberFormat="1" applyFont="1" applyFill="1" applyBorder="1"/>
    <xf numFmtId="0" fontId="0" fillId="0" borderId="22" xfId="0" applyBorder="1"/>
    <xf numFmtId="0" fontId="16" fillId="0" borderId="0" xfId="0" applyFont="1"/>
    <xf numFmtId="0" fontId="0" fillId="0" borderId="0" xfId="0" applyAlignment="1">
      <alignment horizontal="left"/>
    </xf>
    <xf numFmtId="0" fontId="19" fillId="0" borderId="0" xfId="0" applyFont="1"/>
    <xf numFmtId="175" fontId="0" fillId="0" borderId="0" xfId="0" applyNumberFormat="1"/>
    <xf numFmtId="170" fontId="0" fillId="2" borderId="0" xfId="0" applyNumberFormat="1" applyFill="1" applyProtection="1">
      <protection locked="0"/>
    </xf>
    <xf numFmtId="0" fontId="0" fillId="2" borderId="0" xfId="0" applyFill="1" applyProtection="1">
      <protection locked="0"/>
    </xf>
    <xf numFmtId="176" fontId="19" fillId="0" borderId="0" xfId="0" applyNumberFormat="1" applyFont="1" applyAlignment="1">
      <alignment horizontal="center"/>
    </xf>
    <xf numFmtId="0" fontId="14" fillId="0" borderId="0" xfId="0" applyFont="1"/>
    <xf numFmtId="0" fontId="6" fillId="0" borderId="0" xfId="18" applyNumberFormat="1" applyFill="1" applyBorder="1" applyAlignment="1" applyProtection="1">
      <alignment vertical="center" wrapText="1"/>
    </xf>
    <xf numFmtId="0" fontId="0" fillId="2" borderId="2" xfId="0" applyFill="1" applyBorder="1" applyProtection="1">
      <protection locked="0"/>
    </xf>
    <xf numFmtId="169" fontId="0" fillId="2" borderId="2" xfId="37" applyFont="1" applyFill="1" applyBorder="1" applyAlignment="1" applyProtection="1">
      <protection locked="0"/>
    </xf>
    <xf numFmtId="0" fontId="0" fillId="2" borderId="2" xfId="0" applyFill="1" applyBorder="1" applyAlignment="1" applyProtection="1">
      <alignment horizontal="center"/>
      <protection locked="0"/>
    </xf>
    <xf numFmtId="171" fontId="0" fillId="2" borderId="24" xfId="0" applyNumberFormat="1" applyFill="1" applyBorder="1" applyAlignment="1" applyProtection="1">
      <alignment horizontal="center"/>
      <protection locked="0"/>
    </xf>
    <xf numFmtId="176" fontId="19" fillId="0" borderId="4" xfId="0" applyNumberFormat="1" applyFont="1" applyBorder="1" applyAlignment="1">
      <alignment horizontal="center"/>
    </xf>
    <xf numFmtId="177" fontId="13" fillId="0" borderId="4" xfId="22" applyNumberFormat="1" applyFont="1" applyBorder="1"/>
    <xf numFmtId="169" fontId="0" fillId="2" borderId="24" xfId="37" applyFont="1" applyFill="1" applyBorder="1" applyAlignment="1" applyProtection="1">
      <alignment horizontal="center"/>
      <protection locked="0"/>
    </xf>
    <xf numFmtId="178" fontId="0" fillId="0" borderId="4" xfId="0" applyNumberFormat="1" applyBorder="1"/>
    <xf numFmtId="169" fontId="13" fillId="0" borderId="0" xfId="0" applyNumberFormat="1" applyFont="1"/>
    <xf numFmtId="171" fontId="13" fillId="0" borderId="0" xfId="0" applyNumberFormat="1" applyFont="1" applyAlignment="1">
      <alignment horizontal="center"/>
    </xf>
    <xf numFmtId="178" fontId="13" fillId="0" borderId="0" xfId="0" applyNumberFormat="1" applyFont="1"/>
    <xf numFmtId="169" fontId="13" fillId="0" borderId="26" xfId="0" applyNumberFormat="1" applyFont="1" applyBorder="1"/>
    <xf numFmtId="169" fontId="22" fillId="0" borderId="0" xfId="37" applyFont="1" applyFill="1" applyBorder="1" applyAlignment="1" applyProtection="1"/>
    <xf numFmtId="169" fontId="22" fillId="0" borderId="26" xfId="37" applyFont="1" applyFill="1" applyBorder="1" applyAlignment="1" applyProtection="1"/>
    <xf numFmtId="171" fontId="0" fillId="0" borderId="0" xfId="29" applyFont="1" applyFill="1" applyBorder="1" applyAlignment="1" applyProtection="1"/>
    <xf numFmtId="0" fontId="46" fillId="0" borderId="0" xfId="20"/>
    <xf numFmtId="0" fontId="5" fillId="0" borderId="0" xfId="20" applyFont="1"/>
    <xf numFmtId="0" fontId="0" fillId="0" borderId="0" xfId="20" applyFont="1"/>
    <xf numFmtId="0" fontId="8" fillId="0" borderId="0" xfId="20" applyFont="1"/>
    <xf numFmtId="0" fontId="8" fillId="0" borderId="0" xfId="20" applyFont="1" applyAlignment="1">
      <alignment horizontal="center"/>
    </xf>
    <xf numFmtId="0" fontId="22" fillId="0" borderId="26" xfId="20" applyFont="1" applyBorder="1" applyAlignment="1">
      <alignment horizontal="center" vertical="top" wrapText="1"/>
    </xf>
    <xf numFmtId="0" fontId="22" fillId="0" borderId="27" xfId="20" applyFont="1" applyBorder="1" applyAlignment="1">
      <alignment horizontal="center" vertical="top" wrapText="1"/>
    </xf>
    <xf numFmtId="0" fontId="23" fillId="0" borderId="0" xfId="0" applyFont="1" applyAlignment="1">
      <alignment vertical="top"/>
    </xf>
    <xf numFmtId="0" fontId="46" fillId="0" borderId="0" xfId="20" applyAlignment="1">
      <alignment horizontal="center" vertical="top" wrapText="1"/>
    </xf>
    <xf numFmtId="0" fontId="0" fillId="2" borderId="28" xfId="20" applyFont="1" applyFill="1" applyBorder="1" applyProtection="1">
      <protection locked="0"/>
    </xf>
    <xf numFmtId="0" fontId="9" fillId="2" borderId="28" xfId="20" applyFont="1" applyFill="1" applyBorder="1" applyAlignment="1" applyProtection="1">
      <alignment horizontal="center"/>
      <protection locked="0"/>
    </xf>
    <xf numFmtId="0" fontId="9" fillId="2" borderId="28" xfId="20" applyFont="1" applyFill="1" applyBorder="1" applyProtection="1">
      <protection locked="0"/>
    </xf>
    <xf numFmtId="0" fontId="9" fillId="2" borderId="29" xfId="20" applyFont="1" applyFill="1" applyBorder="1" applyAlignment="1" applyProtection="1">
      <alignment horizontal="center"/>
      <protection locked="0"/>
    </xf>
    <xf numFmtId="0" fontId="9" fillId="2" borderId="4" xfId="20" applyFont="1" applyFill="1" applyBorder="1" applyProtection="1">
      <protection locked="0"/>
    </xf>
    <xf numFmtId="169" fontId="13" fillId="2" borderId="28" xfId="37" applyFont="1" applyFill="1" applyBorder="1" applyAlignment="1" applyProtection="1">
      <alignment horizontal="right"/>
      <protection locked="0"/>
    </xf>
    <xf numFmtId="169" fontId="13" fillId="3" borderId="29" xfId="38" applyFont="1" applyFill="1" applyBorder="1" applyAlignment="1" applyProtection="1"/>
    <xf numFmtId="171" fontId="9" fillId="2" borderId="2" xfId="30" applyFont="1" applyFill="1" applyBorder="1" applyAlignment="1" applyProtection="1">
      <alignment horizontal="center"/>
      <protection locked="0"/>
    </xf>
    <xf numFmtId="169" fontId="9" fillId="0" borderId="4" xfId="38" applyFont="1" applyFill="1" applyBorder="1" applyAlignment="1" applyProtection="1"/>
    <xf numFmtId="169" fontId="9" fillId="2" borderId="30" xfId="38" applyFont="1" applyFill="1" applyBorder="1" applyAlignment="1" applyProtection="1">
      <protection locked="0"/>
    </xf>
    <xf numFmtId="169" fontId="9" fillId="2" borderId="2" xfId="38" applyFont="1" applyFill="1" applyBorder="1" applyAlignment="1" applyProtection="1">
      <protection locked="0"/>
    </xf>
    <xf numFmtId="169" fontId="13" fillId="0" borderId="0" xfId="20" applyNumberFormat="1" applyFont="1"/>
    <xf numFmtId="0" fontId="9" fillId="2" borderId="2" xfId="20" applyFont="1" applyFill="1" applyBorder="1" applyAlignment="1" applyProtection="1">
      <alignment horizontal="center"/>
      <protection locked="0"/>
    </xf>
    <xf numFmtId="0" fontId="0" fillId="2" borderId="31" xfId="20" applyFont="1" applyFill="1" applyBorder="1" applyProtection="1">
      <protection locked="0"/>
    </xf>
    <xf numFmtId="0" fontId="9" fillId="2" borderId="33" xfId="20" applyFont="1" applyFill="1" applyBorder="1" applyAlignment="1" applyProtection="1">
      <alignment horizontal="center"/>
      <protection locked="0"/>
    </xf>
    <xf numFmtId="0" fontId="9" fillId="2" borderId="34" xfId="20" applyFont="1" applyFill="1" applyBorder="1" applyAlignment="1" applyProtection="1">
      <alignment horizontal="center"/>
      <protection locked="0"/>
    </xf>
    <xf numFmtId="171" fontId="9" fillId="2" borderId="34" xfId="30" applyFont="1" applyFill="1" applyBorder="1" applyAlignment="1" applyProtection="1">
      <alignment horizontal="center"/>
      <protection locked="0"/>
    </xf>
    <xf numFmtId="169" fontId="9" fillId="2" borderId="35" xfId="38" applyFont="1" applyFill="1" applyBorder="1" applyAlignment="1" applyProtection="1">
      <protection locked="0"/>
    </xf>
    <xf numFmtId="169" fontId="9" fillId="2" borderId="34" xfId="38" applyFont="1" applyFill="1" applyBorder="1" applyAlignment="1" applyProtection="1">
      <protection locked="0"/>
    </xf>
    <xf numFmtId="169" fontId="13" fillId="0" borderId="36" xfId="20" applyNumberFormat="1" applyFont="1" applyBorder="1"/>
    <xf numFmtId="0" fontId="22" fillId="0" borderId="28" xfId="20" applyFont="1" applyBorder="1"/>
    <xf numFmtId="0" fontId="22" fillId="0" borderId="0" xfId="20" applyFont="1"/>
    <xf numFmtId="0" fontId="13" fillId="0" borderId="0" xfId="20" applyFont="1"/>
    <xf numFmtId="169" fontId="13" fillId="3" borderId="28" xfId="38" applyFont="1" applyFill="1" applyBorder="1" applyAlignment="1" applyProtection="1"/>
    <xf numFmtId="2" fontId="13" fillId="3" borderId="28" xfId="38" applyNumberFormat="1" applyFont="1" applyFill="1" applyBorder="1" applyAlignment="1" applyProtection="1"/>
    <xf numFmtId="0" fontId="13" fillId="0" borderId="0" xfId="20" applyFont="1" applyAlignment="1">
      <alignment horizontal="center"/>
    </xf>
    <xf numFmtId="169" fontId="13" fillId="0" borderId="4" xfId="38" applyFont="1" applyFill="1" applyBorder="1" applyAlignment="1" applyProtection="1"/>
    <xf numFmtId="169" fontId="13" fillId="3" borderId="30" xfId="38" applyFont="1" applyFill="1" applyBorder="1" applyAlignment="1" applyProtection="1"/>
    <xf numFmtId="169" fontId="13" fillId="0" borderId="28" xfId="38" applyFont="1" applyFill="1" applyBorder="1" applyAlignment="1" applyProtection="1"/>
    <xf numFmtId="169" fontId="8" fillId="0" borderId="28" xfId="38" applyFont="1" applyFill="1" applyBorder="1" applyAlignment="1" applyProtection="1"/>
    <xf numFmtId="2" fontId="13" fillId="0" borderId="2" xfId="20" applyNumberFormat="1" applyFont="1" applyBorder="1"/>
    <xf numFmtId="2" fontId="13" fillId="0" borderId="0" xfId="20" applyNumberFormat="1" applyFont="1"/>
    <xf numFmtId="169" fontId="13" fillId="3" borderId="0" xfId="38" applyFont="1" applyFill="1" applyBorder="1" applyAlignment="1" applyProtection="1">
      <alignment horizontal="right"/>
    </xf>
    <xf numFmtId="169" fontId="13" fillId="3" borderId="0" xfId="38" applyFont="1" applyFill="1" applyBorder="1" applyAlignment="1" applyProtection="1"/>
    <xf numFmtId="171" fontId="13" fillId="0" borderId="2" xfId="20" applyNumberFormat="1" applyFont="1" applyBorder="1" applyAlignment="1">
      <alignment horizontal="center"/>
    </xf>
    <xf numFmtId="171" fontId="13" fillId="0" borderId="0" xfId="20" applyNumberFormat="1" applyFont="1" applyAlignment="1">
      <alignment horizontal="center"/>
    </xf>
    <xf numFmtId="169" fontId="7" fillId="0" borderId="27" xfId="37" applyFont="1" applyFill="1" applyBorder="1" applyAlignment="1" applyProtection="1"/>
    <xf numFmtId="0" fontId="9" fillId="0" borderId="0" xfId="20" applyFont="1"/>
    <xf numFmtId="169" fontId="22" fillId="0" borderId="27" xfId="37" applyFont="1" applyFill="1" applyBorder="1" applyAlignment="1" applyProtection="1"/>
    <xf numFmtId="171" fontId="22" fillId="0" borderId="27" xfId="29" applyFont="1" applyFill="1" applyBorder="1" applyAlignment="1" applyProtection="1">
      <alignment horizontal="center"/>
    </xf>
    <xf numFmtId="173" fontId="46" fillId="0" borderId="0" xfId="20" applyNumberFormat="1"/>
    <xf numFmtId="169" fontId="22" fillId="0" borderId="38" xfId="37" applyFont="1" applyFill="1" applyBorder="1" applyAlignment="1" applyProtection="1"/>
    <xf numFmtId="171" fontId="22" fillId="0" borderId="39" xfId="29" applyFont="1" applyFill="1" applyBorder="1" applyAlignment="1" applyProtection="1">
      <alignment horizontal="center"/>
    </xf>
    <xf numFmtId="0" fontId="8" fillId="0" borderId="0" xfId="0" applyFont="1" applyAlignment="1">
      <alignment wrapText="1"/>
    </xf>
    <xf numFmtId="0" fontId="22" fillId="0" borderId="0" xfId="0" applyFont="1" applyAlignment="1">
      <alignment wrapText="1"/>
    </xf>
    <xf numFmtId="0" fontId="0" fillId="0" borderId="0" xfId="0" applyAlignment="1">
      <alignment wrapText="1"/>
    </xf>
    <xf numFmtId="0" fontId="8" fillId="0" borderId="0" xfId="0" applyFont="1" applyAlignment="1">
      <alignment horizontal="center" wrapText="1"/>
    </xf>
    <xf numFmtId="0" fontId="8" fillId="0" borderId="40" xfId="0" applyFont="1" applyBorder="1"/>
    <xf numFmtId="0" fontId="0" fillId="0" borderId="41" xfId="0" applyBorder="1" applyAlignment="1">
      <alignment horizontal="center"/>
    </xf>
    <xf numFmtId="0" fontId="0" fillId="2" borderId="5" xfId="0" applyFill="1" applyBorder="1" applyAlignment="1" applyProtection="1">
      <alignment horizontal="center"/>
      <protection locked="0"/>
    </xf>
    <xf numFmtId="0" fontId="8" fillId="0" borderId="5" xfId="0" applyFont="1" applyBorder="1" applyAlignment="1">
      <alignment horizontal="center"/>
    </xf>
    <xf numFmtId="0" fontId="0" fillId="0" borderId="6" xfId="0" applyBorder="1"/>
    <xf numFmtId="2" fontId="0" fillId="0" borderId="0" xfId="0" applyNumberFormat="1" applyAlignment="1">
      <alignment horizontal="center"/>
    </xf>
    <xf numFmtId="0" fontId="3" fillId="2" borderId="2" xfId="0" applyFont="1" applyFill="1" applyBorder="1" applyAlignment="1" applyProtection="1">
      <alignment horizontal="center"/>
      <protection locked="0"/>
    </xf>
    <xf numFmtId="2" fontId="0" fillId="2" borderId="2" xfId="0" applyNumberFormat="1" applyFill="1" applyBorder="1" applyAlignment="1" applyProtection="1">
      <alignment horizontal="center"/>
      <protection locked="0"/>
    </xf>
    <xf numFmtId="170" fontId="0" fillId="0" borderId="0" xfId="0" applyNumberFormat="1"/>
    <xf numFmtId="0" fontId="15" fillId="0" borderId="42" xfId="0" applyFont="1" applyBorder="1"/>
    <xf numFmtId="0" fontId="15" fillId="0" borderId="42" xfId="0" applyFont="1" applyBorder="1" applyAlignment="1">
      <alignment horizontal="center"/>
    </xf>
    <xf numFmtId="0" fontId="22" fillId="0" borderId="42" xfId="0" applyFont="1" applyBorder="1" applyAlignment="1">
      <alignment horizontal="center"/>
    </xf>
    <xf numFmtId="0" fontId="14" fillId="0" borderId="42" xfId="0" applyFont="1" applyBorder="1" applyAlignment="1">
      <alignment horizontal="center"/>
    </xf>
    <xf numFmtId="169" fontId="3" fillId="0" borderId="2" xfId="37" applyFont="1" applyFill="1" applyBorder="1" applyAlignment="1" applyProtection="1"/>
    <xf numFmtId="0" fontId="0" fillId="5" borderId="0" xfId="0" applyFill="1"/>
    <xf numFmtId="0" fontId="15" fillId="0" borderId="45" xfId="0" applyFont="1" applyBorder="1"/>
    <xf numFmtId="0" fontId="3" fillId="0" borderId="46" xfId="0" applyFont="1" applyBorder="1" applyAlignment="1">
      <alignment horizontal="center"/>
    </xf>
    <xf numFmtId="169" fontId="3" fillId="2" borderId="2" xfId="37" applyFont="1" applyFill="1" applyBorder="1" applyAlignment="1" applyProtection="1">
      <alignment horizontal="center"/>
      <protection locked="0"/>
    </xf>
    <xf numFmtId="1" fontId="3" fillId="5" borderId="2" xfId="0" applyNumberFormat="1" applyFont="1" applyFill="1" applyBorder="1" applyAlignment="1">
      <alignment horizontal="center"/>
    </xf>
    <xf numFmtId="169" fontId="5" fillId="0" borderId="28" xfId="37" applyFont="1" applyFill="1" applyBorder="1" applyAlignment="1" applyProtection="1"/>
    <xf numFmtId="0" fontId="8" fillId="0" borderId="4" xfId="0" applyFont="1" applyBorder="1"/>
    <xf numFmtId="0" fontId="0" fillId="0" borderId="15" xfId="0" applyBorder="1"/>
    <xf numFmtId="0" fontId="0" fillId="0" borderId="47" xfId="0" applyBorder="1"/>
    <xf numFmtId="0" fontId="0" fillId="0" borderId="3" xfId="0" applyBorder="1"/>
    <xf numFmtId="0" fontId="0" fillId="0" borderId="18" xfId="0" applyBorder="1"/>
    <xf numFmtId="0" fontId="0" fillId="2" borderId="51" xfId="0" applyFill="1" applyBorder="1" applyProtection="1">
      <protection locked="0"/>
    </xf>
    <xf numFmtId="0" fontId="0" fillId="0" borderId="21" xfId="0" applyBorder="1"/>
    <xf numFmtId="2" fontId="8" fillId="0" borderId="0" xfId="0" applyNumberFormat="1" applyFont="1"/>
    <xf numFmtId="0" fontId="15" fillId="0" borderId="0" xfId="0" applyFont="1"/>
    <xf numFmtId="0" fontId="13" fillId="0" borderId="0" xfId="0" applyFont="1" applyAlignment="1">
      <alignment horizontal="center"/>
    </xf>
    <xf numFmtId="170" fontId="13" fillId="0" borderId="0" xfId="29" applyNumberFormat="1" applyFont="1" applyFill="1" applyBorder="1" applyAlignment="1" applyProtection="1"/>
    <xf numFmtId="0" fontId="0" fillId="3" borderId="4" xfId="0" applyFill="1" applyBorder="1"/>
    <xf numFmtId="179" fontId="0" fillId="0" borderId="0" xfId="0" applyNumberFormat="1"/>
    <xf numFmtId="179" fontId="13" fillId="0" borderId="0" xfId="0" applyNumberFormat="1" applyFont="1"/>
    <xf numFmtId="0" fontId="0" fillId="0" borderId="16" xfId="0" applyBorder="1"/>
    <xf numFmtId="0" fontId="8" fillId="0" borderId="49" xfId="0" applyFont="1" applyBorder="1" applyAlignment="1">
      <alignment horizontal="center"/>
    </xf>
    <xf numFmtId="171" fontId="8" fillId="2" borderId="54" xfId="0" applyNumberFormat="1" applyFont="1" applyFill="1" applyBorder="1" applyAlignment="1" applyProtection="1">
      <alignment horizontal="center"/>
      <protection locked="0"/>
    </xf>
    <xf numFmtId="171" fontId="8" fillId="2" borderId="0" xfId="0" applyNumberFormat="1" applyFont="1" applyFill="1" applyAlignment="1" applyProtection="1">
      <alignment horizontal="center"/>
      <protection locked="0"/>
    </xf>
    <xf numFmtId="0" fontId="8" fillId="0" borderId="4" xfId="0" applyFont="1" applyBorder="1" applyAlignment="1">
      <alignment horizontal="center"/>
    </xf>
    <xf numFmtId="0" fontId="0" fillId="0" borderId="19" xfId="0" applyBorder="1"/>
    <xf numFmtId="0" fontId="0" fillId="0" borderId="20" xfId="0" applyBorder="1" applyAlignment="1">
      <alignment horizontal="center"/>
    </xf>
    <xf numFmtId="0" fontId="0" fillId="0" borderId="6" xfId="0" applyBorder="1" applyAlignment="1">
      <alignment horizontal="center"/>
    </xf>
    <xf numFmtId="0" fontId="7" fillId="0" borderId="6" xfId="0" applyFont="1" applyBorder="1" applyAlignment="1">
      <alignment horizontal="center"/>
    </xf>
    <xf numFmtId="0" fontId="22" fillId="0" borderId="50" xfId="0" applyFont="1" applyBorder="1" applyAlignment="1">
      <alignment horizontal="center"/>
    </xf>
    <xf numFmtId="0" fontId="13" fillId="0" borderId="6" xfId="0" applyFont="1" applyBorder="1" applyAlignment="1">
      <alignment horizontal="center"/>
    </xf>
    <xf numFmtId="0" fontId="8" fillId="0" borderId="6" xfId="0" applyFont="1" applyBorder="1" applyAlignment="1">
      <alignment horizontal="center"/>
    </xf>
    <xf numFmtId="0" fontId="8" fillId="0" borderId="21" xfId="0" applyFont="1" applyBorder="1" applyAlignment="1">
      <alignment horizontal="center"/>
    </xf>
    <xf numFmtId="2" fontId="8" fillId="0" borderId="21" xfId="0" applyNumberFormat="1" applyFont="1" applyBorder="1"/>
    <xf numFmtId="180" fontId="8" fillId="0" borderId="22" xfId="0" applyNumberFormat="1" applyFont="1" applyBorder="1" applyAlignment="1">
      <alignment horizontal="center"/>
    </xf>
    <xf numFmtId="0" fontId="8" fillId="0" borderId="47" xfId="0" applyFont="1" applyBorder="1"/>
    <xf numFmtId="0" fontId="0" fillId="0" borderId="3" xfId="0" applyBorder="1" applyAlignment="1">
      <alignment horizontal="right"/>
    </xf>
    <xf numFmtId="0" fontId="8" fillId="2" borderId="55" xfId="0" applyFont="1" applyFill="1" applyBorder="1" applyAlignment="1" applyProtection="1">
      <alignment horizontal="center"/>
      <protection locked="0"/>
    </xf>
    <xf numFmtId="0" fontId="0" fillId="0" borderId="56" xfId="0" applyBorder="1"/>
    <xf numFmtId="2" fontId="8" fillId="0" borderId="51" xfId="0" applyNumberFormat="1" applyFont="1" applyBorder="1"/>
    <xf numFmtId="0" fontId="8" fillId="0" borderId="51" xfId="0" applyFont="1" applyBorder="1"/>
    <xf numFmtId="0" fontId="22" fillId="0" borderId="0" xfId="0" applyFont="1"/>
    <xf numFmtId="1" fontId="22" fillId="0" borderId="0" xfId="0" applyNumberFormat="1" applyFont="1" applyAlignment="1">
      <alignment horizontal="center"/>
    </xf>
    <xf numFmtId="2" fontId="22" fillId="0" borderId="51" xfId="0" applyNumberFormat="1" applyFont="1" applyBorder="1"/>
    <xf numFmtId="0" fontId="22" fillId="0" borderId="51" xfId="0" applyFont="1" applyBorder="1"/>
    <xf numFmtId="2" fontId="22" fillId="0" borderId="0" xfId="0" applyNumberFormat="1" applyFont="1"/>
    <xf numFmtId="2" fontId="13" fillId="0" borderId="0" xfId="0" applyNumberFormat="1" applyFont="1"/>
    <xf numFmtId="0" fontId="0" fillId="2" borderId="7" xfId="0" applyFill="1" applyBorder="1" applyProtection="1">
      <protection locked="0"/>
    </xf>
    <xf numFmtId="2" fontId="0" fillId="0" borderId="23" xfId="0" applyNumberFormat="1" applyBorder="1"/>
    <xf numFmtId="0" fontId="0" fillId="2" borderId="23" xfId="0" applyFill="1" applyBorder="1" applyAlignment="1" applyProtection="1">
      <alignment horizontal="center"/>
      <protection locked="0"/>
    </xf>
    <xf numFmtId="1" fontId="0" fillId="3" borderId="7" xfId="0" applyNumberFormat="1" applyFill="1" applyBorder="1" applyAlignment="1">
      <alignment horizontal="center"/>
    </xf>
    <xf numFmtId="1" fontId="19" fillId="0" borderId="0" xfId="0" applyNumberFormat="1" applyFont="1" applyAlignment="1">
      <alignment horizontal="center"/>
    </xf>
    <xf numFmtId="1" fontId="8" fillId="0" borderId="39" xfId="0" applyNumberFormat="1" applyFont="1" applyBorder="1" applyAlignment="1">
      <alignment horizontal="center"/>
    </xf>
    <xf numFmtId="1" fontId="0" fillId="0" borderId="4" xfId="0" applyNumberFormat="1" applyBorder="1" applyAlignment="1">
      <alignment horizontal="center"/>
    </xf>
    <xf numFmtId="1" fontId="13" fillId="0" borderId="0" xfId="0" applyNumberFormat="1" applyFont="1" applyAlignment="1">
      <alignment horizontal="center"/>
    </xf>
    <xf numFmtId="0" fontId="26" fillId="0" borderId="0" xfId="0" applyFont="1"/>
    <xf numFmtId="0" fontId="0" fillId="2" borderId="57" xfId="0" applyFill="1" applyBorder="1" applyProtection="1">
      <protection locked="0"/>
    </xf>
    <xf numFmtId="2" fontId="0" fillId="0" borderId="57" xfId="0" applyNumberFormat="1" applyBorder="1"/>
    <xf numFmtId="0" fontId="0" fillId="2" borderId="57" xfId="0" applyFill="1" applyBorder="1" applyAlignment="1" applyProtection="1">
      <alignment horizontal="center"/>
      <protection locked="0"/>
    </xf>
    <xf numFmtId="1" fontId="19" fillId="0" borderId="3" xfId="0" applyNumberFormat="1" applyFont="1" applyBorder="1" applyAlignment="1">
      <alignment horizontal="center"/>
    </xf>
    <xf numFmtId="1" fontId="0" fillId="0" borderId="3" xfId="0" applyNumberFormat="1" applyBorder="1" applyAlignment="1">
      <alignment horizontal="center"/>
    </xf>
    <xf numFmtId="0" fontId="0" fillId="0" borderId="3" xfId="0" applyBorder="1" applyAlignment="1">
      <alignment horizontal="center"/>
    </xf>
    <xf numFmtId="0" fontId="0" fillId="0" borderId="48" xfId="0" applyBorder="1" applyAlignment="1">
      <alignment horizontal="center"/>
    </xf>
    <xf numFmtId="2" fontId="0" fillId="0" borderId="51" xfId="0" applyNumberFormat="1" applyBorder="1"/>
    <xf numFmtId="0" fontId="0" fillId="2" borderId="51" xfId="0" applyFill="1" applyBorder="1" applyAlignment="1" applyProtection="1">
      <alignment horizontal="center"/>
      <protection locked="0"/>
    </xf>
    <xf numFmtId="1" fontId="8" fillId="0" borderId="54" xfId="0" applyNumberFormat="1" applyFont="1" applyBorder="1" applyAlignment="1">
      <alignment horizontal="center"/>
    </xf>
    <xf numFmtId="2" fontId="0" fillId="0" borderId="4" xfId="0" applyNumberFormat="1" applyBorder="1"/>
    <xf numFmtId="1" fontId="8" fillId="0" borderId="11" xfId="0" applyNumberFormat="1" applyFont="1" applyBorder="1" applyAlignment="1">
      <alignment horizontal="center"/>
    </xf>
    <xf numFmtId="1" fontId="8" fillId="0" borderId="12" xfId="0" applyNumberFormat="1" applyFont="1" applyBorder="1" applyAlignment="1">
      <alignment horizontal="center"/>
    </xf>
    <xf numFmtId="2" fontId="8" fillId="0" borderId="0" xfId="0" applyNumberFormat="1" applyFont="1" applyAlignment="1">
      <alignment horizontal="center"/>
    </xf>
    <xf numFmtId="1" fontId="8" fillId="0" borderId="0" xfId="0" applyNumberFormat="1" applyFont="1" applyAlignment="1">
      <alignment horizontal="center"/>
    </xf>
    <xf numFmtId="0" fontId="27" fillId="0" borderId="0" xfId="0" applyFont="1"/>
    <xf numFmtId="0" fontId="16" fillId="3" borderId="42" xfId="0" applyFont="1" applyFill="1" applyBorder="1" applyAlignment="1">
      <alignment horizontal="center"/>
    </xf>
    <xf numFmtId="0" fontId="16" fillId="0" borderId="42" xfId="0" applyFont="1" applyBorder="1"/>
    <xf numFmtId="0" fontId="28" fillId="0" borderId="0" xfId="0" applyFont="1"/>
    <xf numFmtId="0" fontId="28" fillId="3" borderId="2" xfId="0" applyFont="1" applyFill="1" applyBorder="1" applyAlignment="1">
      <alignment horizontal="center"/>
    </xf>
    <xf numFmtId="0" fontId="5" fillId="0" borderId="0" xfId="0" applyFont="1" applyAlignment="1">
      <alignment horizontal="left"/>
    </xf>
    <xf numFmtId="0" fontId="28" fillId="0" borderId="0" xfId="0" applyFont="1" applyAlignment="1">
      <alignment horizontal="center"/>
    </xf>
    <xf numFmtId="2" fontId="28" fillId="3" borderId="2" xfId="0" applyNumberFormat="1" applyFont="1" applyFill="1" applyBorder="1" applyAlignment="1">
      <alignment horizontal="center"/>
    </xf>
    <xf numFmtId="0" fontId="5" fillId="0" borderId="0" xfId="0" applyFont="1" applyAlignment="1">
      <alignment horizontal="center"/>
    </xf>
    <xf numFmtId="0" fontId="3" fillId="2" borderId="58" xfId="0" applyFont="1" applyFill="1" applyBorder="1" applyProtection="1">
      <protection locked="0"/>
    </xf>
    <xf numFmtId="0" fontId="3" fillId="2" borderId="59" xfId="0" applyFont="1" applyFill="1" applyBorder="1" applyProtection="1">
      <protection locked="0"/>
    </xf>
    <xf numFmtId="0" fontId="3" fillId="2" borderId="59" xfId="0" applyFont="1" applyFill="1" applyBorder="1" applyAlignment="1" applyProtection="1">
      <alignment horizontal="center"/>
      <protection locked="0"/>
    </xf>
    <xf numFmtId="168" fontId="3" fillId="2" borderId="59" xfId="5" applyFont="1" applyFill="1" applyBorder="1" applyAlignment="1" applyProtection="1">
      <protection locked="0"/>
    </xf>
    <xf numFmtId="169" fontId="3" fillId="2" borderId="60" xfId="37" applyFont="1" applyFill="1" applyBorder="1" applyAlignment="1" applyProtection="1">
      <protection locked="0"/>
    </xf>
    <xf numFmtId="169" fontId="3" fillId="0" borderId="25" xfId="37" applyFont="1" applyFill="1" applyBorder="1" applyAlignment="1" applyProtection="1"/>
    <xf numFmtId="169" fontId="3" fillId="6" borderId="2" xfId="37" applyFont="1" applyFill="1" applyBorder="1" applyAlignment="1" applyProtection="1"/>
    <xf numFmtId="0" fontId="29" fillId="2" borderId="61" xfId="0" applyFont="1" applyFill="1" applyBorder="1" applyProtection="1">
      <protection locked="0"/>
    </xf>
    <xf numFmtId="0" fontId="29" fillId="2" borderId="62" xfId="0" applyFont="1" applyFill="1" applyBorder="1" applyProtection="1">
      <protection locked="0"/>
    </xf>
    <xf numFmtId="0" fontId="29" fillId="2" borderId="62" xfId="0" applyFont="1" applyFill="1" applyBorder="1" applyAlignment="1" applyProtection="1">
      <alignment horizontal="center"/>
      <protection locked="0"/>
    </xf>
    <xf numFmtId="169" fontId="29" fillId="2" borderId="63" xfId="37" applyFont="1" applyFill="1" applyBorder="1" applyAlignment="1" applyProtection="1">
      <protection locked="0"/>
    </xf>
    <xf numFmtId="0" fontId="29" fillId="2" borderId="64" xfId="0" applyFont="1" applyFill="1" applyBorder="1" applyProtection="1">
      <protection locked="0"/>
    </xf>
    <xf numFmtId="0" fontId="29" fillId="2" borderId="2" xfId="0" applyFont="1" applyFill="1" applyBorder="1" applyProtection="1">
      <protection locked="0"/>
    </xf>
    <xf numFmtId="0" fontId="29" fillId="2" borderId="2" xfId="0" applyFont="1" applyFill="1" applyBorder="1" applyAlignment="1" applyProtection="1">
      <alignment horizontal="center"/>
      <protection locked="0"/>
    </xf>
    <xf numFmtId="169" fontId="29" fillId="2" borderId="32" xfId="37" applyFont="1" applyFill="1" applyBorder="1" applyAlignment="1" applyProtection="1">
      <protection locked="0"/>
    </xf>
    <xf numFmtId="0" fontId="29" fillId="2" borderId="65" xfId="0" applyFont="1" applyFill="1" applyBorder="1" applyProtection="1">
      <protection locked="0"/>
    </xf>
    <xf numFmtId="0" fontId="29" fillId="2" borderId="34" xfId="0" applyFont="1" applyFill="1" applyBorder="1" applyProtection="1">
      <protection locked="0"/>
    </xf>
    <xf numFmtId="0" fontId="29" fillId="2" borderId="34" xfId="0" applyFont="1" applyFill="1" applyBorder="1" applyAlignment="1" applyProtection="1">
      <alignment horizontal="center"/>
      <protection locked="0"/>
    </xf>
    <xf numFmtId="169" fontId="29" fillId="2" borderId="37" xfId="37" applyFont="1" applyFill="1" applyBorder="1" applyAlignment="1" applyProtection="1">
      <protection locked="0"/>
    </xf>
    <xf numFmtId="0" fontId="3" fillId="2" borderId="44" xfId="0" applyFont="1" applyFill="1" applyBorder="1" applyProtection="1">
      <protection locked="0"/>
    </xf>
    <xf numFmtId="0" fontId="3" fillId="2" borderId="28" xfId="0" applyFont="1" applyFill="1" applyBorder="1" applyProtection="1">
      <protection locked="0"/>
    </xf>
    <xf numFmtId="0" fontId="3" fillId="2" borderId="28" xfId="0" applyFont="1" applyFill="1" applyBorder="1" applyAlignment="1" applyProtection="1">
      <alignment horizontal="center"/>
      <protection locked="0"/>
    </xf>
    <xf numFmtId="169" fontId="3" fillId="2" borderId="28" xfId="37" applyFont="1" applyFill="1" applyBorder="1" applyAlignment="1" applyProtection="1">
      <protection locked="0"/>
    </xf>
    <xf numFmtId="0" fontId="3" fillId="2" borderId="66" xfId="0" applyFont="1" applyFill="1" applyBorder="1" applyProtection="1">
      <protection locked="0"/>
    </xf>
    <xf numFmtId="0" fontId="3" fillId="2" borderId="2" xfId="0" applyFont="1" applyFill="1" applyBorder="1" applyProtection="1">
      <protection locked="0"/>
    </xf>
    <xf numFmtId="169" fontId="3" fillId="2" borderId="2" xfId="37" applyFont="1" applyFill="1" applyBorder="1" applyAlignment="1" applyProtection="1">
      <protection locked="0"/>
    </xf>
    <xf numFmtId="0" fontId="3" fillId="2" borderId="46" xfId="0" applyFont="1" applyFill="1" applyBorder="1" applyProtection="1">
      <protection locked="0"/>
    </xf>
    <xf numFmtId="170" fontId="13" fillId="0" borderId="0" xfId="0" applyNumberFormat="1" applyFont="1"/>
    <xf numFmtId="169" fontId="5" fillId="6" borderId="28" xfId="37" applyFont="1" applyFill="1" applyBorder="1" applyAlignment="1" applyProtection="1"/>
    <xf numFmtId="2" fontId="3" fillId="2" borderId="2" xfId="0" applyNumberFormat="1" applyFont="1" applyFill="1" applyBorder="1" applyAlignment="1" applyProtection="1">
      <alignment horizontal="center"/>
      <protection locked="0"/>
    </xf>
    <xf numFmtId="0" fontId="3" fillId="2" borderId="0" xfId="0" applyFont="1" applyFill="1" applyAlignment="1" applyProtection="1">
      <alignment horizontal="center"/>
      <protection locked="0"/>
    </xf>
    <xf numFmtId="0" fontId="3" fillId="3" borderId="46" xfId="0" applyFont="1" applyFill="1" applyBorder="1"/>
    <xf numFmtId="0" fontId="0" fillId="3" borderId="46" xfId="0" applyFill="1" applyBorder="1" applyAlignment="1">
      <alignment horizontal="center"/>
    </xf>
    <xf numFmtId="169" fontId="3" fillId="3" borderId="46" xfId="37" applyFont="1" applyFill="1" applyBorder="1" applyAlignment="1" applyProtection="1">
      <alignment horizontal="center"/>
    </xf>
    <xf numFmtId="171" fontId="3" fillId="2" borderId="46" xfId="0" applyNumberFormat="1" applyFont="1" applyFill="1" applyBorder="1" applyAlignment="1" applyProtection="1">
      <alignment horizontal="center"/>
      <protection locked="0"/>
    </xf>
    <xf numFmtId="169" fontId="5" fillId="6" borderId="2" xfId="37" applyFont="1" applyFill="1" applyBorder="1" applyAlignment="1" applyProtection="1"/>
    <xf numFmtId="169" fontId="16" fillId="0" borderId="0" xfId="37" applyFont="1" applyFill="1" applyBorder="1" applyAlignment="1" applyProtection="1"/>
    <xf numFmtId="169" fontId="16" fillId="6" borderId="0" xfId="37" applyFont="1" applyFill="1" applyBorder="1" applyAlignment="1" applyProtection="1"/>
    <xf numFmtId="169" fontId="5" fillId="0" borderId="0" xfId="37" applyFont="1" applyFill="1" applyBorder="1" applyAlignment="1" applyProtection="1"/>
    <xf numFmtId="0" fontId="21" fillId="0" borderId="2" xfId="0" applyFont="1" applyBorder="1" applyAlignment="1">
      <alignment wrapText="1" shrinkToFit="1"/>
    </xf>
    <xf numFmtId="0" fontId="21" fillId="0" borderId="2" xfId="0" applyFont="1" applyBorder="1" applyAlignment="1">
      <alignment wrapText="1"/>
    </xf>
    <xf numFmtId="0" fontId="13" fillId="0" borderId="2" xfId="0" applyFont="1" applyBorder="1"/>
    <xf numFmtId="0" fontId="13" fillId="0" borderId="2" xfId="0" applyFont="1" applyBorder="1" applyAlignment="1">
      <alignment horizontal="right"/>
    </xf>
    <xf numFmtId="169" fontId="0" fillId="0" borderId="2" xfId="37" applyFont="1" applyFill="1" applyBorder="1" applyAlignment="1" applyProtection="1"/>
    <xf numFmtId="171" fontId="0" fillId="2" borderId="2" xfId="29" applyFont="1" applyFill="1" applyBorder="1" applyAlignment="1" applyProtection="1">
      <alignment horizontal="center"/>
    </xf>
    <xf numFmtId="0" fontId="13" fillId="0" borderId="0" xfId="0" applyFont="1" applyAlignment="1">
      <alignment horizontal="right"/>
    </xf>
    <xf numFmtId="180" fontId="3" fillId="2" borderId="2" xfId="0" applyNumberFormat="1" applyFont="1" applyFill="1" applyBorder="1" applyProtection="1">
      <protection locked="0"/>
    </xf>
    <xf numFmtId="169" fontId="3" fillId="7" borderId="2" xfId="37" applyFont="1" applyFill="1" applyBorder="1" applyAlignment="1" applyProtection="1"/>
    <xf numFmtId="169" fontId="3" fillId="0" borderId="0" xfId="37" applyFont="1" applyFill="1" applyBorder="1" applyAlignment="1" applyProtection="1"/>
    <xf numFmtId="169" fontId="16" fillId="7" borderId="0" xfId="37" applyFont="1" applyFill="1" applyBorder="1" applyAlignment="1" applyProtection="1"/>
    <xf numFmtId="0" fontId="5" fillId="0" borderId="0" xfId="0" applyFont="1" applyAlignment="1">
      <alignment horizontal="right"/>
    </xf>
    <xf numFmtId="2" fontId="5" fillId="3" borderId="2" xfId="0" applyNumberFormat="1" applyFont="1" applyFill="1" applyBorder="1" applyAlignment="1">
      <alignment horizontal="center"/>
    </xf>
    <xf numFmtId="0" fontId="0" fillId="0" borderId="2" xfId="0" applyBorder="1" applyAlignment="1">
      <alignment horizontal="center"/>
    </xf>
    <xf numFmtId="169" fontId="3" fillId="3" borderId="2" xfId="37" applyFont="1" applyFill="1" applyBorder="1" applyAlignment="1" applyProtection="1"/>
    <xf numFmtId="0" fontId="0" fillId="3" borderId="44" xfId="0" applyFill="1" applyBorder="1" applyAlignment="1">
      <alignment horizontal="center"/>
    </xf>
    <xf numFmtId="169" fontId="5" fillId="0" borderId="2" xfId="37" applyFont="1" applyFill="1" applyBorder="1" applyAlignment="1" applyProtection="1"/>
    <xf numFmtId="170" fontId="13" fillId="5" borderId="0" xfId="0" applyNumberFormat="1" applyFont="1" applyFill="1"/>
    <xf numFmtId="170" fontId="13" fillId="5" borderId="0" xfId="29" applyNumberFormat="1" applyFont="1" applyFill="1" applyBorder="1" applyAlignment="1" applyProtection="1"/>
    <xf numFmtId="0" fontId="0" fillId="0" borderId="2" xfId="0" applyBorder="1"/>
    <xf numFmtId="0" fontId="8" fillId="0" borderId="2" xfId="0" applyFont="1" applyBorder="1"/>
    <xf numFmtId="2" fontId="3" fillId="0" borderId="0" xfId="0" applyNumberFormat="1" applyFont="1"/>
    <xf numFmtId="2" fontId="3" fillId="2" borderId="2" xfId="0" applyNumberFormat="1" applyFont="1" applyFill="1" applyBorder="1" applyProtection="1">
      <protection locked="0"/>
    </xf>
    <xf numFmtId="0" fontId="3" fillId="0" borderId="45" xfId="0" applyFont="1" applyBorder="1"/>
    <xf numFmtId="1" fontId="3" fillId="0" borderId="46" xfId="0" applyNumberFormat="1" applyFont="1" applyBorder="1"/>
    <xf numFmtId="2" fontId="3" fillId="0" borderId="45" xfId="0" applyNumberFormat="1" applyFont="1" applyBorder="1"/>
    <xf numFmtId="181" fontId="5" fillId="0" borderId="26" xfId="37" applyNumberFormat="1" applyFont="1" applyFill="1" applyBorder="1" applyAlignment="1" applyProtection="1"/>
    <xf numFmtId="169" fontId="3" fillId="0" borderId="67" xfId="37" applyFont="1" applyFill="1" applyBorder="1" applyAlignment="1" applyProtection="1"/>
    <xf numFmtId="181" fontId="3" fillId="0" borderId="46" xfId="37" applyNumberFormat="1" applyFont="1" applyFill="1" applyBorder="1" applyAlignment="1" applyProtection="1"/>
    <xf numFmtId="169" fontId="0" fillId="0" borderId="17" xfId="0" applyNumberFormat="1" applyBorder="1"/>
    <xf numFmtId="169" fontId="0" fillId="0" borderId="19" xfId="0" applyNumberFormat="1" applyBorder="1"/>
    <xf numFmtId="0" fontId="8" fillId="0" borderId="18" xfId="0" applyFont="1" applyBorder="1"/>
    <xf numFmtId="169" fontId="8" fillId="0" borderId="19" xfId="0" applyNumberFormat="1" applyFont="1" applyBorder="1"/>
    <xf numFmtId="1" fontId="0" fillId="0" borderId="19" xfId="0" applyNumberFormat="1" applyBorder="1"/>
    <xf numFmtId="0" fontId="0" fillId="0" borderId="20" xfId="0" applyBorder="1"/>
    <xf numFmtId="175" fontId="46" fillId="0" borderId="22" xfId="37" applyNumberFormat="1" applyFill="1" applyBorder="1" applyAlignment="1" applyProtection="1"/>
    <xf numFmtId="182" fontId="0" fillId="0" borderId="4" xfId="0" applyNumberFormat="1" applyBorder="1"/>
    <xf numFmtId="168" fontId="0" fillId="0" borderId="4" xfId="0" applyNumberFormat="1" applyBorder="1"/>
    <xf numFmtId="169" fontId="0" fillId="0" borderId="4" xfId="0" applyNumberFormat="1" applyBorder="1"/>
    <xf numFmtId="175" fontId="0" fillId="0" borderId="4" xfId="0" applyNumberFormat="1" applyBorder="1"/>
    <xf numFmtId="169" fontId="46" fillId="0" borderId="4" xfId="37" applyFill="1" applyBorder="1" applyAlignment="1" applyProtection="1"/>
    <xf numFmtId="176" fontId="0" fillId="0" borderId="4" xfId="0" applyNumberFormat="1" applyBorder="1"/>
    <xf numFmtId="176" fontId="30" fillId="0" borderId="4" xfId="0" applyNumberFormat="1" applyFont="1" applyBorder="1"/>
    <xf numFmtId="170" fontId="46" fillId="0" borderId="4" xfId="29" applyNumberFormat="1" applyFill="1" applyBorder="1" applyAlignment="1" applyProtection="1"/>
    <xf numFmtId="168" fontId="30" fillId="0" borderId="4" xfId="0" applyNumberFormat="1" applyFont="1" applyBorder="1"/>
    <xf numFmtId="168" fontId="30" fillId="0" borderId="5" xfId="0" applyNumberFormat="1" applyFont="1" applyBorder="1"/>
    <xf numFmtId="182" fontId="30" fillId="0" borderId="4" xfId="0" applyNumberFormat="1" applyFont="1" applyBorder="1"/>
    <xf numFmtId="176" fontId="0" fillId="0" borderId="0" xfId="0" applyNumberFormat="1"/>
    <xf numFmtId="181" fontId="16" fillId="0" borderId="26" xfId="37" applyNumberFormat="1" applyFont="1" applyFill="1" applyBorder="1" applyAlignment="1" applyProtection="1"/>
    <xf numFmtId="170" fontId="46" fillId="0" borderId="0" xfId="29" applyNumberFormat="1" applyFill="1" applyBorder="1" applyAlignment="1" applyProtection="1"/>
    <xf numFmtId="169" fontId="3" fillId="4" borderId="60" xfId="37" applyFont="1" applyFill="1" applyBorder="1" applyAlignment="1" applyProtection="1"/>
    <xf numFmtId="169" fontId="3" fillId="4" borderId="25" xfId="37" applyFont="1" applyFill="1" applyBorder="1" applyAlignment="1" applyProtection="1"/>
    <xf numFmtId="169" fontId="3" fillId="4" borderId="2" xfId="37" applyFont="1" applyFill="1" applyBorder="1" applyAlignment="1" applyProtection="1"/>
    <xf numFmtId="0" fontId="5" fillId="3" borderId="52" xfId="0" applyFont="1" applyFill="1" applyBorder="1" applyAlignment="1">
      <alignment horizontal="right"/>
    </xf>
    <xf numFmtId="171" fontId="3" fillId="2" borderId="26" xfId="0" applyNumberFormat="1" applyFont="1" applyFill="1" applyBorder="1" applyAlignment="1" applyProtection="1">
      <alignment horizontal="center"/>
      <protection locked="0"/>
    </xf>
    <xf numFmtId="0" fontId="15" fillId="3" borderId="68" xfId="0" applyFont="1" applyFill="1" applyBorder="1" applyAlignment="1">
      <alignment horizontal="center"/>
    </xf>
    <xf numFmtId="168" fontId="3" fillId="3" borderId="69" xfId="5" applyFont="1" applyFill="1" applyBorder="1" applyAlignment="1" applyProtection="1"/>
    <xf numFmtId="2" fontId="5" fillId="3" borderId="52" xfId="0" applyNumberFormat="1" applyFont="1" applyFill="1" applyBorder="1" applyAlignment="1">
      <alignment horizontal="right"/>
    </xf>
    <xf numFmtId="1" fontId="3" fillId="2" borderId="70" xfId="0" applyNumberFormat="1" applyFont="1" applyFill="1" applyBorder="1" applyAlignment="1" applyProtection="1">
      <alignment horizontal="center"/>
      <protection locked="0"/>
    </xf>
    <xf numFmtId="0" fontId="15" fillId="4" borderId="68" xfId="0" applyFont="1" applyFill="1" applyBorder="1" applyAlignment="1">
      <alignment horizontal="center"/>
    </xf>
    <xf numFmtId="168" fontId="3" fillId="4" borderId="69" xfId="5" applyFont="1" applyFill="1" applyBorder="1" applyAlignment="1" applyProtection="1"/>
    <xf numFmtId="169" fontId="3" fillId="4" borderId="71" xfId="37" applyFont="1" applyFill="1" applyBorder="1" applyAlignment="1" applyProtection="1"/>
    <xf numFmtId="0" fontId="16" fillId="0" borderId="26" xfId="37" applyNumberFormat="1" applyFont="1" applyFill="1" applyBorder="1" applyAlignment="1" applyProtection="1"/>
    <xf numFmtId="0" fontId="9" fillId="2" borderId="59" xfId="0" applyFont="1" applyFill="1" applyBorder="1" applyProtection="1">
      <protection locked="0"/>
    </xf>
    <xf numFmtId="0" fontId="9" fillId="0" borderId="43" xfId="0" applyFont="1" applyBorder="1"/>
    <xf numFmtId="0" fontId="3" fillId="2" borderId="0" xfId="0" applyFont="1" applyFill="1" applyProtection="1">
      <protection locked="0"/>
    </xf>
    <xf numFmtId="2" fontId="3" fillId="3" borderId="0" xfId="0" applyNumberFormat="1" applyFont="1" applyFill="1"/>
    <xf numFmtId="2" fontId="3" fillId="3" borderId="2" xfId="0" applyNumberFormat="1" applyFont="1" applyFill="1" applyBorder="1"/>
    <xf numFmtId="0" fontId="3" fillId="2" borderId="45" xfId="0" applyFont="1" applyFill="1" applyBorder="1" applyProtection="1">
      <protection locked="0"/>
    </xf>
    <xf numFmtId="2" fontId="3" fillId="3" borderId="45" xfId="0" applyNumberFormat="1" applyFont="1" applyFill="1" applyBorder="1"/>
    <xf numFmtId="0" fontId="5" fillId="2" borderId="0" xfId="0" applyFont="1" applyFill="1" applyProtection="1">
      <protection locked="0"/>
    </xf>
    <xf numFmtId="181" fontId="5" fillId="3" borderId="26" xfId="37" applyNumberFormat="1" applyFont="1" applyFill="1" applyBorder="1" applyAlignment="1" applyProtection="1"/>
    <xf numFmtId="169" fontId="3" fillId="3" borderId="67" xfId="37" applyFont="1" applyFill="1" applyBorder="1" applyAlignment="1" applyProtection="1"/>
    <xf numFmtId="181" fontId="3" fillId="3" borderId="46" xfId="37" applyNumberFormat="1" applyFont="1" applyFill="1" applyBorder="1" applyAlignment="1" applyProtection="1"/>
    <xf numFmtId="169" fontId="3" fillId="3" borderId="0" xfId="37" applyFont="1" applyFill="1" applyBorder="1" applyAlignment="1" applyProtection="1"/>
    <xf numFmtId="0" fontId="46" fillId="0" borderId="0" xfId="24"/>
    <xf numFmtId="0" fontId="0" fillId="0" borderId="0" xfId="24" applyFont="1"/>
    <xf numFmtId="0" fontId="0" fillId="2" borderId="4" xfId="24" applyFont="1" applyFill="1" applyBorder="1" applyAlignment="1" applyProtection="1">
      <alignment horizontal="center"/>
      <protection locked="0"/>
    </xf>
    <xf numFmtId="0" fontId="3" fillId="2" borderId="66" xfId="0" applyFont="1" applyFill="1" applyBorder="1" applyAlignment="1" applyProtection="1">
      <alignment horizontal="center"/>
      <protection locked="0"/>
    </xf>
    <xf numFmtId="169" fontId="3" fillId="2" borderId="66" xfId="37" applyFont="1" applyFill="1" applyBorder="1" applyAlignment="1" applyProtection="1">
      <protection locked="0"/>
    </xf>
    <xf numFmtId="0" fontId="20" fillId="2" borderId="62" xfId="0" applyFont="1" applyFill="1" applyBorder="1" applyProtection="1">
      <protection locked="0"/>
    </xf>
    <xf numFmtId="0" fontId="29" fillId="3" borderId="62" xfId="0" applyFont="1" applyFill="1" applyBorder="1"/>
    <xf numFmtId="183" fontId="29" fillId="2" borderId="63" xfId="37" applyNumberFormat="1" applyFont="1" applyFill="1" applyBorder="1" applyAlignment="1" applyProtection="1">
      <protection locked="0"/>
    </xf>
    <xf numFmtId="0" fontId="20" fillId="2" borderId="2" xfId="0" applyFont="1" applyFill="1" applyBorder="1" applyProtection="1">
      <protection locked="0"/>
    </xf>
    <xf numFmtId="0" fontId="15" fillId="2" borderId="28" xfId="0" applyFont="1" applyFill="1" applyBorder="1" applyProtection="1">
      <protection locked="0"/>
    </xf>
    <xf numFmtId="0" fontId="3" fillId="8" borderId="76" xfId="0" applyFont="1" applyFill="1" applyBorder="1" applyProtection="1">
      <protection locked="0"/>
    </xf>
    <xf numFmtId="0" fontId="0" fillId="8" borderId="77" xfId="0" applyFill="1" applyBorder="1" applyProtection="1">
      <protection locked="0"/>
    </xf>
    <xf numFmtId="0" fontId="3" fillId="8" borderId="77" xfId="0" applyFont="1" applyFill="1" applyBorder="1" applyAlignment="1" applyProtection="1">
      <alignment horizontal="center"/>
      <protection locked="0"/>
    </xf>
    <xf numFmtId="2" fontId="3" fillId="8" borderId="77" xfId="0" applyNumberFormat="1" applyFont="1" applyFill="1" applyBorder="1" applyAlignment="1" applyProtection="1">
      <alignment horizontal="center"/>
      <protection locked="0"/>
    </xf>
    <xf numFmtId="183" fontId="3" fillId="8" borderId="78" xfId="37" applyNumberFormat="1" applyFont="1" applyFill="1" applyBorder="1" applyAlignment="1" applyProtection="1">
      <alignment horizontal="center"/>
      <protection locked="0"/>
    </xf>
    <xf numFmtId="2" fontId="3" fillId="2" borderId="28" xfId="0" applyNumberFormat="1" applyFont="1" applyFill="1" applyBorder="1" applyAlignment="1" applyProtection="1">
      <alignment horizontal="center"/>
      <protection locked="0"/>
    </xf>
    <xf numFmtId="183" fontId="3" fillId="2" borderId="2" xfId="37" applyNumberFormat="1" applyFont="1" applyFill="1" applyBorder="1" applyAlignment="1" applyProtection="1">
      <alignment horizontal="center"/>
      <protection locked="0"/>
    </xf>
    <xf numFmtId="169" fontId="14" fillId="0" borderId="2" xfId="37" applyFont="1" applyFill="1" applyBorder="1" applyAlignment="1" applyProtection="1">
      <alignment horizontal="left" indent="3"/>
    </xf>
    <xf numFmtId="170" fontId="22" fillId="0" borderId="0" xfId="29" applyNumberFormat="1" applyFont="1" applyFill="1" applyBorder="1" applyAlignment="1" applyProtection="1"/>
    <xf numFmtId="169" fontId="5" fillId="6" borderId="2" xfId="37" applyFont="1" applyFill="1" applyBorder="1" applyAlignment="1" applyProtection="1">
      <alignment horizontal="right"/>
    </xf>
    <xf numFmtId="0" fontId="13" fillId="3" borderId="66" xfId="0" applyFont="1" applyFill="1" applyBorder="1" applyProtection="1">
      <protection locked="0"/>
    </xf>
    <xf numFmtId="0" fontId="3" fillId="3" borderId="46" xfId="0" applyFont="1" applyFill="1" applyBorder="1" applyProtection="1">
      <protection locked="0"/>
    </xf>
    <xf numFmtId="170" fontId="5" fillId="0" borderId="0" xfId="29" applyNumberFormat="1" applyFont="1" applyFill="1" applyBorder="1" applyAlignment="1" applyProtection="1"/>
    <xf numFmtId="169" fontId="0" fillId="0" borderId="0" xfId="37" applyFont="1" applyFill="1" applyBorder="1" applyAlignment="1" applyProtection="1"/>
    <xf numFmtId="169" fontId="5" fillId="0" borderId="0" xfId="0" applyNumberFormat="1" applyFont="1"/>
    <xf numFmtId="170" fontId="5" fillId="0" borderId="0" xfId="0" applyNumberFormat="1" applyFont="1"/>
    <xf numFmtId="182" fontId="0" fillId="0" borderId="0" xfId="0" applyNumberFormat="1"/>
    <xf numFmtId="184" fontId="0" fillId="0" borderId="0" xfId="0" applyNumberFormat="1"/>
    <xf numFmtId="185" fontId="46" fillId="0" borderId="0" xfId="37" applyNumberFormat="1" applyFill="1" applyBorder="1" applyAlignment="1" applyProtection="1"/>
    <xf numFmtId="173" fontId="46" fillId="0" borderId="0" xfId="5" applyNumberFormat="1" applyFill="1" applyBorder="1" applyAlignment="1" applyProtection="1">
      <alignment horizontal="right"/>
    </xf>
    <xf numFmtId="1" fontId="5" fillId="0" borderId="0" xfId="0" applyNumberFormat="1" applyFont="1" applyAlignment="1">
      <alignment horizontal="center"/>
    </xf>
    <xf numFmtId="171" fontId="46" fillId="0" borderId="0" xfId="29" applyFill="1" applyBorder="1" applyAlignment="1" applyProtection="1">
      <alignment horizontal="center"/>
    </xf>
    <xf numFmtId="181" fontId="46" fillId="0" borderId="0" xfId="37" applyNumberFormat="1" applyFill="1" applyBorder="1" applyAlignment="1" applyProtection="1"/>
    <xf numFmtId="176" fontId="30" fillId="0" borderId="23" xfId="0" applyNumberFormat="1" applyFont="1" applyBorder="1"/>
    <xf numFmtId="169" fontId="46" fillId="0" borderId="8" xfId="37" applyFill="1" applyBorder="1" applyAlignment="1" applyProtection="1"/>
    <xf numFmtId="176" fontId="30" fillId="0" borderId="51" xfId="0" applyNumberFormat="1" applyFont="1" applyBorder="1"/>
    <xf numFmtId="0" fontId="9" fillId="0" borderId="0" xfId="0" applyFont="1" applyAlignment="1">
      <alignment horizontal="left"/>
    </xf>
    <xf numFmtId="2" fontId="0" fillId="2" borderId="4" xfId="0" applyNumberFormat="1" applyFill="1" applyBorder="1" applyAlignment="1" applyProtection="1">
      <alignment horizontal="center"/>
      <protection locked="0"/>
    </xf>
    <xf numFmtId="171" fontId="46" fillId="2" borderId="4" xfId="29" applyFill="1" applyBorder="1" applyAlignment="1" applyProtection="1">
      <alignment horizontal="center"/>
      <protection locked="0"/>
    </xf>
    <xf numFmtId="1" fontId="46" fillId="3" borderId="4" xfId="29" applyNumberFormat="1" applyFill="1" applyBorder="1" applyAlignment="1" applyProtection="1">
      <alignment horizontal="center"/>
    </xf>
    <xf numFmtId="1" fontId="0" fillId="3" borderId="4" xfId="29" applyNumberFormat="1" applyFont="1" applyFill="1" applyBorder="1" applyAlignment="1" applyProtection="1">
      <alignment horizontal="center"/>
    </xf>
    <xf numFmtId="2" fontId="46" fillId="3" borderId="4" xfId="29" applyNumberFormat="1" applyFill="1" applyBorder="1" applyAlignment="1" applyProtection="1">
      <alignment horizontal="center"/>
    </xf>
    <xf numFmtId="2" fontId="0" fillId="3" borderId="4" xfId="0" applyNumberFormat="1" applyFill="1" applyBorder="1" applyAlignment="1">
      <alignment horizontal="center"/>
    </xf>
    <xf numFmtId="1" fontId="0" fillId="3" borderId="4" xfId="0" applyNumberFormat="1" applyFill="1" applyBorder="1" applyAlignment="1">
      <alignment horizontal="center"/>
    </xf>
    <xf numFmtId="169" fontId="46" fillId="2" borderId="4" xfId="37" applyFill="1" applyBorder="1" applyAlignment="1" applyProtection="1">
      <alignment horizontal="center"/>
      <protection locked="0"/>
    </xf>
    <xf numFmtId="169" fontId="0" fillId="2" borderId="4" xfId="37" applyFont="1" applyFill="1" applyBorder="1" applyAlignment="1" applyProtection="1">
      <alignment horizontal="center"/>
      <protection locked="0"/>
    </xf>
    <xf numFmtId="171" fontId="46" fillId="6" borderId="0" xfId="29" applyFill="1" applyBorder="1" applyAlignment="1" applyProtection="1">
      <alignment horizontal="center"/>
    </xf>
    <xf numFmtId="171" fontId="8" fillId="0" borderId="0" xfId="0" applyNumberFormat="1" applyFont="1" applyAlignment="1">
      <alignment horizontal="center"/>
    </xf>
    <xf numFmtId="173" fontId="8" fillId="0" borderId="0" xfId="5" applyNumberFormat="1" applyFont="1" applyFill="1" applyBorder="1" applyAlignment="1" applyProtection="1">
      <alignment horizontal="center"/>
    </xf>
    <xf numFmtId="168" fontId="8" fillId="0" borderId="0" xfId="5" applyFont="1" applyFill="1" applyBorder="1" applyAlignment="1" applyProtection="1">
      <alignment horizontal="center"/>
    </xf>
    <xf numFmtId="168" fontId="8" fillId="0" borderId="0" xfId="0" applyNumberFormat="1" applyFont="1"/>
    <xf numFmtId="171" fontId="8" fillId="0" borderId="0" xfId="29" applyFont="1" applyFill="1" applyBorder="1" applyAlignment="1" applyProtection="1">
      <alignment horizontal="center"/>
    </xf>
    <xf numFmtId="176" fontId="8" fillId="0" borderId="0" xfId="0" applyNumberFormat="1" applyFont="1"/>
    <xf numFmtId="169" fontId="5" fillId="0" borderId="4" xfId="37" applyFont="1" applyFill="1" applyBorder="1" applyAlignment="1" applyProtection="1"/>
    <xf numFmtId="0" fontId="8" fillId="2" borderId="39" xfId="0" applyFont="1" applyFill="1" applyBorder="1" applyAlignment="1" applyProtection="1">
      <alignment horizontal="center"/>
      <protection locked="0"/>
    </xf>
    <xf numFmtId="171" fontId="0" fillId="0" borderId="0" xfId="0" applyNumberFormat="1" applyAlignment="1">
      <alignment horizontal="center"/>
    </xf>
    <xf numFmtId="168" fontId="13" fillId="0" borderId="4" xfId="5" applyFont="1" applyFill="1" applyBorder="1" applyAlignment="1" applyProtection="1">
      <alignment horizontal="center"/>
    </xf>
    <xf numFmtId="1" fontId="0" fillId="2" borderId="5" xfId="0" applyNumberFormat="1" applyFill="1" applyBorder="1" applyAlignment="1" applyProtection="1">
      <alignment horizontal="center"/>
      <protection locked="0"/>
    </xf>
    <xf numFmtId="169" fontId="13" fillId="0" borderId="4" xfId="37" applyFont="1" applyFill="1" applyBorder="1" applyAlignment="1" applyProtection="1">
      <alignment horizontal="center"/>
    </xf>
    <xf numFmtId="168" fontId="8" fillId="0" borderId="0" xfId="0" applyNumberFormat="1" applyFont="1" applyAlignment="1">
      <alignment horizontal="center"/>
    </xf>
    <xf numFmtId="173" fontId="8" fillId="0" borderId="0" xfId="0" applyNumberFormat="1" applyFont="1" applyAlignment="1">
      <alignment horizontal="center"/>
    </xf>
    <xf numFmtId="186" fontId="8" fillId="0" borderId="0" xfId="0" applyNumberFormat="1" applyFont="1" applyAlignment="1">
      <alignment horizontal="center"/>
    </xf>
    <xf numFmtId="0" fontId="0" fillId="3" borderId="0" xfId="0" applyFill="1"/>
    <xf numFmtId="0" fontId="5" fillId="3" borderId="79" xfId="0" applyFont="1" applyFill="1" applyBorder="1"/>
    <xf numFmtId="0" fontId="0" fillId="0" borderId="80" xfId="0" applyBorder="1"/>
    <xf numFmtId="0" fontId="0" fillId="0" borderId="81" xfId="0" applyBorder="1"/>
    <xf numFmtId="0" fontId="14" fillId="0" borderId="82" xfId="0" applyFont="1" applyBorder="1"/>
    <xf numFmtId="0" fontId="0" fillId="0" borderId="83" xfId="0" applyBorder="1"/>
    <xf numFmtId="0" fontId="0" fillId="0" borderId="82" xfId="0" applyBorder="1"/>
    <xf numFmtId="0" fontId="13" fillId="0" borderId="83" xfId="0" applyFont="1" applyBorder="1" applyAlignment="1">
      <alignment horizontal="center"/>
    </xf>
    <xf numFmtId="0" fontId="0" fillId="2" borderId="84" xfId="0" applyFill="1" applyBorder="1" applyProtection="1">
      <protection locked="0"/>
    </xf>
    <xf numFmtId="170" fontId="0" fillId="2" borderId="84" xfId="0" applyNumberFormat="1" applyFill="1" applyBorder="1" applyProtection="1">
      <protection locked="0"/>
    </xf>
    <xf numFmtId="0" fontId="0" fillId="2" borderId="85" xfId="0" applyFill="1" applyBorder="1" applyProtection="1">
      <protection locked="0"/>
    </xf>
    <xf numFmtId="0" fontId="0" fillId="2" borderId="5" xfId="0" applyFill="1" applyBorder="1" applyProtection="1">
      <protection locked="0"/>
    </xf>
    <xf numFmtId="0" fontId="0" fillId="2" borderId="86" xfId="0" applyFill="1" applyBorder="1" applyProtection="1">
      <protection locked="0"/>
    </xf>
    <xf numFmtId="0" fontId="0" fillId="2" borderId="8" xfId="0" applyFill="1" applyBorder="1" applyProtection="1">
      <protection locked="0"/>
    </xf>
    <xf numFmtId="170" fontId="0" fillId="4" borderId="0" xfId="0" applyNumberFormat="1" applyFill="1"/>
    <xf numFmtId="171" fontId="46" fillId="2" borderId="85" xfId="29" applyFill="1" applyBorder="1" applyAlignment="1" applyProtection="1">
      <protection locked="0"/>
    </xf>
    <xf numFmtId="171" fontId="0" fillId="2" borderId="5" xfId="0" applyNumberFormat="1" applyFill="1" applyBorder="1" applyProtection="1">
      <protection locked="0"/>
    </xf>
    <xf numFmtId="171" fontId="0" fillId="2" borderId="86" xfId="0" applyNumberFormat="1" applyFill="1" applyBorder="1" applyProtection="1">
      <protection locked="0"/>
    </xf>
    <xf numFmtId="171" fontId="0" fillId="2" borderId="8" xfId="0" applyNumberFormat="1" applyFill="1" applyBorder="1" applyProtection="1">
      <protection locked="0"/>
    </xf>
    <xf numFmtId="171" fontId="0" fillId="2" borderId="84" xfId="0" applyNumberFormat="1" applyFill="1" applyBorder="1" applyProtection="1">
      <protection locked="0"/>
    </xf>
    <xf numFmtId="0" fontId="0" fillId="0" borderId="85" xfId="0" applyBorder="1"/>
    <xf numFmtId="2" fontId="0" fillId="2" borderId="4" xfId="0" applyNumberFormat="1" applyFill="1" applyBorder="1" applyProtection="1">
      <protection locked="0"/>
    </xf>
    <xf numFmtId="2" fontId="0" fillId="2" borderId="5" xfId="0" applyNumberFormat="1" applyFill="1" applyBorder="1" applyProtection="1">
      <protection locked="0"/>
    </xf>
    <xf numFmtId="2" fontId="0" fillId="2" borderId="86" xfId="0" applyNumberFormat="1" applyFill="1" applyBorder="1" applyProtection="1">
      <protection locked="0"/>
    </xf>
    <xf numFmtId="2" fontId="0" fillId="2" borderId="8" xfId="0" applyNumberFormat="1" applyFill="1" applyBorder="1" applyProtection="1">
      <protection locked="0"/>
    </xf>
    <xf numFmtId="171" fontId="0" fillId="4" borderId="0" xfId="0" applyNumberFormat="1" applyFill="1"/>
    <xf numFmtId="1" fontId="0" fillId="3" borderId="84" xfId="0" applyNumberFormat="1" applyFill="1" applyBorder="1" applyAlignment="1">
      <alignment horizontal="right"/>
    </xf>
    <xf numFmtId="183" fontId="46" fillId="2" borderId="85" xfId="37" applyNumberFormat="1" applyFill="1" applyBorder="1" applyAlignment="1" applyProtection="1">
      <protection locked="0"/>
    </xf>
    <xf numFmtId="183" fontId="46" fillId="2" borderId="4" xfId="37" applyNumberFormat="1" applyFill="1" applyBorder="1" applyAlignment="1" applyProtection="1">
      <protection locked="0"/>
    </xf>
    <xf numFmtId="183" fontId="46" fillId="2" borderId="5" xfId="37" applyNumberFormat="1" applyFill="1" applyBorder="1" applyAlignment="1" applyProtection="1">
      <protection locked="0"/>
    </xf>
    <xf numFmtId="183" fontId="46" fillId="2" borderId="86" xfId="37" applyNumberFormat="1" applyFill="1" applyBorder="1" applyAlignment="1" applyProtection="1">
      <protection locked="0"/>
    </xf>
    <xf numFmtId="183" fontId="46" fillId="2" borderId="8" xfId="37" applyNumberFormat="1" applyFill="1" applyBorder="1" applyAlignment="1" applyProtection="1">
      <protection locked="0"/>
    </xf>
    <xf numFmtId="1" fontId="0" fillId="4" borderId="0" xfId="0" applyNumberFormat="1" applyFill="1" applyAlignment="1">
      <alignment horizontal="right"/>
    </xf>
    <xf numFmtId="183" fontId="46" fillId="3" borderId="4" xfId="37" applyNumberFormat="1" applyFill="1" applyBorder="1" applyAlignment="1" applyProtection="1"/>
    <xf numFmtId="183" fontId="46" fillId="3" borderId="5" xfId="37" applyNumberFormat="1" applyFill="1" applyBorder="1" applyAlignment="1" applyProtection="1"/>
    <xf numFmtId="183" fontId="46" fillId="3" borderId="86" xfId="37" applyNumberFormat="1" applyFill="1" applyBorder="1" applyAlignment="1" applyProtection="1"/>
    <xf numFmtId="183" fontId="46" fillId="3" borderId="8" xfId="37" applyNumberFormat="1" applyFill="1" applyBorder="1" applyAlignment="1" applyProtection="1"/>
    <xf numFmtId="183" fontId="46" fillId="3" borderId="84" xfId="37" applyNumberFormat="1" applyFill="1" applyBorder="1" applyAlignment="1" applyProtection="1">
      <alignment horizontal="right"/>
    </xf>
    <xf numFmtId="0" fontId="0" fillId="0" borderId="82" xfId="0" applyBorder="1" applyProtection="1">
      <protection locked="0"/>
    </xf>
    <xf numFmtId="0" fontId="0" fillId="0" borderId="87" xfId="0" applyBorder="1" applyProtection="1">
      <protection locked="0"/>
    </xf>
    <xf numFmtId="0" fontId="5" fillId="3" borderId="88" xfId="0" applyFont="1" applyFill="1" applyBorder="1"/>
    <xf numFmtId="0" fontId="0" fillId="0" borderId="89" xfId="0" applyBorder="1"/>
    <xf numFmtId="0" fontId="0" fillId="4" borderId="16" xfId="0" applyFill="1" applyBorder="1"/>
    <xf numFmtId="0" fontId="8" fillId="0" borderId="16" xfId="0" applyFont="1" applyBorder="1" applyAlignment="1">
      <alignment horizontal="right"/>
    </xf>
    <xf numFmtId="171" fontId="0" fillId="2" borderId="90" xfId="0" applyNumberFormat="1" applyFill="1" applyBorder="1" applyProtection="1">
      <protection locked="0"/>
    </xf>
    <xf numFmtId="171" fontId="0" fillId="2" borderId="91" xfId="0" applyNumberFormat="1" applyFill="1" applyBorder="1" applyProtection="1">
      <protection locked="0"/>
    </xf>
    <xf numFmtId="171" fontId="0" fillId="2" borderId="92" xfId="0" applyNumberFormat="1" applyFill="1" applyBorder="1" applyProtection="1">
      <protection locked="0"/>
    </xf>
    <xf numFmtId="171" fontId="0" fillId="2" borderId="93" xfId="0" applyNumberFormat="1" applyFill="1" applyBorder="1" applyProtection="1">
      <protection locked="0"/>
    </xf>
    <xf numFmtId="171" fontId="0" fillId="2" borderId="94" xfId="0" applyNumberFormat="1" applyFill="1" applyBorder="1" applyProtection="1">
      <protection locked="0"/>
    </xf>
    <xf numFmtId="171" fontId="8" fillId="0" borderId="82" xfId="0" applyNumberFormat="1" applyFont="1" applyBorder="1"/>
    <xf numFmtId="0" fontId="0" fillId="0" borderId="82" xfId="0" applyBorder="1" applyAlignment="1">
      <alignment horizontal="right"/>
    </xf>
    <xf numFmtId="0" fontId="0" fillId="0" borderId="87" xfId="0" applyBorder="1"/>
    <xf numFmtId="0" fontId="8" fillId="0" borderId="82" xfId="0" applyFont="1" applyBorder="1"/>
    <xf numFmtId="1" fontId="33" fillId="2" borderId="84" xfId="0" applyNumberFormat="1" applyFont="1" applyFill="1" applyBorder="1"/>
    <xf numFmtId="1" fontId="33" fillId="4" borderId="95" xfId="0" applyNumberFormat="1" applyFont="1" applyFill="1" applyBorder="1"/>
    <xf numFmtId="0" fontId="33" fillId="2" borderId="95" xfId="0" applyFont="1" applyFill="1" applyBorder="1" applyAlignment="1">
      <alignment horizontal="right"/>
    </xf>
    <xf numFmtId="2" fontId="33" fillId="2" borderId="85" xfId="0" applyNumberFormat="1" applyFont="1" applyFill="1" applyBorder="1"/>
    <xf numFmtId="2" fontId="33" fillId="2" borderId="4" xfId="0" applyNumberFormat="1" applyFont="1" applyFill="1" applyBorder="1"/>
    <xf numFmtId="2" fontId="33" fillId="2" borderId="5" xfId="0" applyNumberFormat="1" applyFont="1" applyFill="1" applyBorder="1"/>
    <xf numFmtId="2" fontId="33" fillId="2" borderId="86" xfId="0" applyNumberFormat="1" applyFont="1" applyFill="1" applyBorder="1"/>
    <xf numFmtId="2" fontId="33" fillId="2" borderId="8" xfId="0" applyNumberFormat="1" applyFont="1" applyFill="1" applyBorder="1"/>
    <xf numFmtId="1" fontId="8" fillId="2" borderId="82" xfId="0" applyNumberFormat="1" applyFont="1" applyFill="1" applyBorder="1"/>
    <xf numFmtId="171" fontId="13" fillId="0" borderId="83" xfId="29" applyFont="1" applyFill="1" applyBorder="1" applyAlignment="1" applyProtection="1">
      <alignment horizontal="center"/>
    </xf>
    <xf numFmtId="2" fontId="0" fillId="0" borderId="82" xfId="0" applyNumberFormat="1" applyBorder="1"/>
    <xf numFmtId="2" fontId="0" fillId="0" borderId="87" xfId="0" applyNumberFormat="1" applyBorder="1"/>
    <xf numFmtId="1" fontId="8" fillId="0" borderId="82" xfId="0" applyNumberFormat="1" applyFont="1" applyBorder="1"/>
    <xf numFmtId="173" fontId="46" fillId="0" borderId="83" xfId="5" applyNumberFormat="1" applyFill="1" applyBorder="1" applyAlignment="1" applyProtection="1"/>
    <xf numFmtId="173" fontId="46" fillId="4" borderId="0" xfId="5" applyNumberFormat="1" applyFill="1" applyBorder="1" applyAlignment="1" applyProtection="1"/>
    <xf numFmtId="2" fontId="8" fillId="0" borderId="82" xfId="0" applyNumberFormat="1" applyFont="1" applyBorder="1"/>
    <xf numFmtId="2" fontId="8" fillId="0" borderId="87" xfId="0" applyNumberFormat="1" applyFont="1" applyBorder="1"/>
    <xf numFmtId="1" fontId="0" fillId="0" borderId="83" xfId="0" applyNumberFormat="1" applyBorder="1"/>
    <xf numFmtId="1" fontId="0" fillId="4" borderId="0" xfId="0" applyNumberFormat="1" applyFill="1"/>
    <xf numFmtId="1" fontId="0" fillId="0" borderId="82" xfId="0" applyNumberFormat="1" applyBorder="1"/>
    <xf numFmtId="1" fontId="0" fillId="0" borderId="87" xfId="0" applyNumberFormat="1" applyBorder="1"/>
    <xf numFmtId="1" fontId="0" fillId="9" borderId="84" xfId="0" applyNumberFormat="1" applyFill="1" applyBorder="1"/>
    <xf numFmtId="1" fontId="0" fillId="4" borderId="95" xfId="0" applyNumberFormat="1" applyFill="1" applyBorder="1"/>
    <xf numFmtId="0" fontId="0" fillId="9" borderId="95" xfId="0" applyFill="1" applyBorder="1" applyAlignment="1">
      <alignment horizontal="right"/>
    </xf>
    <xf numFmtId="1" fontId="0" fillId="9" borderId="85" xfId="0" applyNumberFormat="1" applyFill="1" applyBorder="1"/>
    <xf numFmtId="1" fontId="0" fillId="9" borderId="4" xfId="0" applyNumberFormat="1" applyFill="1" applyBorder="1"/>
    <xf numFmtId="1" fontId="0" fillId="9" borderId="5" xfId="0" applyNumberFormat="1" applyFill="1" applyBorder="1"/>
    <xf numFmtId="1" fontId="0" fillId="9" borderId="86" xfId="0" applyNumberFormat="1" applyFill="1" applyBorder="1"/>
    <xf numFmtId="1" fontId="0" fillId="9" borderId="8" xfId="0" applyNumberFormat="1" applyFill="1" applyBorder="1"/>
    <xf numFmtId="1" fontId="8" fillId="9" borderId="82" xfId="0" applyNumberFormat="1" applyFont="1" applyFill="1" applyBorder="1"/>
    <xf numFmtId="0" fontId="0" fillId="0" borderId="96" xfId="0" applyBorder="1"/>
    <xf numFmtId="0" fontId="0" fillId="0" borderId="97" xfId="0" applyBorder="1"/>
    <xf numFmtId="1" fontId="0" fillId="0" borderId="97" xfId="0" applyNumberFormat="1" applyBorder="1"/>
    <xf numFmtId="1" fontId="0" fillId="4" borderId="6" xfId="0" applyNumberFormat="1" applyFill="1" applyBorder="1"/>
    <xf numFmtId="0" fontId="0" fillId="0" borderId="6" xfId="0" applyBorder="1" applyAlignment="1">
      <alignment horizontal="right"/>
    </xf>
    <xf numFmtId="169" fontId="46" fillId="0" borderId="96" xfId="37" applyFill="1" applyBorder="1" applyAlignment="1" applyProtection="1"/>
    <xf numFmtId="169" fontId="46" fillId="0" borderId="6" xfId="37" applyFill="1" applyBorder="1" applyAlignment="1" applyProtection="1"/>
    <xf numFmtId="169" fontId="46" fillId="0" borderId="98" xfId="37" applyFill="1" applyBorder="1" applyAlignment="1" applyProtection="1"/>
    <xf numFmtId="169" fontId="0" fillId="0" borderId="82" xfId="37" applyFont="1" applyFill="1" applyBorder="1" applyAlignment="1" applyProtection="1"/>
    <xf numFmtId="0" fontId="8" fillId="0" borderId="0" xfId="0" applyFont="1" applyAlignment="1">
      <alignment horizontal="center"/>
    </xf>
    <xf numFmtId="0" fontId="0" fillId="0" borderId="16" xfId="0" applyBorder="1" applyAlignment="1">
      <alignment horizontal="right"/>
    </xf>
    <xf numFmtId="0" fontId="0" fillId="2" borderId="99" xfId="0" applyFill="1" applyBorder="1" applyProtection="1">
      <protection locked="0"/>
    </xf>
    <xf numFmtId="1" fontId="0" fillId="9" borderId="99" xfId="0" applyNumberFormat="1" applyFill="1" applyBorder="1"/>
    <xf numFmtId="1" fontId="0" fillId="4" borderId="73" xfId="0" applyNumberFormat="1" applyFill="1" applyBorder="1"/>
    <xf numFmtId="0" fontId="0" fillId="9" borderId="73" xfId="0" applyFill="1" applyBorder="1" applyAlignment="1">
      <alignment horizontal="right"/>
    </xf>
    <xf numFmtId="1" fontId="0" fillId="9" borderId="100" xfId="0" applyNumberFormat="1" applyFill="1" applyBorder="1"/>
    <xf numFmtId="1" fontId="0" fillId="9" borderId="23" xfId="0" applyNumberFormat="1" applyFill="1" applyBorder="1"/>
    <xf numFmtId="1" fontId="0" fillId="9" borderId="101" xfId="0" applyNumberFormat="1" applyFill="1" applyBorder="1"/>
    <xf numFmtId="1" fontId="0" fillId="9" borderId="102" xfId="0" applyNumberFormat="1" applyFill="1" applyBorder="1"/>
    <xf numFmtId="1" fontId="0" fillId="9" borderId="74" xfId="0" applyNumberFormat="1" applyFill="1" applyBorder="1"/>
    <xf numFmtId="169" fontId="46" fillId="0" borderId="82" xfId="37" applyFill="1" applyBorder="1" applyAlignment="1" applyProtection="1"/>
    <xf numFmtId="169" fontId="46" fillId="0" borderId="87" xfId="37" applyFill="1" applyBorder="1" applyAlignment="1" applyProtection="1"/>
    <xf numFmtId="0" fontId="0" fillId="4" borderId="6" xfId="0" applyFill="1" applyBorder="1"/>
    <xf numFmtId="0" fontId="0" fillId="0" borderId="98" xfId="0" applyBorder="1"/>
    <xf numFmtId="171" fontId="8" fillId="0" borderId="0" xfId="0" applyNumberFormat="1" applyFont="1"/>
    <xf numFmtId="171" fontId="8" fillId="0" borderId="87" xfId="0" applyNumberFormat="1" applyFont="1" applyBorder="1"/>
    <xf numFmtId="171" fontId="46" fillId="2" borderId="91" xfId="29" applyFill="1" applyBorder="1" applyAlignment="1" applyProtection="1">
      <protection locked="0"/>
    </xf>
    <xf numFmtId="171" fontId="46" fillId="2" borderId="92" xfId="29" applyFill="1" applyBorder="1" applyAlignment="1" applyProtection="1">
      <protection locked="0"/>
    </xf>
    <xf numFmtId="168" fontId="0" fillId="0" borderId="96" xfId="0" applyNumberFormat="1" applyBorder="1"/>
    <xf numFmtId="168" fontId="0" fillId="0" borderId="6" xfId="0" applyNumberFormat="1" applyBorder="1"/>
    <xf numFmtId="168" fontId="0" fillId="0" borderId="98" xfId="0" applyNumberFormat="1" applyBorder="1"/>
    <xf numFmtId="0" fontId="5" fillId="3" borderId="89" xfId="0" applyFont="1" applyFill="1" applyBorder="1"/>
    <xf numFmtId="2" fontId="8" fillId="0" borderId="97" xfId="0" applyNumberFormat="1" applyFont="1" applyBorder="1" applyAlignment="1">
      <alignment horizontal="center"/>
    </xf>
    <xf numFmtId="2" fontId="8" fillId="4" borderId="6" xfId="0" applyNumberFormat="1" applyFont="1" applyFill="1" applyBorder="1" applyAlignment="1">
      <alignment horizontal="center"/>
    </xf>
    <xf numFmtId="0" fontId="22" fillId="0" borderId="82" xfId="0" applyFont="1" applyBorder="1"/>
    <xf numFmtId="0" fontId="22" fillId="0" borderId="87" xfId="0" applyFont="1" applyBorder="1"/>
    <xf numFmtId="173" fontId="34" fillId="0" borderId="39" xfId="5" applyNumberFormat="1" applyFont="1" applyFill="1" applyBorder="1" applyAlignment="1" applyProtection="1">
      <alignment horizontal="right"/>
    </xf>
    <xf numFmtId="173" fontId="46" fillId="4" borderId="0" xfId="5" applyNumberFormat="1" applyFill="1" applyBorder="1" applyAlignment="1" applyProtection="1">
      <alignment horizontal="right"/>
    </xf>
    <xf numFmtId="173" fontId="13" fillId="0" borderId="82" xfId="5" applyNumberFormat="1" applyFont="1" applyFill="1" applyBorder="1" applyAlignment="1" applyProtection="1"/>
    <xf numFmtId="173" fontId="46" fillId="0" borderId="87" xfId="5" applyNumberFormat="1" applyFill="1" applyBorder="1" applyAlignment="1" applyProtection="1"/>
    <xf numFmtId="173" fontId="46" fillId="0" borderId="83" xfId="5" applyNumberFormat="1" applyFill="1" applyBorder="1" applyAlignment="1" applyProtection="1">
      <alignment horizontal="right"/>
    </xf>
    <xf numFmtId="185" fontId="46" fillId="0" borderId="82" xfId="37" applyNumberFormat="1" applyFill="1" applyBorder="1" applyAlignment="1" applyProtection="1"/>
    <xf numFmtId="0" fontId="14" fillId="8" borderId="82" xfId="0" applyFont="1" applyFill="1" applyBorder="1"/>
    <xf numFmtId="0" fontId="14" fillId="8" borderId="83" xfId="0" applyFont="1" applyFill="1" applyBorder="1"/>
    <xf numFmtId="173" fontId="46" fillId="8" borderId="83" xfId="5" applyNumberFormat="1" applyFill="1" applyBorder="1" applyAlignment="1" applyProtection="1">
      <alignment horizontal="right"/>
    </xf>
    <xf numFmtId="173" fontId="46" fillId="8" borderId="0" xfId="5" applyNumberFormat="1" applyFill="1" applyBorder="1" applyAlignment="1" applyProtection="1">
      <alignment horizontal="right"/>
    </xf>
    <xf numFmtId="0" fontId="8" fillId="8" borderId="0" xfId="0" applyFont="1" applyFill="1"/>
    <xf numFmtId="173" fontId="8" fillId="8" borderId="4" xfId="5" applyNumberFormat="1" applyFont="1" applyFill="1" applyBorder="1" applyAlignment="1" applyProtection="1"/>
    <xf numFmtId="173" fontId="8" fillId="8" borderId="5" xfId="5" applyNumberFormat="1" applyFont="1" applyFill="1" applyBorder="1" applyAlignment="1" applyProtection="1"/>
    <xf numFmtId="173" fontId="8" fillId="8" borderId="86" xfId="5" applyNumberFormat="1" applyFont="1" applyFill="1" applyBorder="1" applyAlignment="1" applyProtection="1"/>
    <xf numFmtId="173" fontId="8" fillId="8" borderId="8" xfId="5" applyNumberFormat="1" applyFont="1" applyFill="1" applyBorder="1" applyAlignment="1" applyProtection="1"/>
    <xf numFmtId="173" fontId="8" fillId="8" borderId="82" xfId="0" applyNumberFormat="1" applyFont="1" applyFill="1" applyBorder="1"/>
    <xf numFmtId="0" fontId="22" fillId="8" borderId="0" xfId="0" applyFont="1" applyFill="1" applyAlignment="1">
      <alignment horizontal="center"/>
    </xf>
    <xf numFmtId="171" fontId="22" fillId="8" borderId="83" xfId="29" applyFont="1" applyFill="1" applyBorder="1" applyAlignment="1" applyProtection="1">
      <alignment horizontal="center"/>
    </xf>
    <xf numFmtId="0" fontId="14" fillId="8" borderId="0" xfId="0" applyFont="1" applyFill="1"/>
    <xf numFmtId="0" fontId="0" fillId="8" borderId="0" xfId="0" applyFill="1"/>
    <xf numFmtId="171" fontId="8" fillId="8" borderId="4" xfId="29" applyFont="1" applyFill="1" applyBorder="1" applyAlignment="1" applyProtection="1">
      <alignment horizontal="center" vertical="center"/>
    </xf>
    <xf numFmtId="171" fontId="8" fillId="8" borderId="5" xfId="29" applyFont="1" applyFill="1" applyBorder="1" applyAlignment="1" applyProtection="1">
      <alignment horizontal="center" vertical="center"/>
    </xf>
    <xf numFmtId="171" fontId="8" fillId="8" borderId="86" xfId="29" applyFont="1" applyFill="1" applyBorder="1" applyAlignment="1" applyProtection="1"/>
    <xf numFmtId="171" fontId="8" fillId="8" borderId="8" xfId="29" applyFont="1" applyFill="1" applyBorder="1" applyAlignment="1" applyProtection="1"/>
    <xf numFmtId="171" fontId="8" fillId="8" borderId="4" xfId="29" applyFont="1" applyFill="1" applyBorder="1" applyAlignment="1" applyProtection="1"/>
    <xf numFmtId="171" fontId="8" fillId="8" borderId="5" xfId="29" applyFont="1" applyFill="1" applyBorder="1" applyAlignment="1" applyProtection="1"/>
    <xf numFmtId="171" fontId="8" fillId="8" borderId="82" xfId="0" applyNumberFormat="1" applyFont="1" applyFill="1" applyBorder="1"/>
    <xf numFmtId="1" fontId="8" fillId="8" borderId="0" xfId="0" applyNumberFormat="1" applyFont="1" applyFill="1" applyAlignment="1">
      <alignment horizontal="center"/>
    </xf>
    <xf numFmtId="173" fontId="8" fillId="8" borderId="4" xfId="5" applyNumberFormat="1" applyFont="1" applyFill="1" applyBorder="1" applyAlignment="1" applyProtection="1">
      <alignment horizontal="center"/>
    </xf>
    <xf numFmtId="173" fontId="8" fillId="8" borderId="5" xfId="0" applyNumberFormat="1" applyFont="1" applyFill="1" applyBorder="1" applyAlignment="1">
      <alignment horizontal="center"/>
    </xf>
    <xf numFmtId="0" fontId="22" fillId="8" borderId="83" xfId="0" applyFont="1" applyFill="1" applyBorder="1" applyAlignment="1">
      <alignment horizontal="center"/>
    </xf>
    <xf numFmtId="0" fontId="8" fillId="8" borderId="4" xfId="0" applyFont="1" applyFill="1" applyBorder="1"/>
    <xf numFmtId="0" fontId="8" fillId="8" borderId="5" xfId="0" applyFont="1" applyFill="1" applyBorder="1"/>
    <xf numFmtId="0" fontId="8" fillId="8" borderId="86" xfId="0" applyFont="1" applyFill="1" applyBorder="1"/>
    <xf numFmtId="0" fontId="8" fillId="8" borderId="8" xfId="0" applyFont="1" applyFill="1" applyBorder="1"/>
    <xf numFmtId="0" fontId="8" fillId="8" borderId="82" xfId="0" applyFont="1" applyFill="1" applyBorder="1"/>
    <xf numFmtId="173" fontId="8" fillId="8" borderId="23" xfId="5" applyNumberFormat="1" applyFont="1" applyFill="1" applyBorder="1" applyAlignment="1" applyProtection="1">
      <alignment horizontal="center"/>
    </xf>
    <xf numFmtId="173" fontId="8" fillId="8" borderId="101" xfId="5" applyNumberFormat="1" applyFont="1" applyFill="1" applyBorder="1" applyAlignment="1" applyProtection="1">
      <alignment horizontal="center"/>
    </xf>
    <xf numFmtId="1" fontId="8" fillId="8" borderId="102" xfId="0" applyNumberFormat="1" applyFont="1" applyFill="1" applyBorder="1"/>
    <xf numFmtId="1" fontId="8" fillId="8" borderId="74" xfId="0" applyNumberFormat="1" applyFont="1" applyFill="1" applyBorder="1"/>
    <xf numFmtId="1" fontId="8" fillId="8" borderId="23" xfId="0" applyNumberFormat="1" applyFont="1" applyFill="1" applyBorder="1"/>
    <xf numFmtId="1" fontId="8" fillId="8" borderId="101" xfId="0" applyNumberFormat="1" applyFont="1" applyFill="1" applyBorder="1"/>
    <xf numFmtId="173" fontId="0" fillId="4" borderId="0" xfId="0" applyNumberFormat="1" applyFill="1"/>
    <xf numFmtId="176" fontId="35" fillId="0" borderId="103" xfId="0" applyNumberFormat="1" applyFont="1" applyBorder="1" applyAlignment="1">
      <alignment horizontal="center"/>
    </xf>
    <xf numFmtId="176" fontId="35" fillId="0" borderId="57" xfId="0" applyNumberFormat="1" applyFont="1" applyBorder="1" applyAlignment="1">
      <alignment horizontal="center"/>
    </xf>
    <xf numFmtId="176" fontId="35" fillId="0" borderId="104" xfId="0" applyNumberFormat="1" applyFont="1" applyBorder="1" applyAlignment="1">
      <alignment horizontal="center"/>
    </xf>
    <xf numFmtId="176" fontId="35" fillId="0" borderId="105" xfId="0" applyNumberFormat="1" applyFont="1" applyBorder="1" applyAlignment="1">
      <alignment horizontal="center"/>
    </xf>
    <xf numFmtId="176" fontId="35" fillId="0" borderId="106" xfId="0" applyNumberFormat="1" applyFont="1" applyBorder="1" applyAlignment="1">
      <alignment horizontal="center"/>
    </xf>
    <xf numFmtId="176" fontId="35" fillId="0" borderId="107" xfId="0" applyNumberFormat="1" applyFont="1" applyBorder="1" applyAlignment="1">
      <alignment horizontal="center"/>
    </xf>
    <xf numFmtId="173" fontId="9" fillId="2" borderId="85" xfId="5" applyNumberFormat="1" applyFont="1" applyFill="1" applyBorder="1" applyAlignment="1" applyProtection="1">
      <protection locked="0"/>
    </xf>
    <xf numFmtId="173" fontId="9" fillId="2" borderId="4" xfId="5" applyNumberFormat="1" applyFont="1" applyFill="1" applyBorder="1" applyAlignment="1" applyProtection="1">
      <protection locked="0"/>
    </xf>
    <xf numFmtId="173" fontId="9" fillId="2" borderId="5" xfId="5" applyNumberFormat="1" applyFont="1" applyFill="1" applyBorder="1" applyAlignment="1" applyProtection="1">
      <protection locked="0"/>
    </xf>
    <xf numFmtId="173" fontId="9" fillId="3" borderId="86" xfId="5" applyNumberFormat="1" applyFont="1" applyFill="1" applyBorder="1" applyAlignment="1" applyProtection="1">
      <protection locked="0"/>
    </xf>
    <xf numFmtId="173" fontId="9" fillId="3" borderId="8" xfId="5" applyNumberFormat="1" applyFont="1" applyFill="1" applyBorder="1" applyAlignment="1" applyProtection="1">
      <protection locked="0"/>
    </xf>
    <xf numFmtId="173" fontId="9" fillId="3" borderId="4" xfId="5" applyNumberFormat="1" applyFont="1" applyFill="1" applyBorder="1" applyAlignment="1" applyProtection="1">
      <protection locked="0"/>
    </xf>
    <xf numFmtId="173" fontId="9" fillId="3" borderId="5" xfId="5" applyNumberFormat="1" applyFont="1" applyFill="1" applyBorder="1" applyAlignment="1" applyProtection="1">
      <protection locked="0"/>
    </xf>
    <xf numFmtId="187" fontId="0" fillId="0" borderId="82" xfId="0" applyNumberFormat="1" applyBorder="1"/>
    <xf numFmtId="173" fontId="0" fillId="0" borderId="83" xfId="0" applyNumberFormat="1" applyBorder="1"/>
    <xf numFmtId="168" fontId="5" fillId="0" borderId="4" xfId="0" applyNumberFormat="1" applyFont="1" applyBorder="1"/>
    <xf numFmtId="168" fontId="5" fillId="0" borderId="5" xfId="0" applyNumberFormat="1" applyFont="1" applyBorder="1"/>
    <xf numFmtId="168" fontId="5" fillId="5" borderId="86" xfId="0" applyNumberFormat="1" applyFont="1" applyFill="1" applyBorder="1"/>
    <xf numFmtId="168" fontId="5" fillId="5" borderId="8" xfId="0" applyNumberFormat="1" applyFont="1" applyFill="1" applyBorder="1"/>
    <xf numFmtId="168" fontId="5" fillId="5" borderId="4" xfId="0" applyNumberFormat="1" applyFont="1" applyFill="1" applyBorder="1"/>
    <xf numFmtId="168" fontId="5" fillId="5" borderId="5" xfId="0" applyNumberFormat="1" applyFont="1" applyFill="1" applyBorder="1"/>
    <xf numFmtId="168" fontId="5" fillId="0" borderId="85" xfId="0" applyNumberFormat="1" applyFont="1" applyBorder="1"/>
    <xf numFmtId="168" fontId="14" fillId="0" borderId="4" xfId="0" applyNumberFormat="1" applyFont="1" applyBorder="1"/>
    <xf numFmtId="168" fontId="14" fillId="0" borderId="5" xfId="0" applyNumberFormat="1" applyFont="1" applyBorder="1"/>
    <xf numFmtId="168" fontId="14" fillId="5" borderId="86" xfId="0" applyNumberFormat="1" applyFont="1" applyFill="1" applyBorder="1"/>
    <xf numFmtId="168" fontId="14" fillId="5" borderId="8" xfId="0" applyNumberFormat="1" applyFont="1" applyFill="1" applyBorder="1"/>
    <xf numFmtId="168" fontId="14" fillId="5" borderId="4" xfId="0" applyNumberFormat="1" applyFont="1" applyFill="1" applyBorder="1"/>
    <xf numFmtId="168" fontId="14" fillId="5" borderId="5" xfId="0" applyNumberFormat="1" applyFont="1" applyFill="1" applyBorder="1"/>
    <xf numFmtId="168" fontId="14" fillId="0" borderId="85" xfId="0" applyNumberFormat="1" applyFont="1" applyBorder="1"/>
    <xf numFmtId="0" fontId="0" fillId="0" borderId="108" xfId="0" applyBorder="1"/>
    <xf numFmtId="0" fontId="0" fillId="0" borderId="109" xfId="0" applyBorder="1"/>
    <xf numFmtId="0" fontId="0" fillId="0" borderId="110" xfId="0" applyBorder="1"/>
    <xf numFmtId="0" fontId="0" fillId="0" borderId="111" xfId="0" applyBorder="1"/>
    <xf numFmtId="0" fontId="0" fillId="0" borderId="110" xfId="0" applyBorder="1" applyAlignment="1">
      <alignment horizontal="center"/>
    </xf>
    <xf numFmtId="0" fontId="13" fillId="0" borderId="110" xfId="0" applyFont="1" applyBorder="1" applyAlignment="1">
      <alignment horizontal="center"/>
    </xf>
    <xf numFmtId="0" fontId="13" fillId="0" borderId="109" xfId="0" applyFont="1" applyBorder="1" applyAlignment="1">
      <alignment horizontal="center"/>
    </xf>
    <xf numFmtId="2" fontId="28" fillId="3" borderId="66" xfId="0" applyNumberFormat="1" applyFont="1" applyFill="1" applyBorder="1" applyAlignment="1">
      <alignment horizontal="center"/>
    </xf>
    <xf numFmtId="0" fontId="3" fillId="2" borderId="4" xfId="0" applyFont="1" applyFill="1" applyBorder="1" applyAlignment="1" applyProtection="1">
      <alignment horizontal="center"/>
      <protection locked="0"/>
    </xf>
    <xf numFmtId="0" fontId="3" fillId="0" borderId="0" xfId="0" applyFont="1" applyAlignment="1">
      <alignment horizontal="center"/>
    </xf>
    <xf numFmtId="0" fontId="20" fillId="2" borderId="34" xfId="0" applyFont="1" applyFill="1" applyBorder="1" applyProtection="1">
      <protection locked="0"/>
    </xf>
    <xf numFmtId="0" fontId="13" fillId="2" borderId="28" xfId="0" applyFont="1" applyFill="1" applyBorder="1" applyProtection="1">
      <protection locked="0"/>
    </xf>
    <xf numFmtId="169" fontId="3" fillId="2" borderId="4" xfId="37" applyFont="1" applyFill="1" applyBorder="1" applyAlignment="1" applyProtection="1">
      <alignment horizontal="center"/>
      <protection locked="0"/>
    </xf>
    <xf numFmtId="169" fontId="8" fillId="0" borderId="2" xfId="37" applyFont="1" applyFill="1" applyBorder="1" applyAlignment="1" applyProtection="1">
      <alignment horizontal="left" indent="3"/>
    </xf>
    <xf numFmtId="169" fontId="5" fillId="6" borderId="0" xfId="37" applyFont="1" applyFill="1" applyBorder="1" applyAlignment="1" applyProtection="1"/>
    <xf numFmtId="169" fontId="5" fillId="7" borderId="0" xfId="37" applyFont="1" applyFill="1" applyBorder="1" applyAlignment="1" applyProtection="1"/>
    <xf numFmtId="169" fontId="0" fillId="0" borderId="0" xfId="0" applyNumberFormat="1" applyAlignment="1">
      <alignment horizontal="center"/>
    </xf>
    <xf numFmtId="169" fontId="8" fillId="0" borderId="0" xfId="0" applyNumberFormat="1" applyFont="1" applyAlignment="1">
      <alignment horizontal="center"/>
    </xf>
    <xf numFmtId="181" fontId="46" fillId="0" borderId="0" xfId="37" applyNumberFormat="1" applyFill="1" applyBorder="1" applyAlignment="1" applyProtection="1">
      <alignment horizontal="center"/>
    </xf>
    <xf numFmtId="0" fontId="6" fillId="0" borderId="82" xfId="18" applyNumberFormat="1" applyFill="1" applyBorder="1" applyAlignment="1" applyProtection="1"/>
    <xf numFmtId="0" fontId="6" fillId="0" borderId="83" xfId="18" applyNumberFormat="1" applyFill="1" applyBorder="1" applyAlignment="1" applyProtection="1"/>
    <xf numFmtId="0" fontId="13" fillId="2" borderId="112" xfId="0" applyFont="1" applyFill="1" applyBorder="1" applyAlignment="1" applyProtection="1">
      <alignment horizontal="center" vertical="top" wrapText="1"/>
      <protection locked="0"/>
    </xf>
    <xf numFmtId="0" fontId="14" fillId="2" borderId="84" xfId="0" applyFont="1" applyFill="1" applyBorder="1" applyProtection="1">
      <protection locked="0"/>
    </xf>
    <xf numFmtId="0" fontId="13" fillId="2" borderId="51" xfId="0" applyFont="1" applyFill="1" applyBorder="1" applyAlignment="1" applyProtection="1">
      <alignment horizontal="center" vertical="top" wrapText="1"/>
      <protection locked="0"/>
    </xf>
    <xf numFmtId="170" fontId="0" fillId="3" borderId="84" xfId="0" applyNumberFormat="1" applyFill="1" applyBorder="1" applyProtection="1">
      <protection locked="0"/>
    </xf>
    <xf numFmtId="171" fontId="0" fillId="3" borderId="84" xfId="0" applyNumberFormat="1" applyFill="1" applyBorder="1" applyProtection="1">
      <protection locked="0"/>
    </xf>
    <xf numFmtId="0" fontId="0" fillId="3" borderId="84" xfId="0" applyFill="1" applyBorder="1" applyProtection="1">
      <protection locked="0"/>
    </xf>
    <xf numFmtId="2" fontId="0" fillId="3" borderId="84" xfId="0" applyNumberFormat="1" applyFill="1" applyBorder="1" applyProtection="1">
      <protection locked="0"/>
    </xf>
    <xf numFmtId="0" fontId="0" fillId="2" borderId="83" xfId="0" applyFill="1" applyBorder="1"/>
    <xf numFmtId="1" fontId="0" fillId="2" borderId="84" xfId="0" applyNumberFormat="1" applyFill="1" applyBorder="1" applyProtection="1">
      <protection locked="0"/>
    </xf>
    <xf numFmtId="0" fontId="34" fillId="0" borderId="39" xfId="5" applyNumberFormat="1" applyFont="1" applyFill="1" applyBorder="1" applyAlignment="1" applyProtection="1">
      <alignment horizontal="right"/>
    </xf>
    <xf numFmtId="0" fontId="7" fillId="8" borderId="0" xfId="0" applyFont="1" applyFill="1"/>
    <xf numFmtId="0" fontId="22" fillId="8" borderId="0" xfId="0" applyFont="1" applyFill="1"/>
    <xf numFmtId="169" fontId="5" fillId="0" borderId="2" xfId="37" applyFont="1" applyFill="1" applyBorder="1" applyAlignment="1" applyProtection="1">
      <alignment horizontal="left" indent="3"/>
    </xf>
    <xf numFmtId="170" fontId="8" fillId="0" borderId="0" xfId="29" applyNumberFormat="1" applyFont="1" applyFill="1" applyBorder="1" applyAlignment="1" applyProtection="1">
      <alignment horizontal="right"/>
    </xf>
    <xf numFmtId="0" fontId="8" fillId="10" borderId="0" xfId="0" applyFont="1" applyFill="1"/>
    <xf numFmtId="0" fontId="0" fillId="10" borderId="0" xfId="0" applyFill="1"/>
    <xf numFmtId="169" fontId="8" fillId="10" borderId="0" xfId="0" applyNumberFormat="1" applyFont="1" applyFill="1"/>
    <xf numFmtId="170" fontId="8" fillId="10" borderId="0" xfId="29" applyNumberFormat="1" applyFont="1" applyFill="1" applyBorder="1" applyAlignment="1" applyProtection="1"/>
    <xf numFmtId="180" fontId="0" fillId="0" borderId="0" xfId="0" applyNumberFormat="1"/>
    <xf numFmtId="0" fontId="37" fillId="0" borderId="0" xfId="0" applyFont="1"/>
    <xf numFmtId="0" fontId="46" fillId="0" borderId="0" xfId="22"/>
    <xf numFmtId="0" fontId="38" fillId="3" borderId="0" xfId="22" applyFont="1" applyFill="1"/>
    <xf numFmtId="0" fontId="8" fillId="3" borderId="0" xfId="22" applyFont="1" applyFill="1"/>
    <xf numFmtId="0" fontId="0" fillId="11" borderId="53" xfId="22" applyFont="1" applyFill="1" applyBorder="1" applyProtection="1">
      <protection locked="0"/>
    </xf>
    <xf numFmtId="0" fontId="33" fillId="11" borderId="0" xfId="22" applyFont="1" applyFill="1" applyProtection="1">
      <protection locked="0"/>
    </xf>
    <xf numFmtId="0" fontId="0" fillId="11" borderId="0" xfId="22" applyFont="1" applyFill="1" applyProtection="1">
      <protection locked="0"/>
    </xf>
    <xf numFmtId="0" fontId="0" fillId="2" borderId="0" xfId="22" applyFont="1" applyFill="1" applyProtection="1">
      <protection locked="0"/>
    </xf>
    <xf numFmtId="0" fontId="8" fillId="11" borderId="113" xfId="22" applyFont="1" applyFill="1" applyBorder="1"/>
    <xf numFmtId="0" fontId="46" fillId="11" borderId="113" xfId="22" applyFill="1" applyBorder="1"/>
    <xf numFmtId="0" fontId="8" fillId="0" borderId="0" xfId="22" applyFont="1"/>
    <xf numFmtId="0" fontId="8" fillId="0" borderId="0" xfId="22" applyFont="1" applyAlignment="1">
      <alignment horizontal="left"/>
    </xf>
    <xf numFmtId="0" fontId="46" fillId="11" borderId="0" xfId="22" applyFill="1" applyProtection="1">
      <protection locked="0"/>
    </xf>
    <xf numFmtId="0" fontId="46" fillId="2" borderId="0" xfId="22" applyFill="1" applyProtection="1">
      <protection locked="0"/>
    </xf>
    <xf numFmtId="0" fontId="46" fillId="0" borderId="0" xfId="22" applyAlignment="1">
      <alignment horizontal="center"/>
    </xf>
    <xf numFmtId="0" fontId="8" fillId="11" borderId="42" xfId="22" applyFont="1" applyFill="1" applyBorder="1" applyAlignment="1">
      <alignment horizontal="left"/>
    </xf>
    <xf numFmtId="0" fontId="0" fillId="11" borderId="0" xfId="22" applyFont="1" applyFill="1"/>
    <xf numFmtId="0" fontId="8" fillId="11" borderId="0" xfId="22" applyFont="1" applyFill="1"/>
    <xf numFmtId="178" fontId="8" fillId="11" borderId="0" xfId="22" applyNumberFormat="1" applyFont="1" applyFill="1"/>
    <xf numFmtId="0" fontId="8" fillId="11" borderId="114" xfId="22" applyFont="1" applyFill="1" applyBorder="1"/>
    <xf numFmtId="0" fontId="46" fillId="11" borderId="114" xfId="22" applyFill="1" applyBorder="1"/>
    <xf numFmtId="169" fontId="8" fillId="11" borderId="114" xfId="22" applyNumberFormat="1" applyFont="1" applyFill="1" applyBorder="1"/>
    <xf numFmtId="0" fontId="0" fillId="0" borderId="0" xfId="22" applyFont="1"/>
    <xf numFmtId="171" fontId="46" fillId="0" borderId="0" xfId="22" applyNumberFormat="1"/>
    <xf numFmtId="0" fontId="13" fillId="0" borderId="0" xfId="22" applyFont="1" applyAlignment="1">
      <alignment horizontal="right"/>
    </xf>
    <xf numFmtId="0" fontId="13" fillId="0" borderId="0" xfId="22" applyFont="1"/>
    <xf numFmtId="178" fontId="13" fillId="0" borderId="0" xfId="22" applyNumberFormat="1" applyFont="1"/>
    <xf numFmtId="0" fontId="40" fillId="11" borderId="4" xfId="0" applyFont="1" applyFill="1" applyBorder="1" applyAlignment="1">
      <alignment horizontal="left" vertical="top" wrapText="1"/>
    </xf>
    <xf numFmtId="0" fontId="8" fillId="11" borderId="4" xfId="0" applyFont="1" applyFill="1" applyBorder="1" applyAlignment="1">
      <alignment horizontal="left" vertical="top" wrapText="1"/>
    </xf>
    <xf numFmtId="0" fontId="16" fillId="0" borderId="0" xfId="0" applyFont="1" applyAlignment="1">
      <alignment horizontal="center"/>
    </xf>
    <xf numFmtId="3" fontId="0" fillId="0" borderId="49" xfId="0" applyNumberFormat="1" applyBorder="1" applyAlignment="1">
      <alignment horizontal="center"/>
    </xf>
    <xf numFmtId="169" fontId="13" fillId="0" borderId="0" xfId="37" applyFont="1" applyFill="1" applyBorder="1" applyAlignment="1" applyProtection="1"/>
    <xf numFmtId="3" fontId="0" fillId="0" borderId="56" xfId="0" applyNumberFormat="1" applyBorder="1" applyAlignment="1">
      <alignment horizontal="center"/>
    </xf>
    <xf numFmtId="3" fontId="0" fillId="0" borderId="50" xfId="0" applyNumberFormat="1" applyBorder="1" applyAlignment="1">
      <alignment horizontal="center"/>
    </xf>
    <xf numFmtId="3" fontId="0" fillId="0" borderId="56" xfId="0" applyNumberFormat="1" applyBorder="1"/>
    <xf numFmtId="171" fontId="0" fillId="0" borderId="0" xfId="0" applyNumberFormat="1"/>
    <xf numFmtId="168" fontId="13" fillId="0" borderId="0" xfId="0" applyNumberFormat="1" applyFont="1"/>
    <xf numFmtId="0" fontId="9" fillId="0" borderId="4" xfId="0" applyFont="1" applyBorder="1" applyAlignment="1">
      <alignment horizontal="right"/>
    </xf>
    <xf numFmtId="169" fontId="0" fillId="2" borderId="4" xfId="37" applyFont="1" applyFill="1" applyBorder="1" applyAlignment="1" applyProtection="1">
      <protection locked="0"/>
    </xf>
    <xf numFmtId="0" fontId="0" fillId="0" borderId="4" xfId="0" applyBorder="1" applyAlignment="1">
      <alignment horizontal="right"/>
    </xf>
    <xf numFmtId="0" fontId="8" fillId="11" borderId="4" xfId="0" applyFont="1" applyFill="1" applyBorder="1"/>
    <xf numFmtId="171" fontId="0" fillId="0" borderId="0" xfId="35" applyFont="1" applyFill="1" applyBorder="1" applyAlignment="1" applyProtection="1">
      <alignment horizontal="center"/>
    </xf>
    <xf numFmtId="0" fontId="13" fillId="0" borderId="4" xfId="0" applyFont="1" applyBorder="1" applyAlignment="1">
      <alignment horizontal="right"/>
    </xf>
    <xf numFmtId="0" fontId="8" fillId="11" borderId="4" xfId="20" applyFont="1" applyFill="1" applyBorder="1" applyAlignment="1">
      <alignment horizontal="center" vertical="top" wrapText="1"/>
    </xf>
    <xf numFmtId="0" fontId="46" fillId="0" borderId="4" xfId="20" applyBorder="1"/>
    <xf numFmtId="0" fontId="0" fillId="0" borderId="4" xfId="20" applyFont="1" applyBorder="1" applyAlignment="1" applyProtection="1">
      <alignment horizontal="center"/>
      <protection locked="0"/>
    </xf>
    <xf numFmtId="0" fontId="13" fillId="2" borderId="4" xfId="20" applyFont="1" applyFill="1" applyBorder="1" applyProtection="1">
      <protection locked="0"/>
    </xf>
    <xf numFmtId="0" fontId="0" fillId="0" borderId="4" xfId="0" applyBorder="1" applyAlignment="1">
      <alignment horizontal="left"/>
    </xf>
    <xf numFmtId="0" fontId="46" fillId="0" borderId="4" xfId="20" applyBorder="1" applyProtection="1">
      <protection locked="0"/>
    </xf>
    <xf numFmtId="169" fontId="0" fillId="0" borderId="4" xfId="37" applyFont="1" applyFill="1" applyBorder="1" applyAlignment="1" applyProtection="1"/>
    <xf numFmtId="0" fontId="41" fillId="0" borderId="4" xfId="0" applyFont="1" applyBorder="1" applyAlignment="1">
      <alignment horizontal="left"/>
    </xf>
    <xf numFmtId="169" fontId="8" fillId="3" borderId="4" xfId="37" applyFont="1" applyFill="1" applyBorder="1" applyAlignment="1" applyProtection="1">
      <alignment horizontal="center"/>
    </xf>
    <xf numFmtId="0" fontId="41" fillId="0" borderId="4" xfId="0" applyFont="1" applyBorder="1"/>
    <xf numFmtId="0" fontId="0" fillId="0" borderId="7" xfId="0" applyBorder="1" applyAlignment="1">
      <alignment horizontal="right"/>
    </xf>
    <xf numFmtId="169" fontId="0" fillId="3" borderId="4" xfId="11" applyFont="1" applyFill="1" applyBorder="1" applyAlignment="1" applyProtection="1"/>
    <xf numFmtId="0" fontId="39" fillId="11" borderId="0" xfId="22" applyFont="1" applyFill="1" applyProtection="1">
      <protection locked="0"/>
    </xf>
    <xf numFmtId="0" fontId="13" fillId="11" borderId="53" xfId="22" applyFont="1" applyFill="1" applyBorder="1" applyProtection="1">
      <protection locked="0"/>
    </xf>
    <xf numFmtId="169" fontId="33" fillId="2" borderId="4" xfId="11" applyFont="1" applyFill="1" applyBorder="1" applyAlignment="1" applyProtection="1">
      <protection locked="0"/>
    </xf>
    <xf numFmtId="169" fontId="8" fillId="11" borderId="0" xfId="22" applyNumberFormat="1" applyFont="1" applyFill="1"/>
    <xf numFmtId="169" fontId="8" fillId="3" borderId="4" xfId="22" applyNumberFormat="1" applyFont="1" applyFill="1" applyBorder="1"/>
    <xf numFmtId="2" fontId="46" fillId="3" borderId="4" xfId="22" applyNumberFormat="1" applyFill="1" applyBorder="1"/>
    <xf numFmtId="0" fontId="0" fillId="11" borderId="4" xfId="22" applyFont="1" applyFill="1" applyBorder="1" applyAlignment="1" applyProtection="1">
      <alignment horizontal="center"/>
      <protection locked="0"/>
    </xf>
    <xf numFmtId="169" fontId="0" fillId="2" borderId="4" xfId="11" applyFont="1" applyFill="1" applyBorder="1" applyAlignment="1" applyProtection="1">
      <protection locked="0"/>
    </xf>
    <xf numFmtId="0" fontId="46" fillId="2" borderId="4" xfId="22" applyFill="1" applyBorder="1" applyProtection="1">
      <protection locked="0"/>
    </xf>
    <xf numFmtId="0" fontId="8" fillId="11" borderId="4" xfId="22" applyFont="1" applyFill="1" applyBorder="1"/>
    <xf numFmtId="0" fontId="46" fillId="11" borderId="4" xfId="22" applyFill="1" applyBorder="1" applyAlignment="1">
      <alignment horizontal="center"/>
    </xf>
    <xf numFmtId="188" fontId="46" fillId="2" borderId="4" xfId="22" applyNumberFormat="1" applyFill="1" applyBorder="1" applyAlignment="1" applyProtection="1">
      <alignment horizontal="center"/>
      <protection locked="0"/>
    </xf>
    <xf numFmtId="0" fontId="0" fillId="11" borderId="4" xfId="22" applyFont="1" applyFill="1" applyBorder="1"/>
    <xf numFmtId="0" fontId="0" fillId="2" borderId="4" xfId="22" applyFont="1" applyFill="1" applyBorder="1" applyProtection="1">
      <protection locked="0"/>
    </xf>
    <xf numFmtId="0" fontId="0" fillId="2" borderId="4" xfId="22" applyFont="1" applyFill="1" applyBorder="1" applyAlignment="1" applyProtection="1">
      <alignment horizontal="center"/>
      <protection locked="0"/>
    </xf>
    <xf numFmtId="0" fontId="46" fillId="2" borderId="4" xfId="22" applyFill="1" applyBorder="1" applyAlignment="1" applyProtection="1">
      <alignment horizontal="center"/>
      <protection locked="0"/>
    </xf>
    <xf numFmtId="178" fontId="0" fillId="2" borderId="4" xfId="11" applyNumberFormat="1" applyFont="1" applyFill="1" applyBorder="1" applyAlignment="1" applyProtection="1">
      <protection locked="0"/>
    </xf>
    <xf numFmtId="0" fontId="42" fillId="0" borderId="116" xfId="22" applyFont="1" applyBorder="1"/>
    <xf numFmtId="0" fontId="46" fillId="0" borderId="113" xfId="22" applyBorder="1"/>
    <xf numFmtId="0" fontId="46" fillId="0" borderId="117" xfId="22" applyBorder="1"/>
    <xf numFmtId="0" fontId="8" fillId="0" borderId="0" xfId="22" applyFont="1" applyAlignment="1">
      <alignment horizontal="center"/>
    </xf>
    <xf numFmtId="0" fontId="8" fillId="0" borderId="118" xfId="22" applyFont="1" applyBorder="1"/>
    <xf numFmtId="0" fontId="44" fillId="0" borderId="119" xfId="22" applyFont="1" applyBorder="1"/>
    <xf numFmtId="178" fontId="8" fillId="0" borderId="2" xfId="22" applyNumberFormat="1" applyFont="1" applyBorder="1" applyAlignment="1">
      <alignment horizontal="center"/>
    </xf>
    <xf numFmtId="0" fontId="45" fillId="0" borderId="119" xfId="22" applyFont="1" applyBorder="1"/>
    <xf numFmtId="169" fontId="46" fillId="0" borderId="0" xfId="22" applyNumberFormat="1"/>
    <xf numFmtId="178" fontId="0" fillId="2" borderId="120" xfId="22" applyNumberFormat="1" applyFont="1" applyFill="1" applyBorder="1" applyProtection="1">
      <protection locked="0"/>
    </xf>
    <xf numFmtId="178" fontId="46" fillId="0" borderId="121" xfId="22" applyNumberFormat="1" applyBorder="1"/>
    <xf numFmtId="0" fontId="46" fillId="0" borderId="118" xfId="22" applyBorder="1"/>
    <xf numFmtId="178" fontId="46" fillId="0" borderId="122" xfId="22" applyNumberFormat="1" applyBorder="1"/>
    <xf numFmtId="0" fontId="8" fillId="0" borderId="119" xfId="22" applyFont="1" applyBorder="1"/>
    <xf numFmtId="178" fontId="46" fillId="0" borderId="123" xfId="22" applyNumberFormat="1" applyBorder="1"/>
    <xf numFmtId="178" fontId="46" fillId="0" borderId="124" xfId="22" applyNumberFormat="1" applyBorder="1"/>
    <xf numFmtId="178" fontId="0" fillId="2" borderId="123" xfId="22" applyNumberFormat="1" applyFont="1" applyFill="1" applyBorder="1" applyProtection="1">
      <protection locked="0"/>
    </xf>
    <xf numFmtId="0" fontId="46" fillId="0" borderId="119" xfId="22" applyBorder="1"/>
    <xf numFmtId="178" fontId="46" fillId="0" borderId="125" xfId="22" applyNumberFormat="1" applyBorder="1" applyProtection="1">
      <protection locked="0"/>
    </xf>
    <xf numFmtId="178" fontId="46" fillId="0" borderId="0" xfId="22" applyNumberFormat="1" applyProtection="1">
      <protection locked="0"/>
    </xf>
    <xf numFmtId="178" fontId="46" fillId="0" borderId="126" xfId="22" applyNumberFormat="1" applyBorder="1" applyProtection="1">
      <protection locked="0"/>
    </xf>
    <xf numFmtId="178" fontId="46" fillId="0" borderId="125" xfId="22" applyNumberFormat="1" applyBorder="1"/>
    <xf numFmtId="178" fontId="46" fillId="0" borderId="2" xfId="22" applyNumberFormat="1" applyBorder="1"/>
    <xf numFmtId="178" fontId="46" fillId="0" borderId="126" xfId="22" applyNumberFormat="1" applyBorder="1"/>
    <xf numFmtId="178" fontId="0" fillId="2" borderId="127" xfId="22" applyNumberFormat="1" applyFont="1" applyFill="1" applyBorder="1" applyProtection="1">
      <protection locked="0"/>
    </xf>
    <xf numFmtId="178" fontId="0" fillId="2" borderId="128" xfId="22" applyNumberFormat="1" applyFont="1" applyFill="1" applyBorder="1" applyProtection="1">
      <protection locked="0"/>
    </xf>
    <xf numFmtId="178" fontId="0" fillId="2" borderId="129" xfId="22" applyNumberFormat="1" applyFont="1" applyFill="1" applyBorder="1" applyProtection="1">
      <protection locked="0"/>
    </xf>
    <xf numFmtId="178" fontId="8" fillId="0" borderId="130" xfId="22" applyNumberFormat="1" applyFont="1" applyBorder="1"/>
    <xf numFmtId="178" fontId="8" fillId="0" borderId="123" xfId="22" applyNumberFormat="1" applyFont="1" applyBorder="1"/>
    <xf numFmtId="178" fontId="8" fillId="0" borderId="124" xfId="22" applyNumberFormat="1" applyFont="1" applyBorder="1"/>
    <xf numFmtId="178" fontId="8" fillId="0" borderId="131" xfId="22" applyNumberFormat="1" applyFont="1" applyBorder="1"/>
    <xf numFmtId="0" fontId="4" fillId="0" borderId="119" xfId="22" applyFont="1" applyBorder="1"/>
    <xf numFmtId="0" fontId="5" fillId="0" borderId="119" xfId="22" applyFont="1" applyBorder="1"/>
    <xf numFmtId="178" fontId="46" fillId="0" borderId="25" xfId="22" applyNumberFormat="1" applyBorder="1"/>
    <xf numFmtId="0" fontId="0" fillId="3" borderId="0" xfId="22" applyFont="1" applyFill="1" applyAlignment="1">
      <alignment horizontal="center"/>
    </xf>
    <xf numFmtId="178" fontId="0" fillId="3" borderId="123" xfId="22" applyNumberFormat="1" applyFont="1" applyFill="1" applyBorder="1" applyProtection="1">
      <protection locked="0"/>
    </xf>
    <xf numFmtId="178" fontId="0" fillId="3" borderId="122" xfId="22" applyNumberFormat="1" applyFont="1" applyFill="1" applyBorder="1"/>
    <xf numFmtId="171" fontId="0" fillId="2" borderId="2" xfId="29" applyFont="1" applyFill="1" applyBorder="1" applyAlignment="1" applyProtection="1">
      <alignment horizontal="center"/>
      <protection locked="0"/>
    </xf>
    <xf numFmtId="178" fontId="46" fillId="3" borderId="123" xfId="22" applyNumberFormat="1" applyFill="1" applyBorder="1"/>
    <xf numFmtId="178" fontId="46" fillId="0" borderId="132" xfId="22" applyNumberFormat="1" applyBorder="1"/>
    <xf numFmtId="178" fontId="46" fillId="0" borderId="133" xfId="22" applyNumberFormat="1" applyBorder="1"/>
    <xf numFmtId="177" fontId="13" fillId="0" borderId="134" xfId="22" applyNumberFormat="1" applyFont="1" applyBorder="1"/>
    <xf numFmtId="177" fontId="46" fillId="0" borderId="135" xfId="22" applyNumberFormat="1" applyBorder="1"/>
    <xf numFmtId="0" fontId="46" fillId="0" borderId="135" xfId="22" applyBorder="1"/>
    <xf numFmtId="0" fontId="46" fillId="0" borderId="133" xfId="22" applyBorder="1"/>
    <xf numFmtId="0" fontId="22" fillId="0" borderId="0" xfId="22" applyFont="1" applyAlignment="1">
      <alignment horizontal="right"/>
    </xf>
    <xf numFmtId="0" fontId="0" fillId="0" borderId="0" xfId="22" applyFont="1" applyAlignment="1">
      <alignment horizontal="right"/>
    </xf>
    <xf numFmtId="4" fontId="22" fillId="0" borderId="0" xfId="22" applyNumberFormat="1" applyFont="1"/>
    <xf numFmtId="0" fontId="46" fillId="0" borderId="0" xfId="22" applyAlignment="1">
      <alignment horizontal="left"/>
    </xf>
    <xf numFmtId="0" fontId="13" fillId="0" borderId="0" xfId="22" applyFont="1" applyAlignment="1">
      <alignment horizontal="left"/>
    </xf>
    <xf numFmtId="178" fontId="22" fillId="0" borderId="4" xfId="22" applyNumberFormat="1" applyFont="1" applyBorder="1"/>
    <xf numFmtId="0" fontId="30" fillId="0" borderId="0" xfId="22" applyFont="1"/>
    <xf numFmtId="0" fontId="7" fillId="0" borderId="0" xfId="22" applyFont="1"/>
    <xf numFmtId="177" fontId="46" fillId="0" borderId="0" xfId="22" applyNumberFormat="1"/>
    <xf numFmtId="171" fontId="0" fillId="0" borderId="0" xfId="32" applyFont="1" applyFill="1" applyBorder="1" applyAlignment="1" applyProtection="1"/>
    <xf numFmtId="177" fontId="8" fillId="0" borderId="0" xfId="22" applyNumberFormat="1" applyFont="1"/>
    <xf numFmtId="169" fontId="0" fillId="0" borderId="0" xfId="12" applyFont="1" applyFill="1" applyBorder="1" applyAlignment="1" applyProtection="1"/>
    <xf numFmtId="171" fontId="0" fillId="2" borderId="0" xfId="0" applyNumberFormat="1" applyFill="1" applyAlignment="1" applyProtection="1">
      <alignment horizontal="center"/>
      <protection locked="0"/>
    </xf>
    <xf numFmtId="0" fontId="18" fillId="0" borderId="73" xfId="0" applyFont="1" applyBorder="1"/>
    <xf numFmtId="0" fontId="18" fillId="0" borderId="0" xfId="0" applyFont="1"/>
    <xf numFmtId="0" fontId="0" fillId="0" borderId="18" xfId="0" applyBorder="1" applyAlignment="1">
      <alignment horizontal="left"/>
    </xf>
    <xf numFmtId="0" fontId="0" fillId="0" borderId="20" xfId="0" applyBorder="1" applyAlignment="1">
      <alignment horizontal="left"/>
    </xf>
    <xf numFmtId="178" fontId="0" fillId="0" borderId="0" xfId="0" applyNumberFormat="1"/>
    <xf numFmtId="0" fontId="0" fillId="0" borderId="72" xfId="0" applyBorder="1" applyAlignment="1">
      <alignment horizontal="left"/>
    </xf>
    <xf numFmtId="0" fontId="0" fillId="0" borderId="72" xfId="0" applyBorder="1"/>
    <xf numFmtId="0" fontId="0" fillId="3" borderId="72" xfId="0" applyFill="1" applyBorder="1"/>
    <xf numFmtId="171" fontId="13" fillId="0" borderId="0" xfId="0" applyNumberFormat="1" applyFont="1"/>
    <xf numFmtId="0" fontId="8" fillId="0" borderId="9" xfId="0" applyFont="1" applyBorder="1"/>
    <xf numFmtId="0" fontId="0" fillId="0" borderId="9" xfId="0" applyBorder="1"/>
    <xf numFmtId="169" fontId="22" fillId="0" borderId="0" xfId="12" applyFont="1" applyFill="1" applyBorder="1" applyAlignment="1" applyProtection="1"/>
    <xf numFmtId="169" fontId="8" fillId="0" borderId="0" xfId="12" applyFont="1" applyFill="1" applyBorder="1" applyAlignment="1" applyProtection="1"/>
    <xf numFmtId="0" fontId="23" fillId="0" borderId="75" xfId="0" applyFont="1" applyBorder="1"/>
    <xf numFmtId="0" fontId="8" fillId="0" borderId="6" xfId="0" applyFont="1" applyBorder="1"/>
    <xf numFmtId="169" fontId="13" fillId="0" borderId="4" xfId="0" applyNumberFormat="1" applyFont="1" applyBorder="1"/>
    <xf numFmtId="175" fontId="13" fillId="0" borderId="4" xfId="0" applyNumberFormat="1" applyFont="1" applyBorder="1"/>
    <xf numFmtId="2" fontId="0" fillId="2" borderId="136" xfId="0" applyNumberFormat="1" applyFill="1" applyBorder="1" applyAlignment="1" applyProtection="1">
      <alignment horizontal="center"/>
      <protection locked="0"/>
    </xf>
    <xf numFmtId="0" fontId="6" fillId="2" borderId="2" xfId="18" applyNumberFormat="1" applyFill="1" applyBorder="1" applyAlignment="1" applyProtection="1">
      <protection locked="0"/>
    </xf>
    <xf numFmtId="0" fontId="8" fillId="11" borderId="0" xfId="0" applyFont="1" applyFill="1" applyAlignment="1">
      <alignment horizontal="left" wrapText="1"/>
    </xf>
    <xf numFmtId="0" fontId="22" fillId="11" borderId="0" xfId="0" applyFont="1" applyFill="1" applyAlignment="1">
      <alignment horizontal="left" wrapText="1"/>
    </xf>
    <xf numFmtId="169" fontId="0" fillId="0" borderId="137" xfId="0" applyNumberFormat="1" applyBorder="1"/>
    <xf numFmtId="169" fontId="0" fillId="0" borderId="138" xfId="0" applyNumberFormat="1" applyBorder="1"/>
    <xf numFmtId="0" fontId="0" fillId="0" borderId="140" xfId="0" applyBorder="1"/>
    <xf numFmtId="0" fontId="0" fillId="0" borderId="141" xfId="0" applyBorder="1"/>
    <xf numFmtId="0" fontId="0" fillId="0" borderId="142" xfId="0" applyBorder="1"/>
    <xf numFmtId="0" fontId="8" fillId="0" borderId="143" xfId="0" applyFont="1" applyBorder="1"/>
    <xf numFmtId="169" fontId="0" fillId="0" borderId="143" xfId="0" applyNumberFormat="1" applyBorder="1"/>
    <xf numFmtId="0" fontId="0" fillId="0" borderId="143" xfId="0" applyBorder="1"/>
    <xf numFmtId="0" fontId="22" fillId="0" borderId="139" xfId="0" applyFont="1" applyBorder="1"/>
    <xf numFmtId="169" fontId="0" fillId="0" borderId="140" xfId="0" applyNumberFormat="1" applyBorder="1"/>
    <xf numFmtId="0" fontId="0" fillId="0" borderId="141" xfId="0" applyBorder="1" applyAlignment="1">
      <alignment horizontal="right"/>
    </xf>
    <xf numFmtId="169" fontId="22" fillId="0" borderId="144" xfId="0" applyNumberFormat="1" applyFont="1" applyBorder="1"/>
    <xf numFmtId="169" fontId="8" fillId="0" borderId="144" xfId="0" applyNumberFormat="1" applyFont="1" applyBorder="1"/>
    <xf numFmtId="169" fontId="0" fillId="14" borderId="145" xfId="0" applyNumberFormat="1" applyFill="1" applyBorder="1"/>
    <xf numFmtId="169" fontId="0" fillId="14" borderId="146" xfId="0" applyNumberFormat="1" applyFill="1" applyBorder="1"/>
    <xf numFmtId="169" fontId="0" fillId="14" borderId="147" xfId="0" applyNumberFormat="1" applyFill="1" applyBorder="1"/>
    <xf numFmtId="0" fontId="9" fillId="2" borderId="5" xfId="20" applyFont="1" applyFill="1" applyBorder="1" applyProtection="1">
      <protection locked="0"/>
    </xf>
    <xf numFmtId="169" fontId="13" fillId="2" borderId="44" xfId="37" applyFont="1" applyFill="1" applyBorder="1" applyAlignment="1" applyProtection="1">
      <alignment horizontal="right"/>
      <protection locked="0"/>
    </xf>
    <xf numFmtId="0" fontId="0" fillId="2" borderId="148" xfId="20" applyFont="1" applyFill="1" applyBorder="1" applyProtection="1">
      <protection locked="0"/>
    </xf>
    <xf numFmtId="1" fontId="13" fillId="0" borderId="2" xfId="20" applyNumberFormat="1" applyFont="1" applyBorder="1"/>
    <xf numFmtId="169" fontId="13" fillId="0" borderId="0" xfId="0" applyNumberFormat="1" applyFont="1" applyAlignment="1">
      <alignment horizontal="right"/>
    </xf>
    <xf numFmtId="169" fontId="0" fillId="0" borderId="0" xfId="0" applyNumberFormat="1" applyAlignment="1">
      <alignment horizontal="right"/>
    </xf>
    <xf numFmtId="0" fontId="7" fillId="11" borderId="0" xfId="0" applyFont="1" applyFill="1" applyAlignment="1">
      <alignment horizontal="left" wrapText="1"/>
    </xf>
    <xf numFmtId="0" fontId="0" fillId="0" borderId="149" xfId="0" applyBorder="1"/>
    <xf numFmtId="0" fontId="8" fillId="11" borderId="150" xfId="0" applyFont="1" applyFill="1" applyBorder="1" applyAlignment="1">
      <alignment horizontal="left" wrapText="1"/>
    </xf>
    <xf numFmtId="169" fontId="46" fillId="0" borderId="0" xfId="37"/>
    <xf numFmtId="170" fontId="46" fillId="0" borderId="0" xfId="29" applyNumberFormat="1"/>
    <xf numFmtId="0" fontId="0" fillId="0" borderId="139" xfId="0" applyBorder="1"/>
    <xf numFmtId="0" fontId="0" fillId="0" borderId="145" xfId="0" applyBorder="1"/>
    <xf numFmtId="169" fontId="46" fillId="0" borderId="0" xfId="37" applyBorder="1"/>
    <xf numFmtId="0" fontId="0" fillId="0" borderId="146" xfId="0" applyBorder="1"/>
    <xf numFmtId="0" fontId="8" fillId="0" borderId="141" xfId="0" applyFont="1" applyBorder="1"/>
    <xf numFmtId="0" fontId="0" fillId="0" borderId="147" xfId="0" applyBorder="1"/>
    <xf numFmtId="169" fontId="13" fillId="0" borderId="4" xfId="37" applyFont="1" applyFill="1" applyBorder="1" applyAlignment="1" applyProtection="1"/>
    <xf numFmtId="0" fontId="8" fillId="0" borderId="139" xfId="0" applyFont="1" applyBorder="1"/>
    <xf numFmtId="169" fontId="0" fillId="0" borderId="146" xfId="0" applyNumberFormat="1" applyBorder="1"/>
    <xf numFmtId="169" fontId="8" fillId="0" borderId="146" xfId="0" applyNumberFormat="1" applyFont="1" applyBorder="1"/>
    <xf numFmtId="1" fontId="0" fillId="0" borderId="146" xfId="0" applyNumberFormat="1" applyBorder="1"/>
    <xf numFmtId="0" fontId="46" fillId="0" borderId="147" xfId="37" applyNumberFormat="1" applyFill="1" applyBorder="1" applyAlignment="1" applyProtection="1"/>
    <xf numFmtId="0" fontId="8" fillId="0" borderId="0" xfId="25" applyFont="1"/>
    <xf numFmtId="0" fontId="2" fillId="0" borderId="0" xfId="25"/>
    <xf numFmtId="0" fontId="22" fillId="0" borderId="0" xfId="25" applyFont="1"/>
    <xf numFmtId="0" fontId="8" fillId="0" borderId="0" xfId="25" applyFont="1" applyAlignment="1">
      <alignment horizontal="center"/>
    </xf>
    <xf numFmtId="0" fontId="13" fillId="12" borderId="136" xfId="25" applyFont="1" applyFill="1" applyBorder="1" applyProtection="1">
      <protection locked="0"/>
    </xf>
    <xf numFmtId="9" fontId="2" fillId="12" borderId="136" xfId="14" applyNumberFormat="1" applyFill="1" applyBorder="1" applyProtection="1">
      <protection locked="0"/>
    </xf>
    <xf numFmtId="44" fontId="13" fillId="0" borderId="0" xfId="25" applyNumberFormat="1" applyFont="1"/>
    <xf numFmtId="44" fontId="2" fillId="12" borderId="136" xfId="14" applyFont="1" applyFill="1" applyBorder="1" applyProtection="1">
      <protection locked="0"/>
    </xf>
    <xf numFmtId="0" fontId="13" fillId="0" borderId="0" xfId="25" applyFont="1"/>
    <xf numFmtId="0" fontId="8" fillId="0" borderId="0" xfId="25" applyFont="1" applyAlignment="1">
      <alignment horizontal="right"/>
    </xf>
    <xf numFmtId="190" fontId="8" fillId="0" borderId="0" xfId="25" applyNumberFormat="1" applyFont="1"/>
    <xf numFmtId="190" fontId="22" fillId="0" borderId="0" xfId="25" applyNumberFormat="1" applyFont="1"/>
    <xf numFmtId="10" fontId="0" fillId="0" borderId="0" xfId="34" applyNumberFormat="1" applyFont="1"/>
    <xf numFmtId="2" fontId="2" fillId="0" borderId="0" xfId="25" applyNumberFormat="1"/>
    <xf numFmtId="0" fontId="0" fillId="0" borderId="0" xfId="25" applyFont="1"/>
    <xf numFmtId="2" fontId="8" fillId="0" borderId="0" xfId="25" applyNumberFormat="1" applyFont="1" applyAlignment="1">
      <alignment horizontal="center"/>
    </xf>
    <xf numFmtId="0" fontId="22" fillId="0" borderId="119" xfId="22" applyFont="1" applyBorder="1"/>
    <xf numFmtId="169" fontId="3" fillId="2" borderId="136" xfId="37" applyFont="1" applyFill="1" applyBorder="1" applyAlignment="1" applyProtection="1">
      <alignment horizontal="center"/>
      <protection locked="0"/>
    </xf>
    <xf numFmtId="0" fontId="0" fillId="0" borderId="136" xfId="0" applyBorder="1"/>
    <xf numFmtId="0" fontId="8" fillId="0" borderId="136" xfId="0" applyFont="1" applyBorder="1" applyAlignment="1">
      <alignment horizontal="center"/>
    </xf>
    <xf numFmtId="170" fontId="8" fillId="2" borderId="136" xfId="22" applyNumberFormat="1" applyFont="1" applyFill="1" applyBorder="1" applyAlignment="1" applyProtection="1">
      <alignment horizontal="center"/>
      <protection locked="0"/>
    </xf>
    <xf numFmtId="0" fontId="8" fillId="2" borderId="136" xfId="22" applyFont="1" applyFill="1" applyBorder="1" applyAlignment="1" applyProtection="1">
      <alignment horizontal="center"/>
      <protection locked="0"/>
    </xf>
    <xf numFmtId="169" fontId="8" fillId="0" borderId="143" xfId="37" applyFont="1" applyFill="1" applyBorder="1" applyAlignment="1" applyProtection="1"/>
    <xf numFmtId="170" fontId="13" fillId="0" borderId="147" xfId="29" applyNumberFormat="1" applyFont="1" applyFill="1" applyBorder="1" applyAlignment="1" applyProtection="1"/>
    <xf numFmtId="0" fontId="5" fillId="0" borderId="142" xfId="0" applyFont="1" applyBorder="1"/>
    <xf numFmtId="170" fontId="13" fillId="0" borderId="162" xfId="29" applyNumberFormat="1" applyFont="1" applyFill="1" applyBorder="1" applyAlignment="1" applyProtection="1"/>
    <xf numFmtId="169" fontId="0" fillId="0" borderId="163" xfId="0" applyNumberFormat="1" applyBorder="1"/>
    <xf numFmtId="170" fontId="13" fillId="0" borderId="164" xfId="29" applyNumberFormat="1" applyFont="1" applyFill="1" applyBorder="1" applyAlignment="1" applyProtection="1"/>
    <xf numFmtId="0" fontId="5" fillId="0" borderId="166" xfId="0" applyFont="1" applyBorder="1"/>
    <xf numFmtId="169" fontId="8" fillId="0" borderId="167" xfId="37" applyFont="1" applyFill="1" applyBorder="1" applyAlignment="1" applyProtection="1"/>
    <xf numFmtId="169" fontId="8" fillId="0" borderId="165" xfId="37" applyFont="1" applyFill="1" applyBorder="1" applyAlignment="1" applyProtection="1"/>
    <xf numFmtId="0" fontId="22" fillId="0" borderId="136" xfId="0" applyFont="1" applyBorder="1" applyAlignment="1">
      <alignment horizontal="center"/>
    </xf>
    <xf numFmtId="170" fontId="22" fillId="0" borderId="136" xfId="29" applyNumberFormat="1" applyFont="1" applyFill="1" applyBorder="1" applyAlignment="1" applyProtection="1">
      <alignment horizontal="center"/>
    </xf>
    <xf numFmtId="181" fontId="14" fillId="0" borderId="26" xfId="37" applyNumberFormat="1" applyFont="1" applyFill="1" applyBorder="1" applyAlignment="1" applyProtection="1"/>
    <xf numFmtId="0" fontId="16" fillId="16" borderId="2" xfId="0" applyFont="1" applyFill="1" applyBorder="1" applyAlignment="1" applyProtection="1">
      <alignment horizontal="center"/>
      <protection locked="0"/>
    </xf>
    <xf numFmtId="191" fontId="15" fillId="15" borderId="161" xfId="0" applyNumberFormat="1" applyFont="1" applyFill="1" applyBorder="1" applyProtection="1">
      <protection locked="0"/>
    </xf>
    <xf numFmtId="0" fontId="0" fillId="15" borderId="136" xfId="0" applyFill="1" applyBorder="1" applyProtection="1">
      <protection locked="0"/>
    </xf>
    <xf numFmtId="171" fontId="0" fillId="0" borderId="143" xfId="35" applyFont="1" applyFill="1" applyBorder="1" applyAlignment="1" applyProtection="1">
      <alignment horizontal="center"/>
    </xf>
    <xf numFmtId="3" fontId="8" fillId="0" borderId="56" xfId="0" applyNumberFormat="1" applyFont="1" applyBorder="1" applyAlignment="1">
      <alignment horizontal="center"/>
    </xf>
    <xf numFmtId="168" fontId="46" fillId="0" borderId="49" xfId="5" applyBorder="1" applyAlignment="1">
      <alignment horizontal="center" vertical="center"/>
    </xf>
    <xf numFmtId="168" fontId="46" fillId="0" borderId="56" xfId="5" applyBorder="1" applyAlignment="1">
      <alignment horizontal="center" vertical="center"/>
    </xf>
    <xf numFmtId="0" fontId="51" fillId="11" borderId="4" xfId="0" applyFont="1" applyFill="1" applyBorder="1" applyAlignment="1">
      <alignment horizontal="left" vertical="top" wrapText="1"/>
    </xf>
    <xf numFmtId="170" fontId="13" fillId="0" borderId="0" xfId="29" applyNumberFormat="1" applyFont="1"/>
    <xf numFmtId="10" fontId="46" fillId="16" borderId="172" xfId="29" applyNumberFormat="1" applyFill="1" applyBorder="1" applyProtection="1"/>
    <xf numFmtId="10" fontId="46" fillId="16" borderId="173" xfId="29" applyNumberFormat="1" applyFill="1" applyBorder="1" applyProtection="1"/>
    <xf numFmtId="10" fontId="46" fillId="16" borderId="174" xfId="29" applyNumberFormat="1" applyFill="1" applyBorder="1" applyProtection="1"/>
    <xf numFmtId="2" fontId="46" fillId="11" borderId="0" xfId="22" applyNumberFormat="1" applyFill="1" applyProtection="1">
      <protection locked="0"/>
    </xf>
    <xf numFmtId="169" fontId="14" fillId="0" borderId="0" xfId="0" applyNumberFormat="1" applyFont="1"/>
    <xf numFmtId="0" fontId="14" fillId="0" borderId="42" xfId="0" applyFont="1" applyBorder="1" applyAlignment="1">
      <alignment horizontal="right"/>
    </xf>
    <xf numFmtId="0" fontId="8" fillId="17" borderId="2" xfId="20" applyFont="1" applyFill="1" applyBorder="1" applyAlignment="1">
      <alignment horizontal="center"/>
    </xf>
    <xf numFmtId="174" fontId="46" fillId="0" borderId="56" xfId="5" applyNumberFormat="1" applyBorder="1" applyAlignment="1">
      <alignment horizontal="center"/>
    </xf>
    <xf numFmtId="0" fontId="0" fillId="0" borderId="151" xfId="0" applyBorder="1"/>
    <xf numFmtId="0" fontId="14" fillId="0" borderId="0" xfId="0" applyFont="1" applyAlignment="1">
      <alignment horizontal="right"/>
    </xf>
    <xf numFmtId="0" fontId="0" fillId="0" borderId="176" xfId="0" applyBorder="1" applyAlignment="1">
      <alignment horizontal="center"/>
    </xf>
    <xf numFmtId="0" fontId="8" fillId="0" borderId="176" xfId="0" applyFont="1" applyBorder="1" applyAlignment="1">
      <alignment horizontal="center"/>
    </xf>
    <xf numFmtId="0" fontId="0" fillId="0" borderId="176" xfId="0" applyBorder="1"/>
    <xf numFmtId="0" fontId="0" fillId="0" borderId="156" xfId="0" applyBorder="1" applyAlignment="1">
      <alignment horizontal="center"/>
    </xf>
    <xf numFmtId="192" fontId="0" fillId="22" borderId="123" xfId="22" applyNumberFormat="1" applyFont="1" applyFill="1" applyBorder="1" applyProtection="1">
      <protection locked="0"/>
    </xf>
    <xf numFmtId="2" fontId="3" fillId="23" borderId="177" xfId="0" applyNumberFormat="1" applyFont="1" applyFill="1" applyBorder="1" applyAlignment="1" applyProtection="1">
      <alignment horizontal="center"/>
      <protection locked="0"/>
    </xf>
    <xf numFmtId="170" fontId="8" fillId="0" borderId="0" xfId="29" applyNumberFormat="1" applyFont="1"/>
    <xf numFmtId="170" fontId="2" fillId="0" borderId="0" xfId="29" applyNumberFormat="1" applyFont="1" applyAlignment="1">
      <alignment horizontal="right"/>
    </xf>
    <xf numFmtId="1" fontId="0" fillId="15" borderId="144" xfId="0" applyNumberFormat="1" applyFill="1" applyBorder="1" applyAlignment="1" applyProtection="1">
      <alignment horizontal="center"/>
      <protection locked="0"/>
    </xf>
    <xf numFmtId="193" fontId="46" fillId="12" borderId="136" xfId="5" applyNumberFormat="1" applyFill="1" applyBorder="1" applyAlignment="1" applyProtection="1">
      <alignment horizontal="center"/>
      <protection locked="0"/>
    </xf>
    <xf numFmtId="2" fontId="2" fillId="12" borderId="136" xfId="14" applyNumberFormat="1" applyFill="1" applyBorder="1" applyAlignment="1" applyProtection="1">
      <alignment horizontal="center"/>
      <protection locked="0"/>
    </xf>
    <xf numFmtId="44" fontId="0" fillId="12" borderId="136" xfId="14" applyFont="1" applyFill="1" applyBorder="1" applyAlignment="1" applyProtection="1">
      <alignment horizontal="center"/>
      <protection locked="0"/>
    </xf>
    <xf numFmtId="190" fontId="2" fillId="0" borderId="0" xfId="25" applyNumberFormat="1"/>
    <xf numFmtId="193" fontId="8" fillId="0" borderId="0" xfId="25" applyNumberFormat="1" applyFont="1" applyAlignment="1">
      <alignment horizontal="center"/>
    </xf>
    <xf numFmtId="44" fontId="2" fillId="0" borderId="0" xfId="25" applyNumberFormat="1"/>
    <xf numFmtId="0" fontId="22" fillId="0" borderId="0" xfId="25" applyFont="1" applyAlignment="1">
      <alignment horizontal="center"/>
    </xf>
    <xf numFmtId="44" fontId="0" fillId="12" borderId="136" xfId="14" applyFont="1" applyFill="1" applyBorder="1" applyProtection="1">
      <protection locked="0"/>
    </xf>
    <xf numFmtId="164" fontId="2" fillId="0" borderId="0" xfId="25" applyNumberFormat="1"/>
    <xf numFmtId="0" fontId="13" fillId="0" borderId="0" xfId="25" applyFont="1" applyAlignment="1">
      <alignment horizontal="left"/>
    </xf>
    <xf numFmtId="1" fontId="2" fillId="0" borderId="0" xfId="25" applyNumberFormat="1"/>
    <xf numFmtId="0" fontId="0" fillId="0" borderId="178" xfId="0" applyBorder="1"/>
    <xf numFmtId="0" fontId="16" fillId="0" borderId="0" xfId="0" applyFont="1" applyAlignment="1">
      <alignment horizontal="right"/>
    </xf>
    <xf numFmtId="0" fontId="2" fillId="0" borderId="0" xfId="0" applyFont="1"/>
    <xf numFmtId="0" fontId="2" fillId="15" borderId="136" xfId="0" applyFont="1" applyFill="1" applyBorder="1" applyProtection="1">
      <protection locked="0"/>
    </xf>
    <xf numFmtId="0" fontId="7" fillId="0" borderId="139" xfId="0" applyFont="1" applyBorder="1"/>
    <xf numFmtId="0" fontId="7" fillId="0" borderId="141" xfId="0" applyFont="1" applyBorder="1"/>
    <xf numFmtId="0" fontId="9" fillId="0" borderId="0" xfId="0" applyFont="1" applyAlignment="1">
      <alignment horizontal="right"/>
    </xf>
    <xf numFmtId="0" fontId="7" fillId="0" borderId="141" xfId="0" applyFont="1" applyBorder="1" applyAlignment="1">
      <alignment vertical="top"/>
    </xf>
    <xf numFmtId="0" fontId="9" fillId="0" borderId="141" xfId="0" applyFont="1" applyBorder="1"/>
    <xf numFmtId="14" fontId="9" fillId="0" borderId="0" xfId="0" applyNumberFormat="1" applyFont="1"/>
    <xf numFmtId="0" fontId="9" fillId="0" borderId="142" xfId="0" applyFont="1" applyBorder="1"/>
    <xf numFmtId="0" fontId="7" fillId="0" borderId="142" xfId="0" applyFont="1" applyBorder="1" applyAlignment="1">
      <alignment vertical="top"/>
    </xf>
    <xf numFmtId="0" fontId="21" fillId="0" borderId="0" xfId="0" applyFont="1"/>
    <xf numFmtId="0" fontId="52" fillId="0" borderId="0" xfId="0" applyFont="1"/>
    <xf numFmtId="0" fontId="7" fillId="0" borderId="144" xfId="0" applyFont="1" applyBorder="1"/>
    <xf numFmtId="0" fontId="7" fillId="0" borderId="144" xfId="0" applyFont="1" applyBorder="1" applyAlignment="1">
      <alignment horizontal="right"/>
    </xf>
    <xf numFmtId="0" fontId="7" fillId="0" borderId="166" xfId="0" applyFont="1" applyBorder="1" applyAlignment="1">
      <alignment horizontal="right"/>
    </xf>
    <xf numFmtId="0" fontId="0" fillId="15" borderId="155" xfId="0" applyFill="1" applyBorder="1" applyAlignment="1" applyProtection="1">
      <alignment horizontal="center"/>
      <protection locked="0"/>
    </xf>
    <xf numFmtId="0" fontId="0" fillId="0" borderId="155" xfId="0" applyBorder="1"/>
    <xf numFmtId="194" fontId="0" fillId="24" borderId="155" xfId="0" applyNumberFormat="1" applyFill="1" applyBorder="1"/>
    <xf numFmtId="195" fontId="9" fillId="0" borderId="144" xfId="43" applyFont="1" applyBorder="1"/>
    <xf numFmtId="10" fontId="13" fillId="0" borderId="179" xfId="0" applyNumberFormat="1" applyFont="1" applyBorder="1"/>
    <xf numFmtId="194" fontId="8" fillId="0" borderId="144" xfId="0" applyNumberFormat="1" applyFont="1" applyBorder="1"/>
    <xf numFmtId="194" fontId="8" fillId="0" borderId="180" xfId="0" applyNumberFormat="1" applyFont="1" applyBorder="1"/>
    <xf numFmtId="0" fontId="7" fillId="0" borderId="166" xfId="0" applyFont="1" applyBorder="1" applyAlignment="1">
      <alignment wrapText="1"/>
    </xf>
    <xf numFmtId="195" fontId="8" fillId="0" borderId="180" xfId="43" applyFont="1" applyBorder="1"/>
    <xf numFmtId="0" fontId="7" fillId="0" borderId="166" xfId="0" applyFont="1" applyBorder="1"/>
    <xf numFmtId="195" fontId="8" fillId="0" borderId="146" xfId="43" applyFont="1" applyBorder="1"/>
    <xf numFmtId="195" fontId="7" fillId="0" borderId="180" xfId="43" applyFont="1" applyBorder="1"/>
    <xf numFmtId="9" fontId="13" fillId="0" borderId="0" xfId="34" applyFont="1"/>
    <xf numFmtId="9" fontId="0" fillId="0" borderId="0" xfId="34" applyFont="1"/>
    <xf numFmtId="195" fontId="8" fillId="0" borderId="0" xfId="0" applyNumberFormat="1" applyFont="1"/>
    <xf numFmtId="194" fontId="8" fillId="0" borderId="0" xfId="0" applyNumberFormat="1" applyFont="1"/>
    <xf numFmtId="0" fontId="7" fillId="0" borderId="181" xfId="0" applyFont="1" applyBorder="1"/>
    <xf numFmtId="0" fontId="0" fillId="0" borderId="182" xfId="0" applyBorder="1"/>
    <xf numFmtId="0" fontId="7" fillId="0" borderId="183" xfId="0" applyFont="1" applyBorder="1"/>
    <xf numFmtId="0" fontId="8" fillId="0" borderId="184" xfId="0" applyFont="1" applyBorder="1"/>
    <xf numFmtId="3" fontId="8" fillId="0" borderId="161" xfId="0" applyNumberFormat="1" applyFont="1" applyBorder="1"/>
    <xf numFmtId="0" fontId="8" fillId="0" borderId="185" xfId="0" applyFont="1" applyBorder="1"/>
    <xf numFmtId="0" fontId="8" fillId="0" borderId="161" xfId="0" applyFont="1" applyBorder="1"/>
    <xf numFmtId="0" fontId="53" fillId="0" borderId="186" xfId="0" applyFont="1" applyBorder="1" applyAlignment="1">
      <alignment horizontal="left" wrapText="1"/>
    </xf>
    <xf numFmtId="0" fontId="8" fillId="0" borderId="187" xfId="0" applyFont="1" applyBorder="1"/>
    <xf numFmtId="0" fontId="54" fillId="0" borderId="188" xfId="0" applyFont="1" applyBorder="1" applyAlignment="1">
      <alignment horizontal="left" vertical="center" indent="1"/>
    </xf>
    <xf numFmtId="0" fontId="0" fillId="0" borderId="146" xfId="0" applyBorder="1" applyAlignment="1">
      <alignment horizontal="left"/>
    </xf>
    <xf numFmtId="0" fontId="53" fillId="0" borderId="141" xfId="0" applyFont="1" applyBorder="1" applyAlignment="1">
      <alignment wrapText="1"/>
    </xf>
    <xf numFmtId="0" fontId="55" fillId="0" borderId="0" xfId="44" applyFont="1" applyBorder="1" applyAlignment="1" applyProtection="1"/>
    <xf numFmtId="0" fontId="56" fillId="0" borderId="0" xfId="44" applyFont="1" applyBorder="1" applyAlignment="1" applyProtection="1"/>
    <xf numFmtId="0" fontId="57" fillId="0" borderId="0" xfId="0" applyFont="1"/>
    <xf numFmtId="0" fontId="2" fillId="0" borderId="189" xfId="0" applyFont="1" applyBorder="1"/>
    <xf numFmtId="14" fontId="8" fillId="0" borderId="190" xfId="0" applyNumberFormat="1" applyFont="1" applyBorder="1"/>
    <xf numFmtId="0" fontId="45" fillId="0" borderId="166" xfId="0" applyFont="1" applyBorder="1"/>
    <xf numFmtId="169" fontId="46" fillId="0" borderId="155" xfId="37" applyBorder="1"/>
    <xf numFmtId="1" fontId="0" fillId="15" borderId="155" xfId="0" applyNumberFormat="1" applyFill="1" applyBorder="1" applyAlignment="1" applyProtection="1">
      <alignment horizontal="center"/>
      <protection locked="0"/>
    </xf>
    <xf numFmtId="1" fontId="0" fillId="0" borderId="179" xfId="0" applyNumberFormat="1" applyBorder="1" applyAlignment="1">
      <alignment horizontal="center"/>
    </xf>
    <xf numFmtId="10" fontId="0" fillId="15" borderId="136" xfId="0" applyNumberFormat="1" applyFill="1" applyBorder="1" applyProtection="1">
      <protection locked="0"/>
    </xf>
    <xf numFmtId="0" fontId="7" fillId="15" borderId="136" xfId="0" applyFont="1" applyFill="1" applyBorder="1" applyProtection="1">
      <protection locked="0"/>
    </xf>
    <xf numFmtId="3" fontId="7" fillId="15" borderId="136" xfId="0" applyNumberFormat="1" applyFont="1" applyFill="1" applyBorder="1" applyProtection="1">
      <protection locked="0"/>
    </xf>
    <xf numFmtId="0" fontId="9" fillId="15" borderId="136" xfId="0" applyFont="1" applyFill="1" applyBorder="1" applyAlignment="1" applyProtection="1">
      <alignment horizontal="center"/>
      <protection locked="0"/>
    </xf>
    <xf numFmtId="14" fontId="9" fillId="15" borderId="136" xfId="0" applyNumberFormat="1" applyFont="1" applyFill="1" applyBorder="1" applyProtection="1">
      <protection locked="0"/>
    </xf>
    <xf numFmtId="3" fontId="9" fillId="15" borderId="136" xfId="0" applyNumberFormat="1" applyFont="1" applyFill="1" applyBorder="1" applyAlignment="1" applyProtection="1">
      <alignment horizontal="right"/>
      <protection locked="0"/>
    </xf>
    <xf numFmtId="171" fontId="46" fillId="0" borderId="155" xfId="29" applyBorder="1"/>
    <xf numFmtId="0" fontId="7" fillId="0" borderId="0" xfId="0" applyFont="1" applyAlignment="1">
      <alignment vertical="top"/>
    </xf>
    <xf numFmtId="0" fontId="0" fillId="0" borderId="191" xfId="0" applyBorder="1"/>
    <xf numFmtId="0" fontId="45" fillId="0" borderId="179" xfId="0" applyFont="1" applyBorder="1"/>
    <xf numFmtId="0" fontId="22" fillId="0" borderId="0" xfId="25" applyFont="1" applyAlignment="1">
      <alignment horizontal="center" vertical="top" wrapText="1"/>
    </xf>
    <xf numFmtId="170" fontId="2" fillId="0" borderId="0" xfId="29" applyNumberFormat="1" applyFont="1" applyFill="1" applyBorder="1" applyAlignment="1" applyProtection="1"/>
    <xf numFmtId="1" fontId="8" fillId="0" borderId="0" xfId="25" applyNumberFormat="1" applyFont="1" applyAlignment="1">
      <alignment horizontal="center"/>
    </xf>
    <xf numFmtId="1" fontId="2" fillId="0" borderId="0" xfId="25" applyNumberFormat="1" applyAlignment="1">
      <alignment horizontal="center"/>
    </xf>
    <xf numFmtId="171" fontId="46" fillId="18" borderId="151" xfId="29" applyFill="1" applyBorder="1" applyAlignment="1">
      <alignment horizontal="center"/>
    </xf>
    <xf numFmtId="0" fontId="22" fillId="0" borderId="26" xfId="20" applyFont="1" applyBorder="1" applyAlignment="1">
      <alignment horizontal="center" vertical="center" wrapText="1"/>
    </xf>
    <xf numFmtId="2" fontId="9" fillId="3" borderId="30" xfId="20" applyNumberFormat="1" applyFont="1" applyFill="1" applyBorder="1"/>
    <xf numFmtId="0" fontId="22" fillId="0" borderId="192" xfId="20" applyFont="1" applyBorder="1" applyAlignment="1">
      <alignment horizontal="center" vertical="center" wrapText="1"/>
    </xf>
    <xf numFmtId="0" fontId="22" fillId="0" borderId="192" xfId="20" applyFont="1" applyBorder="1" applyAlignment="1">
      <alignment horizontal="center" vertical="top" wrapText="1"/>
    </xf>
    <xf numFmtId="169" fontId="13" fillId="2" borderId="136" xfId="37" applyFont="1" applyFill="1" applyBorder="1" applyAlignment="1" applyProtection="1">
      <alignment horizontal="right"/>
      <protection locked="0"/>
    </xf>
    <xf numFmtId="0" fontId="0" fillId="0" borderId="0" xfId="0" applyAlignment="1">
      <alignment vertical="center"/>
    </xf>
    <xf numFmtId="171" fontId="46" fillId="12" borderId="136" xfId="29" applyFill="1" applyBorder="1" applyAlignment="1" applyProtection="1">
      <alignment horizontal="center"/>
      <protection locked="0"/>
    </xf>
    <xf numFmtId="1" fontId="46" fillId="0" borderId="136" xfId="29" applyNumberFormat="1" applyFill="1" applyBorder="1" applyAlignment="1" applyProtection="1">
      <alignment horizontal="center"/>
    </xf>
    <xf numFmtId="190" fontId="13" fillId="0" borderId="0" xfId="25" applyNumberFormat="1" applyFont="1" applyAlignment="1">
      <alignment wrapText="1" shrinkToFit="1"/>
    </xf>
    <xf numFmtId="190" fontId="8" fillId="0" borderId="164" xfId="25" applyNumberFormat="1" applyFont="1" applyBorder="1"/>
    <xf numFmtId="0" fontId="8" fillId="2" borderId="144" xfId="24" applyFont="1" applyFill="1" applyBorder="1" applyAlignment="1" applyProtection="1">
      <alignment horizontal="center"/>
      <protection locked="0"/>
    </xf>
    <xf numFmtId="0" fontId="22" fillId="0" borderId="0" xfId="0" applyFont="1" applyAlignment="1">
      <alignment horizontal="center" wrapText="1"/>
    </xf>
    <xf numFmtId="0" fontId="3" fillId="2" borderId="193" xfId="0" applyFont="1" applyFill="1" applyBorder="1" applyProtection="1">
      <protection locked="0"/>
    </xf>
    <xf numFmtId="0" fontId="3" fillId="2" borderId="136" xfId="0" applyFont="1" applyFill="1" applyBorder="1" applyProtection="1">
      <protection locked="0"/>
    </xf>
    <xf numFmtId="0" fontId="3" fillId="2" borderId="194" xfId="0" applyFont="1" applyFill="1" applyBorder="1" applyProtection="1">
      <protection locked="0"/>
    </xf>
    <xf numFmtId="0" fontId="29" fillId="2" borderId="28" xfId="0" applyFont="1" applyFill="1" applyBorder="1" applyAlignment="1" applyProtection="1">
      <alignment horizontal="center"/>
      <protection locked="0"/>
    </xf>
    <xf numFmtId="0" fontId="3" fillId="2" borderId="136" xfId="0" applyFont="1" applyFill="1" applyBorder="1" applyAlignment="1" applyProtection="1">
      <alignment horizontal="center"/>
      <protection locked="0"/>
    </xf>
    <xf numFmtId="169" fontId="3" fillId="2" borderId="136" xfId="37" applyFont="1" applyFill="1" applyBorder="1" applyAlignment="1" applyProtection="1">
      <protection locked="0"/>
    </xf>
    <xf numFmtId="1" fontId="28" fillId="3" borderId="2" xfId="0" applyNumberFormat="1" applyFont="1" applyFill="1" applyBorder="1" applyAlignment="1">
      <alignment horizontal="center"/>
    </xf>
    <xf numFmtId="170" fontId="22" fillId="0" borderId="151" xfId="29" applyNumberFormat="1" applyFont="1" applyFill="1" applyBorder="1" applyAlignment="1" applyProtection="1">
      <alignment horizontal="center"/>
    </xf>
    <xf numFmtId="2" fontId="16" fillId="3" borderId="42" xfId="0" applyNumberFormat="1" applyFont="1" applyFill="1" applyBorder="1" applyAlignment="1">
      <alignment horizontal="center"/>
    </xf>
    <xf numFmtId="0" fontId="7" fillId="0" borderId="144" xfId="0" applyFont="1" applyBorder="1" applyAlignment="1">
      <alignment horizontal="center"/>
    </xf>
    <xf numFmtId="169" fontId="22" fillId="0" borderId="0" xfId="0" applyNumberFormat="1" applyFont="1"/>
    <xf numFmtId="169" fontId="46" fillId="15" borderId="136" xfId="37" applyFill="1" applyBorder="1" applyProtection="1">
      <protection locked="0"/>
    </xf>
    <xf numFmtId="171" fontId="8" fillId="0" borderId="0" xfId="20" applyNumberFormat="1" applyFont="1" applyAlignment="1">
      <alignment horizontal="center"/>
    </xf>
    <xf numFmtId="171" fontId="8" fillId="18" borderId="136" xfId="29" applyFont="1" applyFill="1" applyBorder="1" applyAlignment="1">
      <alignment horizontal="center"/>
    </xf>
    <xf numFmtId="0" fontId="8" fillId="0" borderId="151" xfId="0" applyFont="1" applyBorder="1" applyAlignment="1">
      <alignment horizontal="center"/>
    </xf>
    <xf numFmtId="170" fontId="8" fillId="0" borderId="144" xfId="29" applyNumberFormat="1" applyFont="1" applyFill="1" applyBorder="1" applyAlignment="1" applyProtection="1"/>
    <xf numFmtId="0" fontId="3" fillId="2" borderId="30" xfId="0" applyFont="1" applyFill="1" applyBorder="1" applyProtection="1">
      <protection locked="0"/>
    </xf>
    <xf numFmtId="0" fontId="29" fillId="2" borderId="195" xfId="0" applyFont="1" applyFill="1" applyBorder="1" applyProtection="1">
      <protection locked="0"/>
    </xf>
    <xf numFmtId="0" fontId="8" fillId="0" borderId="166" xfId="0" applyFont="1" applyBorder="1"/>
    <xf numFmtId="169" fontId="8" fillId="0" borderId="179" xfId="0" applyNumberFormat="1" applyFont="1" applyBorder="1"/>
    <xf numFmtId="169" fontId="8" fillId="0" borderId="180" xfId="0" applyNumberFormat="1" applyFont="1" applyBorder="1"/>
    <xf numFmtId="169" fontId="8" fillId="0" borderId="166" xfId="0" applyNumberFormat="1" applyFont="1" applyBorder="1"/>
    <xf numFmtId="170" fontId="8" fillId="0" borderId="180" xfId="29" applyNumberFormat="1" applyFont="1" applyFill="1" applyBorder="1" applyAlignment="1" applyProtection="1"/>
    <xf numFmtId="169" fontId="0" fillId="0" borderId="168" xfId="0" applyNumberFormat="1" applyBorder="1"/>
    <xf numFmtId="0" fontId="8" fillId="0" borderId="144" xfId="0" applyFont="1" applyBorder="1"/>
    <xf numFmtId="0" fontId="8" fillId="11" borderId="4" xfId="0" applyFont="1" applyFill="1" applyBorder="1" applyAlignment="1">
      <alignment horizontal="left"/>
    </xf>
    <xf numFmtId="0" fontId="3" fillId="2" borderId="190" xfId="0" applyFont="1" applyFill="1" applyBorder="1" applyAlignment="1" applyProtection="1">
      <alignment horizontal="center"/>
      <protection locked="0"/>
    </xf>
    <xf numFmtId="169" fontId="3" fillId="6" borderId="25" xfId="37" applyFont="1" applyFill="1" applyBorder="1" applyAlignment="1" applyProtection="1"/>
    <xf numFmtId="170" fontId="13" fillId="0" borderId="161" xfId="29" applyNumberFormat="1" applyFont="1" applyFill="1" applyBorder="1" applyAlignment="1" applyProtection="1"/>
    <xf numFmtId="169" fontId="5" fillId="0" borderId="144" xfId="37" applyFont="1" applyFill="1" applyBorder="1" applyAlignment="1" applyProtection="1"/>
    <xf numFmtId="169" fontId="3" fillId="0" borderId="144" xfId="37" applyFont="1" applyFill="1" applyBorder="1" applyAlignment="1" applyProtection="1"/>
    <xf numFmtId="169" fontId="3" fillId="6" borderId="66" xfId="37" applyFont="1" applyFill="1" applyBorder="1" applyAlignment="1" applyProtection="1"/>
    <xf numFmtId="169" fontId="3" fillId="6" borderId="144" xfId="37" applyFont="1" applyFill="1" applyBorder="1" applyAlignment="1" applyProtection="1"/>
    <xf numFmtId="169" fontId="16" fillId="0" borderId="144" xfId="37" applyFont="1" applyFill="1" applyBorder="1" applyAlignment="1" applyProtection="1"/>
    <xf numFmtId="169" fontId="16" fillId="6" borderId="144" xfId="37" applyFont="1" applyFill="1" applyBorder="1" applyAlignment="1" applyProtection="1"/>
    <xf numFmtId="169" fontId="3" fillId="7" borderId="144" xfId="37" applyFont="1" applyFill="1" applyBorder="1" applyAlignment="1" applyProtection="1"/>
    <xf numFmtId="180" fontId="3" fillId="2" borderId="24" xfId="0" applyNumberFormat="1" applyFont="1" applyFill="1" applyBorder="1" applyProtection="1">
      <protection locked="0"/>
    </xf>
    <xf numFmtId="169" fontId="16" fillId="7" borderId="144" xfId="37" applyFont="1" applyFill="1" applyBorder="1" applyAlignment="1" applyProtection="1"/>
    <xf numFmtId="169" fontId="21" fillId="8" borderId="0" xfId="37" applyFont="1" applyFill="1"/>
    <xf numFmtId="169" fontId="46" fillId="0" borderId="0" xfId="37" applyAlignment="1"/>
    <xf numFmtId="171" fontId="46" fillId="15" borderId="155" xfId="29" applyFill="1" applyBorder="1" applyAlignment="1" applyProtection="1">
      <alignment horizontal="center"/>
      <protection locked="0"/>
    </xf>
    <xf numFmtId="0" fontId="54" fillId="0" borderId="188" xfId="0" applyFont="1" applyBorder="1" applyAlignment="1">
      <alignment horizontal="center" vertical="center"/>
    </xf>
    <xf numFmtId="14" fontId="9" fillId="15" borderId="136" xfId="0" applyNumberFormat="1" applyFont="1" applyFill="1" applyBorder="1" applyAlignment="1" applyProtection="1">
      <alignment horizontal="right"/>
      <protection locked="0"/>
    </xf>
    <xf numFmtId="9" fontId="9" fillId="15" borderId="136" xfId="0" applyNumberFormat="1" applyFont="1" applyFill="1" applyBorder="1" applyProtection="1">
      <protection locked="0"/>
    </xf>
    <xf numFmtId="0" fontId="9" fillId="15" borderId="136" xfId="0" applyFont="1" applyFill="1" applyBorder="1" applyAlignment="1" applyProtection="1">
      <alignment horizontal="right" wrapText="1"/>
      <protection locked="0"/>
    </xf>
    <xf numFmtId="2" fontId="16" fillId="25" borderId="136" xfId="0" applyNumberFormat="1" applyFont="1" applyFill="1" applyBorder="1" applyAlignment="1" applyProtection="1">
      <alignment horizontal="center"/>
      <protection locked="0"/>
    </xf>
    <xf numFmtId="168" fontId="3" fillId="2" borderId="59" xfId="45" applyFont="1" applyFill="1" applyBorder="1" applyAlignment="1" applyProtection="1">
      <protection locked="0"/>
    </xf>
    <xf numFmtId="169" fontId="3" fillId="2" borderId="60" xfId="46" applyFont="1" applyFill="1" applyBorder="1" applyAlignment="1" applyProtection="1">
      <protection locked="0"/>
    </xf>
    <xf numFmtId="169" fontId="3" fillId="0" borderId="25" xfId="46" applyFont="1" applyFill="1" applyBorder="1" applyAlignment="1" applyProtection="1"/>
    <xf numFmtId="170" fontId="13" fillId="0" borderId="0" xfId="47" applyNumberFormat="1" applyFont="1" applyFill="1" applyBorder="1" applyAlignment="1" applyProtection="1"/>
    <xf numFmtId="169" fontId="3" fillId="6" borderId="2" xfId="46" applyFont="1" applyFill="1" applyBorder="1" applyAlignment="1" applyProtection="1"/>
    <xf numFmtId="169" fontId="3" fillId="2" borderId="28" xfId="46" applyFont="1" applyFill="1" applyBorder="1" applyAlignment="1" applyProtection="1">
      <protection locked="0"/>
    </xf>
    <xf numFmtId="169" fontId="3" fillId="0" borderId="2" xfId="46" applyFont="1" applyFill="1" applyBorder="1" applyAlignment="1" applyProtection="1"/>
    <xf numFmtId="169" fontId="3" fillId="2" borderId="2" xfId="46" applyFont="1" applyFill="1" applyBorder="1" applyAlignment="1" applyProtection="1">
      <protection locked="0"/>
    </xf>
    <xf numFmtId="169" fontId="5" fillId="0" borderId="28" xfId="46" applyFont="1" applyFill="1" applyBorder="1" applyAlignment="1" applyProtection="1"/>
    <xf numFmtId="169" fontId="5" fillId="6" borderId="28" xfId="46" applyFont="1" applyFill="1" applyBorder="1" applyAlignment="1" applyProtection="1"/>
    <xf numFmtId="169" fontId="3" fillId="2" borderId="2" xfId="46" applyFont="1" applyFill="1" applyBorder="1" applyAlignment="1" applyProtection="1">
      <alignment horizontal="center"/>
      <protection locked="0"/>
    </xf>
    <xf numFmtId="169" fontId="16" fillId="0" borderId="0" xfId="46" applyFont="1" applyFill="1" applyBorder="1" applyAlignment="1" applyProtection="1"/>
    <xf numFmtId="169" fontId="5" fillId="0" borderId="0" xfId="46" applyFont="1" applyFill="1" applyBorder="1" applyAlignment="1" applyProtection="1"/>
    <xf numFmtId="169" fontId="3" fillId="0" borderId="0" xfId="46" applyFont="1" applyFill="1" applyBorder="1" applyAlignment="1" applyProtection="1"/>
    <xf numFmtId="169" fontId="3" fillId="3" borderId="2" xfId="46" applyFont="1" applyFill="1" applyBorder="1" applyAlignment="1" applyProtection="1"/>
    <xf numFmtId="0" fontId="0" fillId="3" borderId="194" xfId="0" applyFill="1" applyBorder="1" applyAlignment="1">
      <alignment horizontal="center"/>
    </xf>
    <xf numFmtId="169" fontId="3" fillId="3" borderId="66" xfId="46" applyFont="1" applyFill="1" applyBorder="1" applyAlignment="1" applyProtection="1"/>
    <xf numFmtId="169" fontId="3" fillId="3" borderId="28" xfId="46" applyFont="1" applyFill="1" applyBorder="1" applyAlignment="1" applyProtection="1"/>
    <xf numFmtId="169" fontId="3" fillId="25" borderId="136" xfId="46" applyFont="1" applyFill="1" applyBorder="1" applyAlignment="1" applyProtection="1">
      <protection locked="0"/>
    </xf>
    <xf numFmtId="2" fontId="0" fillId="0" borderId="0" xfId="0" applyNumberFormat="1" applyAlignment="1">
      <alignment horizontal="left"/>
    </xf>
    <xf numFmtId="169" fontId="5" fillId="10" borderId="144" xfId="0" applyNumberFormat="1" applyFont="1" applyFill="1" applyBorder="1"/>
    <xf numFmtId="169" fontId="16" fillId="10" borderId="144" xfId="0" applyNumberFormat="1" applyFont="1" applyFill="1" applyBorder="1"/>
    <xf numFmtId="169" fontId="16" fillId="8" borderId="144" xfId="0" applyNumberFormat="1" applyFont="1" applyFill="1" applyBorder="1"/>
    <xf numFmtId="169" fontId="5" fillId="0" borderId="144" xfId="0" applyNumberFormat="1" applyFont="1" applyBorder="1"/>
    <xf numFmtId="169" fontId="5" fillId="0" borderId="180" xfId="0" applyNumberFormat="1" applyFont="1" applyBorder="1"/>
    <xf numFmtId="0" fontId="26" fillId="2" borderId="144" xfId="20" applyFont="1" applyFill="1" applyBorder="1" applyProtection="1">
      <protection locked="0"/>
    </xf>
    <xf numFmtId="10" fontId="3" fillId="2" borderId="2" xfId="0" applyNumberFormat="1" applyFont="1" applyFill="1" applyBorder="1" applyProtection="1">
      <protection locked="0"/>
    </xf>
    <xf numFmtId="171" fontId="0" fillId="15" borderId="4" xfId="0" applyNumberFormat="1" applyFill="1" applyBorder="1" applyProtection="1">
      <protection locked="0"/>
    </xf>
    <xf numFmtId="169" fontId="3" fillId="0" borderId="0" xfId="0" applyNumberFormat="1" applyFont="1"/>
    <xf numFmtId="169" fontId="8" fillId="11" borderId="4" xfId="37" applyFont="1" applyFill="1" applyBorder="1" applyAlignment="1" applyProtection="1">
      <alignment horizontal="center" vertical="center" wrapText="1"/>
    </xf>
    <xf numFmtId="0" fontId="5" fillId="11" borderId="4" xfId="0" applyFont="1" applyFill="1" applyBorder="1" applyAlignment="1">
      <alignment horizontal="center"/>
    </xf>
    <xf numFmtId="171" fontId="46" fillId="11" borderId="0" xfId="29" applyFill="1" applyBorder="1" applyAlignment="1" applyProtection="1">
      <alignment horizontal="center" vertical="center"/>
    </xf>
    <xf numFmtId="169" fontId="0" fillId="2" borderId="4" xfId="37" applyFont="1" applyFill="1" applyBorder="1" applyAlignment="1" applyProtection="1">
      <alignment horizontal="center" vertical="center"/>
      <protection locked="0"/>
    </xf>
    <xf numFmtId="171" fontId="8" fillId="11" borderId="4" xfId="29" applyFont="1" applyFill="1" applyBorder="1" applyAlignment="1" applyProtection="1">
      <alignment horizontal="center" vertical="center" wrapText="1"/>
    </xf>
    <xf numFmtId="169" fontId="8" fillId="11" borderId="136" xfId="38" applyFont="1" applyFill="1" applyBorder="1" applyAlignment="1" applyProtection="1">
      <alignment horizontal="center" vertical="center"/>
    </xf>
    <xf numFmtId="169" fontId="8" fillId="0" borderId="138" xfId="37" applyFont="1" applyBorder="1" applyAlignment="1">
      <alignment horizontal="center" vertical="center"/>
    </xf>
    <xf numFmtId="0" fontId="8" fillId="11" borderId="101" xfId="0" applyFont="1" applyFill="1" applyBorder="1" applyAlignment="1">
      <alignment horizontal="left" vertical="top" wrapText="1"/>
    </xf>
    <xf numFmtId="169" fontId="61" fillId="0" borderId="0" xfId="22" applyNumberFormat="1" applyFont="1"/>
    <xf numFmtId="0" fontId="22" fillId="0" borderId="0" xfId="25" applyFont="1" applyAlignment="1">
      <alignment vertical="top" wrapText="1"/>
    </xf>
    <xf numFmtId="196" fontId="46" fillId="0" borderId="0" xfId="37" applyNumberFormat="1"/>
    <xf numFmtId="10" fontId="62" fillId="12" borderId="136" xfId="14" applyNumberFormat="1" applyFont="1" applyFill="1" applyBorder="1" applyAlignment="1" applyProtection="1">
      <alignment horizontal="center"/>
      <protection locked="0"/>
    </xf>
    <xf numFmtId="0" fontId="28" fillId="25" borderId="2" xfId="0" applyFont="1" applyFill="1" applyBorder="1" applyAlignment="1" applyProtection="1">
      <alignment horizontal="center"/>
      <protection locked="0"/>
    </xf>
    <xf numFmtId="2" fontId="0" fillId="2" borderId="4" xfId="11" applyNumberFormat="1" applyFont="1" applyFill="1" applyBorder="1" applyAlignment="1" applyProtection="1">
      <protection locked="0"/>
    </xf>
    <xf numFmtId="44" fontId="0" fillId="12" borderId="161" xfId="14" applyFont="1" applyFill="1" applyBorder="1" applyAlignment="1" applyProtection="1">
      <alignment horizontal="center"/>
      <protection locked="0"/>
    </xf>
    <xf numFmtId="2" fontId="5" fillId="13" borderId="151" xfId="14" applyNumberFormat="1" applyFont="1" applyFill="1" applyBorder="1" applyAlignment="1">
      <alignment horizontal="center"/>
    </xf>
    <xf numFmtId="197" fontId="8" fillId="0" borderId="0" xfId="25" applyNumberFormat="1" applyFont="1" applyAlignment="1">
      <alignment horizontal="center"/>
    </xf>
    <xf numFmtId="169" fontId="3" fillId="3" borderId="25" xfId="37" applyFont="1" applyFill="1" applyBorder="1" applyAlignment="1" applyProtection="1"/>
    <xf numFmtId="0" fontId="13" fillId="0" borderId="0" xfId="0" applyFont="1" applyProtection="1">
      <protection locked="0"/>
    </xf>
    <xf numFmtId="171" fontId="0" fillId="0" borderId="0" xfId="0" applyNumberFormat="1" applyProtection="1">
      <protection locked="0"/>
    </xf>
    <xf numFmtId="1" fontId="3" fillId="16" borderId="46" xfId="0" applyNumberFormat="1" applyFont="1" applyFill="1" applyBorder="1"/>
    <xf numFmtId="0" fontId="0" fillId="16" borderId="4" xfId="24" applyFont="1" applyFill="1" applyBorder="1" applyAlignment="1">
      <alignment horizontal="center"/>
    </xf>
    <xf numFmtId="0" fontId="8" fillId="26" borderId="166" xfId="0" applyFont="1" applyFill="1" applyBorder="1"/>
    <xf numFmtId="171" fontId="0" fillId="15" borderId="136" xfId="0" applyNumberFormat="1" applyFill="1" applyBorder="1" applyProtection="1">
      <protection locked="0"/>
    </xf>
    <xf numFmtId="178" fontId="0" fillId="2" borderId="25" xfId="22" applyNumberFormat="1" applyFont="1" applyFill="1" applyBorder="1" applyProtection="1">
      <protection locked="0"/>
    </xf>
    <xf numFmtId="173" fontId="3" fillId="2" borderId="59" xfId="5" applyNumberFormat="1" applyFont="1" applyFill="1" applyBorder="1" applyAlignment="1" applyProtection="1">
      <protection locked="0"/>
    </xf>
    <xf numFmtId="171" fontId="16" fillId="7" borderId="0" xfId="29" applyFont="1" applyFill="1" applyBorder="1" applyAlignment="1" applyProtection="1"/>
    <xf numFmtId="169" fontId="15" fillId="6" borderId="0" xfId="46" applyFont="1" applyFill="1" applyBorder="1" applyAlignment="1" applyProtection="1"/>
    <xf numFmtId="169" fontId="14" fillId="0" borderId="0" xfId="37" applyFont="1"/>
    <xf numFmtId="0" fontId="62" fillId="0" borderId="0" xfId="0" applyFont="1" applyAlignment="1">
      <alignment horizontal="center"/>
    </xf>
    <xf numFmtId="0" fontId="0" fillId="0" borderId="136" xfId="0" applyBorder="1" applyAlignment="1">
      <alignment horizontal="center"/>
    </xf>
    <xf numFmtId="1" fontId="3" fillId="15" borderId="136" xfId="0" applyNumberFormat="1" applyFont="1" applyFill="1" applyBorder="1" applyAlignment="1" applyProtection="1">
      <alignment horizontal="center"/>
      <protection locked="0"/>
    </xf>
    <xf numFmtId="0" fontId="49" fillId="0" borderId="0" xfId="0" applyFont="1" applyAlignment="1">
      <alignment horizontal="center"/>
    </xf>
    <xf numFmtId="1" fontId="3" fillId="15" borderId="136" xfId="0" applyNumberFormat="1" applyFont="1" applyFill="1" applyBorder="1" applyProtection="1">
      <protection locked="0"/>
    </xf>
    <xf numFmtId="1" fontId="3" fillId="15" borderId="46" xfId="0" applyNumberFormat="1" applyFont="1" applyFill="1" applyBorder="1" applyProtection="1">
      <protection locked="0"/>
    </xf>
    <xf numFmtId="0" fontId="63" fillId="15" borderId="136" xfId="0" applyFont="1" applyFill="1" applyBorder="1"/>
    <xf numFmtId="169" fontId="46" fillId="0" borderId="0" xfId="37" applyAlignment="1">
      <alignment vertical="center"/>
    </xf>
    <xf numFmtId="0" fontId="0" fillId="19" borderId="0" xfId="0" applyFill="1"/>
    <xf numFmtId="169" fontId="0" fillId="0" borderId="145" xfId="0" applyNumberFormat="1" applyBorder="1"/>
    <xf numFmtId="175" fontId="4" fillId="0" borderId="144" xfId="37" applyNumberFormat="1" applyFont="1" applyFill="1" applyBorder="1" applyAlignment="1" applyProtection="1"/>
    <xf numFmtId="178" fontId="65" fillId="0" borderId="116" xfId="22" applyNumberFormat="1" applyFont="1" applyBorder="1"/>
    <xf numFmtId="0" fontId="42" fillId="0" borderId="0" xfId="22" applyFont="1"/>
    <xf numFmtId="0" fontId="64" fillId="0" borderId="115" xfId="22" applyFont="1" applyBorder="1"/>
    <xf numFmtId="0" fontId="13" fillId="0" borderId="136" xfId="22" applyFont="1" applyBorder="1" applyAlignment="1">
      <alignment wrapText="1"/>
    </xf>
    <xf numFmtId="0" fontId="65" fillId="0" borderId="0" xfId="22" applyFont="1" applyAlignment="1">
      <alignment wrapText="1"/>
    </xf>
    <xf numFmtId="189" fontId="13" fillId="2" borderId="38" xfId="39" applyNumberFormat="1" applyFont="1" applyFill="1" applyBorder="1" applyAlignment="1" applyProtection="1">
      <protection locked="0"/>
    </xf>
    <xf numFmtId="0" fontId="6" fillId="3" borderId="42" xfId="18" applyFill="1" applyBorder="1" applyAlignment="1" applyProtection="1">
      <alignment horizontal="center"/>
    </xf>
    <xf numFmtId="169" fontId="13" fillId="2" borderId="29" xfId="37" applyFont="1" applyFill="1" applyBorder="1" applyAlignment="1" applyProtection="1">
      <alignment horizontal="right"/>
      <protection locked="0"/>
    </xf>
    <xf numFmtId="185" fontId="13" fillId="3" borderId="29" xfId="38" applyNumberFormat="1" applyFont="1" applyFill="1" applyBorder="1" applyAlignment="1" applyProtection="1"/>
    <xf numFmtId="171" fontId="0" fillId="2" borderId="51" xfId="0" applyNumberFormat="1" applyFill="1" applyBorder="1" applyAlignment="1" applyProtection="1">
      <alignment horizontal="center"/>
      <protection locked="0"/>
    </xf>
    <xf numFmtId="9" fontId="0" fillId="15" borderId="136" xfId="0" applyNumberFormat="1" applyFill="1" applyBorder="1" applyAlignment="1" applyProtection="1">
      <alignment horizontal="center"/>
      <protection locked="0"/>
    </xf>
    <xf numFmtId="171" fontId="0" fillId="2" borderId="136" xfId="0" applyNumberFormat="1" applyFill="1" applyBorder="1" applyAlignment="1" applyProtection="1">
      <alignment horizontal="center"/>
      <protection locked="0"/>
    </xf>
    <xf numFmtId="0" fontId="13" fillId="21" borderId="136" xfId="0" applyFont="1" applyFill="1" applyBorder="1" applyAlignment="1" applyProtection="1">
      <alignment horizontal="center"/>
      <protection locked="0"/>
    </xf>
    <xf numFmtId="168" fontId="13" fillId="0" borderId="49" xfId="5" applyFont="1" applyBorder="1" applyAlignment="1">
      <alignment horizontal="center" vertical="center"/>
    </xf>
    <xf numFmtId="0" fontId="0" fillId="0" borderId="196" xfId="0" applyBorder="1"/>
    <xf numFmtId="0" fontId="0" fillId="0" borderId="197" xfId="0" applyBorder="1"/>
    <xf numFmtId="181" fontId="46" fillId="0" borderId="147" xfId="37" applyNumberFormat="1" applyFill="1" applyBorder="1" applyAlignment="1" applyProtection="1"/>
    <xf numFmtId="171" fontId="46" fillId="25" borderId="4" xfId="29" applyFill="1" applyBorder="1" applyAlignment="1" applyProtection="1">
      <alignment horizontal="center"/>
      <protection locked="0"/>
    </xf>
    <xf numFmtId="1" fontId="46" fillId="16" borderId="4" xfId="29" applyNumberFormat="1" applyFill="1" applyBorder="1" applyAlignment="1" applyProtection="1">
      <alignment horizontal="center"/>
    </xf>
    <xf numFmtId="185" fontId="46" fillId="0" borderId="0" xfId="37" applyNumberFormat="1"/>
    <xf numFmtId="185" fontId="13" fillId="0" borderId="0" xfId="0" applyNumberFormat="1" applyFont="1"/>
    <xf numFmtId="181" fontId="13" fillId="0" borderId="0" xfId="37" applyNumberFormat="1" applyFont="1" applyFill="1" applyBorder="1" applyAlignment="1" applyProtection="1"/>
    <xf numFmtId="44" fontId="13" fillId="12" borderId="136" xfId="14" applyFont="1" applyFill="1" applyBorder="1" applyAlignment="1" applyProtection="1">
      <alignment horizontal="center"/>
      <protection locked="0"/>
    </xf>
    <xf numFmtId="44" fontId="8" fillId="0" borderId="198" xfId="14" applyFont="1" applyBorder="1"/>
    <xf numFmtId="169" fontId="8" fillId="15" borderId="162" xfId="37" applyFont="1" applyFill="1" applyBorder="1" applyProtection="1">
      <protection locked="0"/>
    </xf>
    <xf numFmtId="190" fontId="8" fillId="0" borderId="162" xfId="25" applyNumberFormat="1" applyFont="1" applyBorder="1"/>
    <xf numFmtId="169" fontId="8" fillId="21" borderId="162" xfId="37" applyFont="1" applyFill="1" applyBorder="1" applyProtection="1"/>
    <xf numFmtId="169" fontId="8" fillId="21" borderId="162" xfId="37" applyFont="1" applyFill="1" applyBorder="1"/>
    <xf numFmtId="44" fontId="2" fillId="12" borderId="144" xfId="14" applyFont="1" applyFill="1" applyBorder="1" applyAlignment="1" applyProtection="1">
      <alignment horizontal="center"/>
      <protection locked="0"/>
    </xf>
    <xf numFmtId="190" fontId="8" fillId="0" borderId="136" xfId="25" applyNumberFormat="1" applyFont="1" applyBorder="1"/>
    <xf numFmtId="190" fontId="8" fillId="0" borderId="0" xfId="25" applyNumberFormat="1" applyFont="1" applyAlignment="1">
      <alignment horizontal="center"/>
    </xf>
    <xf numFmtId="169" fontId="3" fillId="3" borderId="24" xfId="37" applyFont="1" applyFill="1" applyBorder="1" applyAlignment="1" applyProtection="1"/>
    <xf numFmtId="0" fontId="8" fillId="0" borderId="66" xfId="0" applyFont="1" applyBorder="1"/>
    <xf numFmtId="171" fontId="46" fillId="2" borderId="2" xfId="29" applyFill="1" applyBorder="1" applyAlignment="1" applyProtection="1">
      <alignment horizontal="center"/>
      <protection locked="0"/>
    </xf>
    <xf numFmtId="169" fontId="39" fillId="25" borderId="26" xfId="11" applyFont="1" applyFill="1" applyBorder="1" applyAlignment="1" applyProtection="1">
      <protection locked="0"/>
    </xf>
    <xf numFmtId="169" fontId="33" fillId="25" borderId="27" xfId="11" applyFont="1" applyFill="1" applyBorder="1" applyAlignment="1" applyProtection="1">
      <protection locked="0"/>
    </xf>
    <xf numFmtId="170" fontId="8" fillId="0" borderId="0" xfId="29" applyNumberFormat="1" applyFont="1" applyFill="1" applyBorder="1" applyAlignment="1" applyProtection="1">
      <alignment horizontal="left"/>
    </xf>
    <xf numFmtId="2" fontId="22" fillId="0" borderId="0" xfId="25" applyNumberFormat="1" applyFont="1" applyAlignment="1">
      <alignment horizontal="center" wrapText="1"/>
    </xf>
    <xf numFmtId="0" fontId="22" fillId="0" borderId="0" xfId="25" applyFont="1" applyAlignment="1">
      <alignment wrapText="1"/>
    </xf>
    <xf numFmtId="0" fontId="0" fillId="0" borderId="0" xfId="20" applyFont="1" applyAlignment="1">
      <alignment horizontal="right"/>
    </xf>
    <xf numFmtId="0" fontId="0" fillId="0" borderId="13" xfId="0" applyBorder="1" applyAlignment="1">
      <alignment horizontal="center"/>
    </xf>
    <xf numFmtId="0" fontId="0" fillId="15" borderId="155" xfId="0" applyFill="1" applyBorder="1" applyProtection="1">
      <protection locked="0"/>
    </xf>
    <xf numFmtId="0" fontId="0" fillId="2" borderId="0" xfId="0" applyFill="1" applyAlignment="1" applyProtection="1">
      <alignment horizontal="center"/>
      <protection locked="0"/>
    </xf>
    <xf numFmtId="0" fontId="13" fillId="0" borderId="0" xfId="20" applyFont="1" applyAlignment="1">
      <alignment horizontal="right"/>
    </xf>
    <xf numFmtId="9" fontId="0" fillId="15" borderId="154" xfId="0" applyNumberFormat="1" applyFill="1" applyBorder="1" applyProtection="1">
      <protection locked="0"/>
    </xf>
    <xf numFmtId="0" fontId="0" fillId="15" borderId="154" xfId="0" applyFill="1" applyBorder="1" applyProtection="1">
      <protection locked="0"/>
    </xf>
    <xf numFmtId="0" fontId="13" fillId="2" borderId="2" xfId="0" applyFont="1" applyFill="1" applyBorder="1" applyProtection="1">
      <protection locked="0"/>
    </xf>
    <xf numFmtId="0" fontId="6" fillId="0" borderId="0" xfId="18"/>
    <xf numFmtId="0" fontId="69" fillId="3" borderId="136" xfId="0" applyFont="1" applyFill="1" applyBorder="1"/>
    <xf numFmtId="170" fontId="46" fillId="22" borderId="136" xfId="29" applyNumberFormat="1" applyFill="1" applyBorder="1" applyProtection="1">
      <protection locked="0"/>
    </xf>
    <xf numFmtId="1" fontId="8" fillId="2" borderId="136" xfId="22" applyNumberFormat="1" applyFont="1" applyFill="1" applyBorder="1" applyAlignment="1" applyProtection="1">
      <alignment horizontal="center"/>
      <protection locked="0"/>
    </xf>
    <xf numFmtId="192" fontId="8" fillId="2" borderId="136" xfId="22" applyNumberFormat="1" applyFont="1" applyFill="1" applyBorder="1" applyAlignment="1" applyProtection="1">
      <alignment horizontal="center"/>
      <protection locked="0"/>
    </xf>
    <xf numFmtId="170" fontId="46" fillId="22" borderId="161" xfId="29" applyNumberFormat="1" applyFill="1" applyBorder="1" applyProtection="1">
      <protection locked="0"/>
    </xf>
    <xf numFmtId="0" fontId="46" fillId="2" borderId="144" xfId="22" applyFill="1" applyBorder="1" applyProtection="1">
      <protection locked="0"/>
    </xf>
    <xf numFmtId="0" fontId="9" fillId="0" borderId="136" xfId="0" applyFont="1" applyBorder="1"/>
    <xf numFmtId="185" fontId="3" fillId="2" borderId="136" xfId="37" applyNumberFormat="1" applyFont="1" applyFill="1" applyBorder="1" applyAlignment="1" applyProtection="1">
      <alignment horizontal="center"/>
      <protection locked="0"/>
    </xf>
    <xf numFmtId="185" fontId="5" fillId="0" borderId="0" xfId="0" applyNumberFormat="1" applyFont="1"/>
    <xf numFmtId="185" fontId="14" fillId="0" borderId="0" xfId="0" applyNumberFormat="1" applyFont="1"/>
    <xf numFmtId="185" fontId="3" fillId="0" borderId="0" xfId="37" applyNumberFormat="1" applyFont="1"/>
    <xf numFmtId="185" fontId="15" fillId="15" borderId="136" xfId="37" applyNumberFormat="1" applyFont="1" applyFill="1" applyBorder="1" applyProtection="1">
      <protection locked="0"/>
    </xf>
    <xf numFmtId="196" fontId="13" fillId="0" borderId="0" xfId="0" applyNumberFormat="1" applyFont="1"/>
    <xf numFmtId="0" fontId="14" fillId="0" borderId="0" xfId="0" applyFont="1" applyAlignment="1">
      <alignment horizontal="center"/>
    </xf>
    <xf numFmtId="0" fontId="13" fillId="0" borderId="0" xfId="0" applyFont="1" applyAlignment="1">
      <alignment vertical="top" wrapText="1"/>
    </xf>
    <xf numFmtId="0" fontId="8" fillId="0" borderId="0" xfId="0" applyFont="1" applyAlignment="1">
      <alignment vertical="top" wrapText="1"/>
    </xf>
    <xf numFmtId="0" fontId="13"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left" vertical="top" wrapText="1"/>
    </xf>
    <xf numFmtId="0" fontId="0" fillId="2" borderId="28" xfId="0" applyFill="1" applyBorder="1" applyProtection="1">
      <protection locked="0"/>
    </xf>
    <xf numFmtId="0" fontId="0" fillId="2" borderId="59" xfId="0" applyFill="1" applyBorder="1" applyProtection="1">
      <protection locked="0"/>
    </xf>
    <xf numFmtId="0" fontId="70" fillId="0" borderId="0" xfId="0" applyFont="1"/>
    <xf numFmtId="0" fontId="71" fillId="0" borderId="0" xfId="18" applyFont="1"/>
    <xf numFmtId="0" fontId="71" fillId="3" borderId="42" xfId="18" applyFont="1" applyFill="1" applyBorder="1" applyAlignment="1" applyProtection="1">
      <alignment horizontal="center"/>
      <protection locked="0"/>
    </xf>
    <xf numFmtId="0" fontId="7" fillId="0" borderId="0" xfId="20" applyFont="1"/>
    <xf numFmtId="171" fontId="46" fillId="15" borderId="136" xfId="29" applyFill="1" applyBorder="1" applyProtection="1">
      <protection locked="0"/>
    </xf>
    <xf numFmtId="0" fontId="62" fillId="0" borderId="0" xfId="20" applyFont="1"/>
    <xf numFmtId="185" fontId="62" fillId="0" borderId="0" xfId="20" applyNumberFormat="1" applyFont="1"/>
    <xf numFmtId="0" fontId="0" fillId="21" borderId="0" xfId="20" applyFont="1" applyFill="1" applyProtection="1">
      <protection locked="0"/>
    </xf>
    <xf numFmtId="0" fontId="8" fillId="21" borderId="136" xfId="20" applyFont="1" applyFill="1" applyBorder="1" applyProtection="1">
      <protection locked="0"/>
    </xf>
    <xf numFmtId="0" fontId="16" fillId="0" borderId="139" xfId="0" applyFont="1" applyBorder="1"/>
    <xf numFmtId="0" fontId="16" fillId="0" borderId="141" xfId="0" applyFont="1" applyBorder="1"/>
    <xf numFmtId="0" fontId="28" fillId="0" borderId="141" xfId="0" applyFont="1" applyBorder="1"/>
    <xf numFmtId="0" fontId="28" fillId="0" borderId="146" xfId="0" applyFont="1" applyBorder="1"/>
    <xf numFmtId="0" fontId="5" fillId="0" borderId="141" xfId="0" applyFont="1" applyBorder="1"/>
    <xf numFmtId="0" fontId="5" fillId="0" borderId="146" xfId="0" applyFont="1" applyBorder="1" applyAlignment="1">
      <alignment horizontal="center"/>
    </xf>
    <xf numFmtId="0" fontId="3" fillId="2" borderId="199" xfId="0" applyFont="1" applyFill="1" applyBorder="1" applyProtection="1">
      <protection locked="0"/>
    </xf>
    <xf numFmtId="169" fontId="3" fillId="0" borderId="200" xfId="37" applyFont="1" applyFill="1" applyBorder="1" applyAlignment="1" applyProtection="1"/>
    <xf numFmtId="0" fontId="29" fillId="2" borderId="201" xfId="0" applyFont="1" applyFill="1" applyBorder="1" applyProtection="1">
      <protection locked="0"/>
    </xf>
    <xf numFmtId="0" fontId="29" fillId="2" borderId="202" xfId="0" applyFont="1" applyFill="1" applyBorder="1" applyProtection="1">
      <protection locked="0"/>
    </xf>
    <xf numFmtId="0" fontId="3" fillId="2" borderId="203" xfId="0" applyFont="1" applyFill="1" applyBorder="1" applyProtection="1">
      <protection locked="0"/>
    </xf>
    <xf numFmtId="0" fontId="3" fillId="2" borderId="202" xfId="0" applyFont="1" applyFill="1" applyBorder="1" applyProtection="1">
      <protection locked="0"/>
    </xf>
    <xf numFmtId="169" fontId="3" fillId="0" borderId="204" xfId="37" applyFont="1" applyFill="1" applyBorder="1" applyAlignment="1" applyProtection="1"/>
    <xf numFmtId="0" fontId="3" fillId="3" borderId="205" xfId="0" applyFont="1" applyFill="1" applyBorder="1"/>
    <xf numFmtId="169" fontId="3" fillId="0" borderId="206" xfId="37" applyFont="1" applyFill="1" applyBorder="1" applyAlignment="1" applyProtection="1"/>
    <xf numFmtId="0" fontId="13" fillId="0" borderId="202" xfId="0" applyFont="1" applyBorder="1"/>
    <xf numFmtId="0" fontId="15" fillId="0" borderId="207" xfId="0" applyFont="1" applyBorder="1"/>
    <xf numFmtId="0" fontId="15" fillId="0" borderId="141" xfId="0" applyFont="1" applyBorder="1"/>
    <xf numFmtId="169" fontId="3" fillId="0" borderId="146" xfId="37" applyFont="1" applyFill="1" applyBorder="1" applyAlignment="1" applyProtection="1"/>
    <xf numFmtId="0" fontId="14" fillId="0" borderId="208" xfId="0" applyFont="1" applyBorder="1" applyAlignment="1">
      <alignment horizontal="center"/>
    </xf>
    <xf numFmtId="0" fontId="9" fillId="0" borderId="209" xfId="0" applyFont="1" applyBorder="1"/>
    <xf numFmtId="169" fontId="5" fillId="0" borderId="210" xfId="37" applyFont="1" applyFill="1" applyBorder="1" applyAlignment="1" applyProtection="1"/>
    <xf numFmtId="169" fontId="16" fillId="0" borderId="211" xfId="37" applyFont="1" applyFill="1" applyBorder="1" applyAlignment="1" applyProtection="1"/>
    <xf numFmtId="0" fontId="8" fillId="0" borderId="166" xfId="0" applyFont="1" applyBorder="1" applyAlignment="1">
      <alignment horizontal="left"/>
    </xf>
    <xf numFmtId="0" fontId="8" fillId="0" borderId="179" xfId="0" applyFont="1" applyBorder="1" applyAlignment="1">
      <alignment horizontal="left"/>
    </xf>
    <xf numFmtId="0" fontId="8" fillId="0" borderId="180" xfId="0" applyFont="1" applyBorder="1" applyAlignment="1">
      <alignment horizontal="left"/>
    </xf>
    <xf numFmtId="0" fontId="28" fillId="0" borderId="166" xfId="0" applyFont="1" applyBorder="1"/>
    <xf numFmtId="0" fontId="28" fillId="0" borderId="180" xfId="0" applyFont="1" applyBorder="1"/>
    <xf numFmtId="0" fontId="16" fillId="16" borderId="0" xfId="0" applyFont="1" applyFill="1" applyAlignment="1" applyProtection="1">
      <alignment horizontal="center"/>
      <protection locked="0"/>
    </xf>
    <xf numFmtId="0" fontId="0" fillId="21" borderId="0" xfId="0" applyFill="1" applyAlignment="1">
      <alignment horizontal="center"/>
    </xf>
    <xf numFmtId="9" fontId="0" fillId="15" borderId="2" xfId="0" applyNumberFormat="1" applyFill="1" applyBorder="1" applyAlignment="1" applyProtection="1">
      <alignment horizontal="center"/>
      <protection locked="0"/>
    </xf>
    <xf numFmtId="0" fontId="16" fillId="2" borderId="155" xfId="0" applyFont="1" applyFill="1" applyBorder="1" applyAlignment="1" applyProtection="1">
      <alignment horizontal="center"/>
      <protection locked="0"/>
    </xf>
    <xf numFmtId="0" fontId="45" fillId="0" borderId="0" xfId="0" applyFont="1" applyAlignment="1">
      <alignment horizontal="left"/>
    </xf>
    <xf numFmtId="14" fontId="0" fillId="0" borderId="0" xfId="0" applyNumberFormat="1" applyAlignment="1">
      <alignment horizontal="left"/>
    </xf>
    <xf numFmtId="0" fontId="0" fillId="0" borderId="163" xfId="0" applyBorder="1"/>
    <xf numFmtId="0" fontId="8" fillId="0" borderId="212" xfId="0" applyFont="1" applyBorder="1"/>
    <xf numFmtId="0" fontId="0" fillId="0" borderId="213" xfId="0" applyBorder="1"/>
    <xf numFmtId="9" fontId="0" fillId="15" borderId="214" xfId="0" applyNumberFormat="1" applyFill="1" applyBorder="1" applyAlignment="1" applyProtection="1">
      <alignment horizontal="center"/>
      <protection locked="0"/>
    </xf>
    <xf numFmtId="9" fontId="0" fillId="15" borderId="215" xfId="0" applyNumberFormat="1" applyFill="1" applyBorder="1" applyAlignment="1" applyProtection="1">
      <alignment horizontal="center"/>
      <protection locked="0"/>
    </xf>
    <xf numFmtId="9" fontId="0" fillId="15" borderId="216" xfId="0" applyNumberFormat="1" applyFill="1" applyBorder="1" applyAlignment="1" applyProtection="1">
      <alignment horizontal="center"/>
      <protection locked="0"/>
    </xf>
    <xf numFmtId="185" fontId="46" fillId="0" borderId="144" xfId="37" applyNumberFormat="1" applyBorder="1" applyProtection="1"/>
    <xf numFmtId="185" fontId="13" fillId="0" borderId="136" xfId="0" applyNumberFormat="1" applyFont="1" applyBorder="1"/>
    <xf numFmtId="185" fontId="46" fillId="0" borderId="136" xfId="37" applyNumberFormat="1" applyBorder="1"/>
    <xf numFmtId="185" fontId="46" fillId="20" borderId="136" xfId="37" applyNumberFormat="1" applyFill="1" applyBorder="1"/>
    <xf numFmtId="185" fontId="8" fillId="20" borderId="136" xfId="37" applyNumberFormat="1" applyFont="1" applyFill="1" applyBorder="1"/>
    <xf numFmtId="0" fontId="46" fillId="15" borderId="136" xfId="22" applyFill="1" applyBorder="1" applyProtection="1">
      <protection locked="0"/>
    </xf>
    <xf numFmtId="0" fontId="46" fillId="15" borderId="136" xfId="22" applyFill="1" applyBorder="1" applyAlignment="1" applyProtection="1">
      <alignment horizontal="center"/>
      <protection locked="0"/>
    </xf>
    <xf numFmtId="0" fontId="22" fillId="0" borderId="0" xfId="22" applyFont="1" applyAlignment="1">
      <alignment horizontal="center" vertical="center"/>
    </xf>
    <xf numFmtId="169" fontId="13" fillId="0" borderId="0" xfId="22" applyNumberFormat="1" applyFont="1"/>
    <xf numFmtId="169" fontId="8" fillId="0" borderId="0" xfId="22" applyNumberFormat="1" applyFont="1"/>
    <xf numFmtId="169" fontId="62" fillId="0" borderId="0" xfId="22" applyNumberFormat="1" applyFont="1"/>
    <xf numFmtId="169" fontId="9" fillId="0" borderId="144" xfId="0" applyNumberFormat="1" applyFont="1" applyBorder="1"/>
    <xf numFmtId="170" fontId="0" fillId="21" borderId="136" xfId="0" applyNumberFormat="1" applyFill="1" applyBorder="1" applyProtection="1">
      <protection locked="0"/>
    </xf>
    <xf numFmtId="169" fontId="73" fillId="0" borderId="0" xfId="22" applyNumberFormat="1" applyFont="1"/>
    <xf numFmtId="0" fontId="0" fillId="15" borderId="136" xfId="0" applyFill="1" applyBorder="1" applyAlignment="1" applyProtection="1">
      <alignment horizontal="center"/>
      <protection locked="0"/>
    </xf>
    <xf numFmtId="171" fontId="0" fillId="15" borderId="136" xfId="0" applyNumberFormat="1" applyFill="1" applyBorder="1" applyAlignment="1" applyProtection="1">
      <alignment horizontal="center"/>
      <protection locked="0"/>
    </xf>
    <xf numFmtId="169" fontId="62" fillId="0" borderId="0" xfId="12" applyFont="1" applyFill="1" applyBorder="1" applyAlignment="1" applyProtection="1"/>
    <xf numFmtId="2" fontId="0" fillId="0" borderId="146" xfId="0" applyNumberFormat="1" applyBorder="1"/>
    <xf numFmtId="0" fontId="13" fillId="0" borderId="146" xfId="0" applyFont="1" applyBorder="1"/>
    <xf numFmtId="169" fontId="8" fillId="0" borderId="146" xfId="12" applyFont="1" applyFill="1" applyBorder="1" applyAlignment="1" applyProtection="1"/>
    <xf numFmtId="178" fontId="13" fillId="0" borderId="146" xfId="0" applyNumberFormat="1" applyFont="1" applyBorder="1"/>
    <xf numFmtId="178" fontId="0" fillId="0" borderId="146" xfId="0" applyNumberFormat="1" applyBorder="1"/>
    <xf numFmtId="0" fontId="22" fillId="0" borderId="146" xfId="0" applyFont="1" applyBorder="1"/>
    <xf numFmtId="0" fontId="74" fillId="0" borderId="0" xfId="0" applyFont="1"/>
    <xf numFmtId="0" fontId="22" fillId="0" borderId="147" xfId="0" applyFont="1" applyBorder="1"/>
    <xf numFmtId="2" fontId="8" fillId="6" borderId="0" xfId="0" applyNumberFormat="1" applyFont="1" applyFill="1"/>
    <xf numFmtId="2" fontId="0" fillId="2" borderId="0" xfId="0" applyNumberFormat="1" applyFill="1" applyProtection="1">
      <protection locked="0"/>
    </xf>
    <xf numFmtId="2" fontId="8" fillId="6" borderId="73" xfId="0" applyNumberFormat="1" applyFont="1" applyFill="1" applyBorder="1"/>
    <xf numFmtId="168" fontId="8" fillId="0" borderId="9" xfId="28" applyFont="1" applyFill="1" applyBorder="1" applyAlignment="1" applyProtection="1"/>
    <xf numFmtId="169" fontId="8" fillId="0" borderId="47" xfId="12" applyFont="1" applyFill="1" applyBorder="1" applyAlignment="1" applyProtection="1"/>
    <xf numFmtId="2" fontId="8" fillId="0" borderId="5" xfId="0" applyNumberFormat="1" applyFont="1" applyBorder="1"/>
    <xf numFmtId="0" fontId="22" fillId="0" borderId="143" xfId="0" applyFont="1" applyBorder="1"/>
    <xf numFmtId="0" fontId="13" fillId="0" borderId="217" xfId="0" applyFont="1" applyBorder="1"/>
    <xf numFmtId="169" fontId="22" fillId="0" borderId="136" xfId="12" applyFont="1" applyFill="1" applyBorder="1" applyAlignment="1" applyProtection="1"/>
    <xf numFmtId="169" fontId="62" fillId="0" borderId="136" xfId="12" applyFont="1" applyFill="1" applyBorder="1" applyAlignment="1" applyProtection="1"/>
    <xf numFmtId="169" fontId="0" fillId="2" borderId="136" xfId="12" applyFont="1" applyFill="1" applyBorder="1" applyAlignment="1" applyProtection="1">
      <protection locked="0"/>
    </xf>
    <xf numFmtId="2" fontId="0" fillId="3" borderId="5" xfId="0" applyNumberFormat="1" applyFill="1" applyBorder="1"/>
    <xf numFmtId="169" fontId="46" fillId="2" borderId="0" xfId="37" applyFill="1" applyProtection="1">
      <protection locked="0"/>
    </xf>
    <xf numFmtId="169" fontId="46" fillId="16" borderId="0" xfId="37" applyFill="1" applyBorder="1" applyProtection="1">
      <protection locked="0"/>
    </xf>
    <xf numFmtId="179" fontId="0" fillId="2" borderId="0" xfId="0" applyNumberFormat="1" applyFill="1" applyProtection="1">
      <protection locked="0"/>
    </xf>
    <xf numFmtId="169" fontId="8" fillId="0" borderId="141" xfId="0" applyNumberFormat="1" applyFont="1" applyBorder="1" applyAlignment="1">
      <alignment horizontal="left" vertical="center"/>
    </xf>
    <xf numFmtId="169" fontId="8" fillId="0" borderId="144" xfId="0" applyNumberFormat="1" applyFont="1" applyBorder="1" applyAlignment="1">
      <alignment horizontal="left"/>
    </xf>
    <xf numFmtId="2" fontId="0" fillId="2" borderId="101" xfId="0" applyNumberFormat="1" applyFill="1" applyBorder="1" applyProtection="1">
      <protection locked="0"/>
    </xf>
    <xf numFmtId="2" fontId="8" fillId="0" borderId="144" xfId="0" applyNumberFormat="1" applyFont="1" applyBorder="1"/>
    <xf numFmtId="0" fontId="0" fillId="15" borderId="151" xfId="0" applyFill="1" applyBorder="1" applyAlignment="1" applyProtection="1">
      <alignment horizontal="center"/>
      <protection locked="0"/>
    </xf>
    <xf numFmtId="0" fontId="0" fillId="2" borderId="153" xfId="0" applyFill="1" applyBorder="1" applyProtection="1">
      <protection locked="0"/>
    </xf>
    <xf numFmtId="168" fontId="8" fillId="0" borderId="6" xfId="28" applyFont="1" applyFill="1" applyBorder="1" applyAlignment="1" applyProtection="1"/>
    <xf numFmtId="0" fontId="0" fillId="2" borderId="136" xfId="0" applyFill="1" applyBorder="1" applyProtection="1">
      <protection locked="0"/>
    </xf>
    <xf numFmtId="1" fontId="0" fillId="2" borderId="136" xfId="0" applyNumberFormat="1" applyFill="1" applyBorder="1" applyProtection="1">
      <protection locked="0"/>
    </xf>
    <xf numFmtId="169" fontId="0" fillId="3" borderId="136" xfId="12" applyFont="1" applyFill="1" applyBorder="1" applyAlignment="1" applyProtection="1"/>
    <xf numFmtId="169" fontId="8" fillId="3" borderId="136" xfId="12" applyFont="1" applyFill="1" applyBorder="1" applyAlignment="1" applyProtection="1"/>
    <xf numFmtId="169" fontId="8" fillId="0" borderId="136" xfId="37" applyFont="1" applyFill="1" applyBorder="1" applyAlignment="1" applyProtection="1"/>
    <xf numFmtId="169" fontId="0" fillId="3" borderId="136" xfId="0" applyNumberFormat="1" applyFill="1" applyBorder="1"/>
    <xf numFmtId="169" fontId="0" fillId="0" borderId="136" xfId="0" applyNumberFormat="1" applyBorder="1"/>
    <xf numFmtId="2" fontId="8" fillId="6" borderId="136" xfId="0" applyNumberFormat="1" applyFont="1" applyFill="1" applyBorder="1"/>
    <xf numFmtId="169" fontId="0" fillId="0" borderId="136" xfId="12" applyFont="1" applyFill="1" applyBorder="1" applyAlignment="1" applyProtection="1"/>
    <xf numFmtId="170" fontId="0" fillId="2" borderId="5" xfId="0" applyNumberFormat="1" applyFill="1" applyBorder="1" applyProtection="1">
      <protection locked="0"/>
    </xf>
    <xf numFmtId="0" fontId="0" fillId="3" borderId="5" xfId="0" applyFill="1" applyBorder="1"/>
    <xf numFmtId="0" fontId="0" fillId="0" borderId="5" xfId="0" applyBorder="1"/>
    <xf numFmtId="1" fontId="0" fillId="2" borderId="101" xfId="0" applyNumberFormat="1" applyFill="1" applyBorder="1" applyProtection="1">
      <protection locked="0"/>
    </xf>
    <xf numFmtId="190" fontId="46" fillId="2" borderId="136" xfId="37" applyNumberFormat="1" applyFill="1" applyBorder="1" applyAlignment="1" applyProtection="1">
      <protection locked="0"/>
    </xf>
    <xf numFmtId="169" fontId="3" fillId="16" borderId="2" xfId="46" applyFont="1" applyFill="1" applyBorder="1" applyAlignment="1" applyProtection="1">
      <alignment horizontal="center"/>
      <protection locked="0"/>
    </xf>
    <xf numFmtId="0" fontId="45" fillId="0" borderId="0" xfId="0" applyFont="1"/>
    <xf numFmtId="173" fontId="5" fillId="0" borderId="0" xfId="0" applyNumberFormat="1" applyFont="1"/>
    <xf numFmtId="0" fontId="28" fillId="0" borderId="140" xfId="0" applyFont="1" applyBorder="1"/>
    <xf numFmtId="0" fontId="8" fillId="0" borderId="146" xfId="0" applyFont="1" applyBorder="1" applyAlignment="1">
      <alignment horizontal="center"/>
    </xf>
    <xf numFmtId="170" fontId="13" fillId="0" borderId="146" xfId="29" applyNumberFormat="1" applyFont="1" applyFill="1" applyBorder="1" applyAlignment="1" applyProtection="1"/>
    <xf numFmtId="0" fontId="3" fillId="2" borderId="219" xfId="0" applyFont="1" applyFill="1" applyBorder="1" applyProtection="1">
      <protection locked="0"/>
    </xf>
    <xf numFmtId="0" fontId="3" fillId="2" borderId="205" xfId="0" applyFont="1" applyFill="1" applyBorder="1" applyProtection="1">
      <protection locked="0"/>
    </xf>
    <xf numFmtId="0" fontId="3" fillId="0" borderId="141" xfId="0" applyFont="1" applyBorder="1"/>
    <xf numFmtId="170" fontId="13" fillId="0" borderId="146" xfId="0" applyNumberFormat="1" applyFont="1" applyBorder="1"/>
    <xf numFmtId="0" fontId="5" fillId="0" borderId="141" xfId="0" applyFont="1" applyBorder="1" applyAlignment="1">
      <alignment horizontal="center"/>
    </xf>
    <xf numFmtId="2" fontId="3" fillId="23" borderId="220" xfId="0" applyNumberFormat="1" applyFont="1" applyFill="1" applyBorder="1" applyAlignment="1" applyProtection="1">
      <alignment horizontal="center"/>
      <protection locked="0"/>
    </xf>
    <xf numFmtId="2" fontId="3" fillId="2" borderId="219" xfId="0" applyNumberFormat="1" applyFont="1" applyFill="1" applyBorder="1" applyAlignment="1" applyProtection="1">
      <alignment horizontal="center"/>
      <protection locked="0"/>
    </xf>
    <xf numFmtId="2" fontId="3" fillId="2" borderId="202" xfId="0" applyNumberFormat="1" applyFont="1" applyFill="1" applyBorder="1" applyAlignment="1" applyProtection="1">
      <alignment horizontal="center"/>
      <protection locked="0"/>
    </xf>
    <xf numFmtId="170" fontId="22" fillId="0" borderId="141" xfId="29" applyNumberFormat="1" applyFont="1" applyFill="1" applyBorder="1" applyAlignment="1" applyProtection="1"/>
    <xf numFmtId="170" fontId="22" fillId="0" borderId="146" xfId="29" applyNumberFormat="1" applyFont="1" applyFill="1" applyBorder="1" applyAlignment="1" applyProtection="1"/>
    <xf numFmtId="170" fontId="13" fillId="0" borderId="141" xfId="29" applyNumberFormat="1" applyFont="1" applyFill="1" applyBorder="1" applyAlignment="1" applyProtection="1"/>
    <xf numFmtId="169" fontId="3" fillId="3" borderId="205" xfId="37" applyFont="1" applyFill="1" applyBorder="1" applyAlignment="1" applyProtection="1">
      <alignment horizontal="center"/>
    </xf>
    <xf numFmtId="170" fontId="5" fillId="0" borderId="141" xfId="29" applyNumberFormat="1" applyFont="1" applyFill="1" applyBorder="1" applyAlignment="1" applyProtection="1"/>
    <xf numFmtId="0" fontId="13" fillId="0" borderId="141" xfId="0" applyFont="1" applyBorder="1"/>
    <xf numFmtId="0" fontId="0" fillId="2" borderId="202" xfId="0" applyFill="1" applyBorder="1" applyAlignment="1" applyProtection="1">
      <alignment horizontal="center"/>
      <protection locked="0"/>
    </xf>
    <xf numFmtId="170" fontId="0" fillId="0" borderId="141" xfId="0" applyNumberFormat="1" applyBorder="1"/>
    <xf numFmtId="170" fontId="0" fillId="0" borderId="146" xfId="0" applyNumberFormat="1" applyBorder="1"/>
    <xf numFmtId="170" fontId="5" fillId="0" borderId="141" xfId="0" applyNumberFormat="1" applyFont="1" applyBorder="1"/>
    <xf numFmtId="0" fontId="19" fillId="0" borderId="146" xfId="0" applyFont="1" applyBorder="1"/>
    <xf numFmtId="169" fontId="3" fillId="0" borderId="141" xfId="37" applyFont="1" applyFill="1" applyBorder="1" applyAlignment="1" applyProtection="1"/>
    <xf numFmtId="0" fontId="3" fillId="2" borderId="221" xfId="0" applyFont="1" applyFill="1" applyBorder="1" applyAlignment="1" applyProtection="1">
      <alignment horizontal="center"/>
      <protection locked="0"/>
    </xf>
    <xf numFmtId="0" fontId="29" fillId="2" borderId="222" xfId="0" applyFont="1" applyFill="1" applyBorder="1" applyAlignment="1" applyProtection="1">
      <alignment horizontal="center"/>
      <protection locked="0"/>
    </xf>
    <xf numFmtId="0" fontId="29" fillId="2" borderId="24" xfId="0" applyFont="1" applyFill="1" applyBorder="1" applyAlignment="1" applyProtection="1">
      <alignment horizontal="center"/>
      <protection locked="0"/>
    </xf>
    <xf numFmtId="0" fontId="3" fillId="2" borderId="29" xfId="0" applyFont="1" applyFill="1" applyBorder="1" applyProtection="1">
      <protection locked="0"/>
    </xf>
    <xf numFmtId="0" fontId="3" fillId="2" borderId="29" xfId="0" applyFont="1" applyFill="1" applyBorder="1" applyAlignment="1" applyProtection="1">
      <alignment horizontal="center"/>
      <protection locked="0"/>
    </xf>
    <xf numFmtId="0" fontId="3" fillId="2" borderId="24" xfId="0" applyFont="1" applyFill="1" applyBorder="1" applyAlignment="1" applyProtection="1">
      <alignment horizontal="center"/>
      <protection locked="0"/>
    </xf>
    <xf numFmtId="0" fontId="3" fillId="8" borderId="223" xfId="0" applyFont="1" applyFill="1" applyBorder="1" applyAlignment="1" applyProtection="1">
      <alignment horizontal="center"/>
      <protection locked="0"/>
    </xf>
    <xf numFmtId="0" fontId="0" fillId="3" borderId="67" xfId="0" applyFill="1" applyBorder="1" applyAlignment="1">
      <alignment horizontal="center"/>
    </xf>
    <xf numFmtId="169" fontId="14" fillId="0" borderId="44" xfId="37" applyFont="1" applyFill="1" applyBorder="1" applyAlignment="1" applyProtection="1">
      <alignment horizontal="left" indent="3"/>
    </xf>
    <xf numFmtId="169" fontId="3" fillId="2" borderId="224" xfId="37" applyFont="1" applyFill="1" applyBorder="1" applyAlignment="1" applyProtection="1">
      <alignment horizontal="center"/>
      <protection locked="0"/>
    </xf>
    <xf numFmtId="171" fontId="3" fillId="2" borderId="225" xfId="0" applyNumberFormat="1" applyFont="1" applyFill="1" applyBorder="1" applyAlignment="1" applyProtection="1">
      <alignment horizontal="center"/>
      <protection locked="0"/>
    </xf>
    <xf numFmtId="169" fontId="3" fillId="0" borderId="226" xfId="37" applyFont="1" applyFill="1" applyBorder="1" applyAlignment="1" applyProtection="1"/>
    <xf numFmtId="170" fontId="13" fillId="0" borderId="145" xfId="29" applyNumberFormat="1" applyFont="1" applyFill="1" applyBorder="1" applyAlignment="1" applyProtection="1"/>
    <xf numFmtId="0" fontId="21" fillId="0" borderId="202" xfId="0" applyFont="1" applyBorder="1" applyAlignment="1">
      <alignment wrapText="1"/>
    </xf>
    <xf numFmtId="171" fontId="0" fillId="2" borderId="202" xfId="29" applyFont="1" applyFill="1" applyBorder="1" applyAlignment="1" applyProtection="1">
      <alignment horizontal="center"/>
      <protection locked="0"/>
    </xf>
    <xf numFmtId="169" fontId="0" fillId="0" borderId="141" xfId="37" applyFont="1" applyFill="1" applyBorder="1" applyAlignment="1" applyProtection="1"/>
    <xf numFmtId="169" fontId="3" fillId="0" borderId="227" xfId="37" applyFont="1" applyFill="1" applyBorder="1" applyAlignment="1" applyProtection="1"/>
    <xf numFmtId="170" fontId="22" fillId="0" borderId="228" xfId="29" applyNumberFormat="1" applyFont="1" applyFill="1" applyBorder="1" applyAlignment="1" applyProtection="1"/>
    <xf numFmtId="0" fontId="5" fillId="3" borderId="193" xfId="0" applyFont="1" applyFill="1" applyBorder="1"/>
    <xf numFmtId="0" fontId="5" fillId="3" borderId="144" xfId="0" applyFont="1" applyFill="1" applyBorder="1"/>
    <xf numFmtId="169" fontId="5" fillId="6" borderId="30" xfId="37" applyFont="1" applyFill="1" applyBorder="1" applyAlignment="1" applyProtection="1"/>
    <xf numFmtId="169" fontId="5" fillId="6" borderId="25" xfId="37" applyFont="1" applyFill="1" applyBorder="1" applyAlignment="1" applyProtection="1">
      <alignment horizontal="right"/>
    </xf>
    <xf numFmtId="1" fontId="28" fillId="25" borderId="229" xfId="0" applyNumberFormat="1" applyFont="1" applyFill="1" applyBorder="1" applyAlignment="1" applyProtection="1">
      <alignment horizontal="center"/>
      <protection locked="0"/>
    </xf>
    <xf numFmtId="1" fontId="28" fillId="3" borderId="66" xfId="0" applyNumberFormat="1" applyFont="1" applyFill="1" applyBorder="1" applyAlignment="1">
      <alignment horizontal="center"/>
    </xf>
    <xf numFmtId="185" fontId="9" fillId="2" borderId="2" xfId="37" applyNumberFormat="1" applyFont="1" applyFill="1" applyBorder="1" applyAlignment="1" applyProtection="1">
      <alignment horizontal="center"/>
      <protection locked="0"/>
    </xf>
    <xf numFmtId="164" fontId="46" fillId="0" borderId="163" xfId="37" applyNumberFormat="1" applyBorder="1"/>
    <xf numFmtId="0" fontId="0" fillId="15" borderId="144" xfId="0" applyFill="1" applyBorder="1" applyAlignment="1" applyProtection="1">
      <alignment horizontal="center"/>
      <protection locked="0"/>
    </xf>
    <xf numFmtId="1" fontId="5" fillId="0" borderId="144" xfId="0" applyNumberFormat="1" applyFont="1" applyBorder="1" applyAlignment="1">
      <alignment horizontal="center"/>
    </xf>
    <xf numFmtId="170" fontId="8" fillId="0" borderId="146" xfId="29" applyNumberFormat="1" applyFont="1" applyFill="1" applyBorder="1" applyAlignment="1" applyProtection="1"/>
    <xf numFmtId="0" fontId="0" fillId="0" borderId="25" xfId="0" applyBorder="1"/>
    <xf numFmtId="0" fontId="0" fillId="0" borderId="231" xfId="0" applyBorder="1"/>
    <xf numFmtId="0" fontId="3" fillId="0" borderId="232" xfId="0" applyFont="1" applyBorder="1"/>
    <xf numFmtId="1" fontId="3" fillId="0" borderId="230" xfId="0" applyNumberFormat="1" applyFont="1" applyBorder="1"/>
    <xf numFmtId="0" fontId="3" fillId="0" borderId="185" xfId="0" applyFont="1" applyBorder="1"/>
    <xf numFmtId="2" fontId="3" fillId="0" borderId="233" xfId="0" applyNumberFormat="1" applyFont="1" applyBorder="1"/>
    <xf numFmtId="0" fontId="0" fillId="0" borderId="234" xfId="0" applyBorder="1"/>
    <xf numFmtId="0" fontId="3" fillId="0" borderId="146" xfId="0" applyFont="1" applyBorder="1"/>
    <xf numFmtId="0" fontId="3" fillId="0" borderId="235" xfId="0" applyFont="1" applyBorder="1"/>
    <xf numFmtId="1" fontId="3" fillId="0" borderId="144" xfId="0" applyNumberFormat="1" applyFont="1" applyBorder="1"/>
    <xf numFmtId="171" fontId="46" fillId="0" borderId="0" xfId="29" applyAlignment="1">
      <alignment horizontal="center"/>
    </xf>
    <xf numFmtId="171" fontId="8" fillId="0" borderId="0" xfId="29" applyFont="1" applyAlignment="1">
      <alignment horizontal="center"/>
    </xf>
    <xf numFmtId="0" fontId="21" fillId="0" borderId="43" xfId="0" applyFont="1" applyBorder="1" applyAlignment="1">
      <alignment wrapText="1" shrinkToFit="1"/>
    </xf>
    <xf numFmtId="169" fontId="0" fillId="0" borderId="43" xfId="37" applyFont="1" applyFill="1" applyBorder="1" applyAlignment="1" applyProtection="1"/>
    <xf numFmtId="169" fontId="5" fillId="6" borderId="144" xfId="37" applyFont="1" applyFill="1" applyBorder="1" applyAlignment="1" applyProtection="1"/>
    <xf numFmtId="169" fontId="5" fillId="6" borderId="236" xfId="37" applyFont="1" applyFill="1" applyBorder="1" applyAlignment="1" applyProtection="1"/>
    <xf numFmtId="185" fontId="2" fillId="0" borderId="25" xfId="37" applyNumberFormat="1" applyFont="1" applyFill="1" applyBorder="1" applyAlignment="1" applyProtection="1"/>
    <xf numFmtId="171" fontId="46" fillId="0" borderId="0" xfId="29" applyBorder="1"/>
    <xf numFmtId="0" fontId="5" fillId="0" borderId="139" xfId="0" applyFont="1" applyBorder="1" applyAlignment="1">
      <alignment horizontal="center"/>
    </xf>
    <xf numFmtId="0" fontId="8" fillId="0" borderId="140" xfId="0" applyFont="1" applyBorder="1"/>
    <xf numFmtId="3" fontId="0" fillId="0" borderId="142" xfId="0" applyNumberFormat="1" applyBorder="1" applyAlignment="1">
      <alignment horizontal="left"/>
    </xf>
    <xf numFmtId="3" fontId="0" fillId="0" borderId="143" xfId="0" applyNumberFormat="1" applyBorder="1" applyAlignment="1">
      <alignment horizontal="left"/>
    </xf>
    <xf numFmtId="169" fontId="3" fillId="6" borderId="43" xfId="37" applyFont="1" applyFill="1" applyBorder="1" applyAlignment="1" applyProtection="1"/>
    <xf numFmtId="0" fontId="0" fillId="0" borderId="145" xfId="0" applyBorder="1" applyAlignment="1">
      <alignment horizontal="center"/>
    </xf>
    <xf numFmtId="169" fontId="46" fillId="0" borderId="147" xfId="37" applyBorder="1"/>
    <xf numFmtId="170" fontId="8" fillId="0" borderId="146" xfId="0" applyNumberFormat="1" applyFont="1" applyBorder="1"/>
    <xf numFmtId="169" fontId="3" fillId="2" borderId="236" xfId="37" applyFont="1" applyFill="1" applyBorder="1" applyAlignment="1" applyProtection="1">
      <protection locked="0"/>
    </xf>
    <xf numFmtId="0" fontId="29" fillId="3" borderId="219" xfId="0" applyFont="1" applyFill="1" applyBorder="1"/>
    <xf numFmtId="3" fontId="5" fillId="2" borderId="144" xfId="0" applyNumberFormat="1" applyFont="1" applyFill="1" applyBorder="1" applyProtection="1">
      <protection locked="0"/>
    </xf>
    <xf numFmtId="171" fontId="22" fillId="0" borderId="0" xfId="0" applyNumberFormat="1" applyFont="1" applyAlignment="1">
      <alignment horizontal="left"/>
    </xf>
    <xf numFmtId="2" fontId="0" fillId="2" borderId="24" xfId="0" applyNumberFormat="1" applyFill="1" applyBorder="1" applyAlignment="1" applyProtection="1">
      <alignment horizontal="center"/>
      <protection locked="0"/>
    </xf>
    <xf numFmtId="1" fontId="0" fillId="2" borderId="24" xfId="0" applyNumberFormat="1" applyFill="1" applyBorder="1" applyAlignment="1" applyProtection="1">
      <alignment horizontal="center"/>
      <protection locked="0"/>
    </xf>
    <xf numFmtId="0" fontId="6" fillId="0" borderId="0" xfId="18" applyAlignment="1">
      <alignment horizontal="left"/>
    </xf>
    <xf numFmtId="0" fontId="16" fillId="3" borderId="42" xfId="0" applyFont="1" applyFill="1" applyBorder="1" applyAlignment="1">
      <alignment horizontal="left"/>
    </xf>
    <xf numFmtId="0" fontId="7" fillId="0" borderId="42" xfId="0" applyFont="1" applyBorder="1" applyAlignment="1">
      <alignment horizontal="center"/>
    </xf>
    <xf numFmtId="2" fontId="0" fillId="0" borderId="0" xfId="0" applyNumberFormat="1" applyProtection="1">
      <protection locked="0"/>
    </xf>
    <xf numFmtId="0" fontId="9" fillId="0" borderId="0" xfId="25" applyFont="1"/>
    <xf numFmtId="9" fontId="13" fillId="15" borderId="136" xfId="25" applyNumberFormat="1" applyFont="1" applyFill="1" applyBorder="1" applyAlignment="1" applyProtection="1">
      <alignment horizontal="center"/>
      <protection locked="0"/>
    </xf>
    <xf numFmtId="171" fontId="46" fillId="0" borderId="136" xfId="29" applyFill="1" applyBorder="1" applyAlignment="1" applyProtection="1">
      <alignment horizontal="center"/>
    </xf>
    <xf numFmtId="197" fontId="2" fillId="0" borderId="0" xfId="25" applyNumberFormat="1"/>
    <xf numFmtId="197" fontId="8" fillId="0" borderId="144" xfId="25" applyNumberFormat="1" applyFont="1" applyBorder="1" applyAlignment="1">
      <alignment horizontal="center"/>
    </xf>
    <xf numFmtId="0" fontId="28" fillId="15" borderId="144" xfId="0" applyFont="1" applyFill="1" applyBorder="1" applyAlignment="1" applyProtection="1">
      <alignment horizontal="center" vertical="center"/>
      <protection locked="0"/>
    </xf>
    <xf numFmtId="0" fontId="0" fillId="0" borderId="0" xfId="20" applyFont="1" applyAlignment="1">
      <alignment horizontal="center" vertical="top" wrapText="1"/>
    </xf>
    <xf numFmtId="9" fontId="46" fillId="15" borderId="136" xfId="20" applyNumberFormat="1" applyFill="1" applyBorder="1" applyProtection="1">
      <protection locked="0"/>
    </xf>
    <xf numFmtId="185" fontId="46" fillId="0" borderId="0" xfId="20" applyNumberFormat="1"/>
    <xf numFmtId="2" fontId="9" fillId="0" borderId="0" xfId="20" applyNumberFormat="1" applyFont="1"/>
    <xf numFmtId="0" fontId="15" fillId="0" borderId="0" xfId="20" applyFont="1"/>
    <xf numFmtId="185" fontId="7" fillId="0" borderId="136" xfId="20" applyNumberFormat="1" applyFont="1" applyBorder="1"/>
    <xf numFmtId="0" fontId="0" fillId="15" borderId="0" xfId="0" applyFill="1" applyProtection="1">
      <protection locked="0"/>
    </xf>
    <xf numFmtId="185" fontId="9" fillId="0" borderId="0" xfId="37" applyNumberFormat="1" applyFont="1"/>
    <xf numFmtId="171" fontId="0" fillId="2" borderId="23" xfId="0" applyNumberFormat="1" applyFill="1" applyBorder="1" applyAlignment="1" applyProtection="1">
      <alignment horizontal="center"/>
      <protection locked="0"/>
    </xf>
    <xf numFmtId="171" fontId="0" fillId="2" borderId="144" xfId="0" applyNumberFormat="1" applyFill="1" applyBorder="1" applyAlignment="1" applyProtection="1">
      <alignment horizontal="center"/>
      <protection locked="0"/>
    </xf>
    <xf numFmtId="0" fontId="22" fillId="11" borderId="0" xfId="0" applyFont="1" applyFill="1" applyAlignment="1">
      <alignment horizontal="right" wrapText="1"/>
    </xf>
    <xf numFmtId="0" fontId="20" fillId="0" borderId="0" xfId="0" applyFont="1" applyAlignment="1">
      <alignment vertical="top" wrapText="1"/>
    </xf>
    <xf numFmtId="0" fontId="22" fillId="0" borderId="0" xfId="0" applyFont="1" applyAlignment="1">
      <alignment horizontal="center" vertical="center" wrapText="1"/>
    </xf>
    <xf numFmtId="185" fontId="13" fillId="0" borderId="136" xfId="37" applyNumberFormat="1" applyFont="1" applyBorder="1"/>
    <xf numFmtId="185" fontId="8" fillId="0" borderId="28" xfId="38" applyNumberFormat="1" applyFont="1" applyFill="1" applyBorder="1" applyAlignment="1" applyProtection="1"/>
    <xf numFmtId="185" fontId="8" fillId="0" borderId="136" xfId="38" applyNumberFormat="1" applyFont="1" applyFill="1" applyBorder="1" applyAlignment="1" applyProtection="1"/>
    <xf numFmtId="185" fontId="13" fillId="0" borderId="26" xfId="0" applyNumberFormat="1" applyFont="1" applyBorder="1"/>
    <xf numFmtId="0" fontId="8" fillId="0" borderId="7" xfId="0" applyFont="1" applyBorder="1" applyAlignment="1">
      <alignment horizontal="right"/>
    </xf>
    <xf numFmtId="169" fontId="5" fillId="0" borderId="144" xfId="0" applyNumberFormat="1" applyFont="1" applyBorder="1" applyAlignment="1">
      <alignment horizontal="center"/>
    </xf>
    <xf numFmtId="170" fontId="8" fillId="0" borderId="0" xfId="29" applyNumberFormat="1" applyFont="1" applyFill="1" applyBorder="1" applyAlignment="1" applyProtection="1">
      <alignment horizontal="center"/>
    </xf>
    <xf numFmtId="0" fontId="5" fillId="11" borderId="51" xfId="0" applyFont="1" applyFill="1" applyBorder="1" applyAlignment="1">
      <alignment horizontal="center"/>
    </xf>
    <xf numFmtId="168" fontId="13" fillId="0" borderId="0" xfId="5" applyFont="1" applyBorder="1" applyAlignment="1">
      <alignment horizontal="center" vertical="center"/>
    </xf>
    <xf numFmtId="168" fontId="46" fillId="0" borderId="0" xfId="5" applyBorder="1" applyAlignment="1">
      <alignment horizontal="center" vertical="center"/>
    </xf>
    <xf numFmtId="174" fontId="46" fillId="0" borderId="0" xfId="5" applyNumberFormat="1" applyBorder="1" applyAlignment="1">
      <alignment horizontal="center"/>
    </xf>
    <xf numFmtId="0" fontId="8" fillId="0" borderId="179" xfId="0" applyFont="1" applyBorder="1"/>
    <xf numFmtId="0" fontId="22" fillId="0" borderId="140" xfId="0" applyFont="1" applyBorder="1"/>
    <xf numFmtId="169" fontId="39" fillId="25" borderId="0" xfId="11" applyFont="1" applyFill="1" applyBorder="1" applyAlignment="1" applyProtection="1">
      <protection locked="0"/>
    </xf>
    <xf numFmtId="169" fontId="33" fillId="25" borderId="0" xfId="11" applyFont="1" applyFill="1" applyBorder="1" applyAlignment="1" applyProtection="1">
      <protection locked="0"/>
    </xf>
    <xf numFmtId="169" fontId="33" fillId="2" borderId="0" xfId="11" applyFont="1" applyFill="1" applyBorder="1" applyAlignment="1" applyProtection="1">
      <protection locked="0"/>
    </xf>
    <xf numFmtId="2" fontId="0" fillId="2" borderId="0" xfId="11" applyNumberFormat="1" applyFont="1" applyFill="1" applyBorder="1" applyAlignment="1" applyProtection="1">
      <protection locked="0"/>
    </xf>
    <xf numFmtId="0" fontId="0" fillId="0" borderId="0" xfId="20" applyFont="1" applyAlignment="1">
      <alignment horizontal="center"/>
    </xf>
    <xf numFmtId="9" fontId="0" fillId="15" borderId="0" xfId="0" applyNumberFormat="1" applyFill="1" applyAlignment="1" applyProtection="1">
      <alignment horizontal="center"/>
      <protection locked="0"/>
    </xf>
    <xf numFmtId="0" fontId="7" fillId="0" borderId="0" xfId="0" applyFont="1" applyAlignment="1">
      <alignment horizontal="center"/>
    </xf>
    <xf numFmtId="0" fontId="46" fillId="11" borderId="0" xfId="22" applyFill="1"/>
    <xf numFmtId="171" fontId="0" fillId="2" borderId="180" xfId="0" applyNumberFormat="1" applyFill="1" applyBorder="1" applyAlignment="1" applyProtection="1">
      <alignment horizontal="center"/>
      <protection locked="0"/>
    </xf>
    <xf numFmtId="169" fontId="46" fillId="15" borderId="0" xfId="37" applyFill="1" applyBorder="1" applyProtection="1">
      <protection locked="0"/>
    </xf>
    <xf numFmtId="190" fontId="0" fillId="26" borderId="0" xfId="0" applyNumberFormat="1" applyFill="1" applyAlignment="1">
      <alignment horizontal="center" vertical="center" shrinkToFit="1"/>
    </xf>
    <xf numFmtId="169" fontId="0" fillId="3" borderId="0" xfId="11" applyFont="1" applyFill="1" applyBorder="1" applyAlignment="1" applyProtection="1"/>
    <xf numFmtId="169" fontId="8" fillId="3" borderId="0" xfId="22" applyNumberFormat="1" applyFont="1" applyFill="1"/>
    <xf numFmtId="169" fontId="46" fillId="3" borderId="0" xfId="37" applyFill="1" applyBorder="1" applyAlignment="1" applyProtection="1"/>
    <xf numFmtId="178" fontId="0" fillId="2" borderId="0" xfId="11" applyNumberFormat="1" applyFont="1" applyFill="1" applyBorder="1" applyAlignment="1" applyProtection="1">
      <protection locked="0"/>
    </xf>
    <xf numFmtId="169" fontId="16" fillId="10" borderId="0" xfId="0" applyNumberFormat="1" applyFont="1" applyFill="1"/>
    <xf numFmtId="169" fontId="5" fillId="10" borderId="0" xfId="0" applyNumberFormat="1" applyFont="1" applyFill="1"/>
    <xf numFmtId="169" fontId="16" fillId="8" borderId="0" xfId="0" applyNumberFormat="1" applyFont="1" applyFill="1"/>
    <xf numFmtId="169" fontId="0" fillId="14" borderId="0" xfId="0" applyNumberFormat="1" applyFill="1"/>
    <xf numFmtId="169" fontId="5" fillId="0" borderId="0" xfId="0" applyNumberFormat="1" applyFont="1" applyAlignment="1">
      <alignment horizontal="center"/>
    </xf>
    <xf numFmtId="188" fontId="46" fillId="2" borderId="0" xfId="22" applyNumberFormat="1" applyFill="1" applyAlignment="1" applyProtection="1">
      <alignment horizontal="center"/>
      <protection locked="0"/>
    </xf>
    <xf numFmtId="171" fontId="46" fillId="2" borderId="4" xfId="29" applyFill="1" applyBorder="1" applyAlignment="1" applyProtection="1">
      <alignment horizontal="center" vertical="center"/>
      <protection locked="0"/>
    </xf>
    <xf numFmtId="171" fontId="46" fillId="2" borderId="51" xfId="29" applyFill="1" applyBorder="1" applyAlignment="1" applyProtection="1">
      <alignment horizontal="center" vertical="center"/>
      <protection locked="0"/>
    </xf>
    <xf numFmtId="169" fontId="0" fillId="0" borderId="4" xfId="37" applyFont="1" applyFill="1" applyBorder="1" applyAlignment="1" applyProtection="1">
      <protection locked="0"/>
    </xf>
    <xf numFmtId="0" fontId="46" fillId="0" borderId="4" xfId="20" applyBorder="1" applyAlignment="1" applyProtection="1">
      <alignment horizontal="center"/>
      <protection locked="0"/>
    </xf>
    <xf numFmtId="169" fontId="0" fillId="0" borderId="4" xfId="37" applyFont="1" applyFill="1" applyBorder="1" applyAlignment="1" applyProtection="1">
      <alignment horizontal="center"/>
      <protection locked="0"/>
    </xf>
    <xf numFmtId="169" fontId="5" fillId="0" borderId="4" xfId="37" applyFont="1" applyFill="1" applyBorder="1" applyAlignment="1" applyProtection="1">
      <alignment horizontal="center"/>
    </xf>
    <xf numFmtId="0" fontId="8" fillId="15" borderId="0" xfId="22" applyFont="1" applyFill="1" applyAlignment="1" applyProtection="1">
      <alignment horizontal="center"/>
      <protection locked="0"/>
    </xf>
    <xf numFmtId="0" fontId="22" fillId="0" borderId="0" xfId="22" applyFont="1" applyAlignment="1">
      <alignment wrapText="1"/>
    </xf>
    <xf numFmtId="0" fontId="8" fillId="0" borderId="0" xfId="22" applyFont="1" applyAlignment="1">
      <alignment horizontal="right" wrapText="1"/>
    </xf>
    <xf numFmtId="189" fontId="13" fillId="2" borderId="52" xfId="39" applyNumberFormat="1" applyFont="1" applyFill="1" applyBorder="1" applyAlignment="1" applyProtection="1">
      <protection locked="0"/>
    </xf>
    <xf numFmtId="198" fontId="62" fillId="21" borderId="144" xfId="29" applyNumberFormat="1" applyFont="1" applyFill="1" applyBorder="1" applyAlignment="1">
      <alignment horizontal="center" vertical="center"/>
    </xf>
    <xf numFmtId="199" fontId="46" fillId="15" borderId="136" xfId="22" applyNumberFormat="1" applyFill="1" applyBorder="1" applyAlignment="1" applyProtection="1">
      <alignment horizontal="center"/>
      <protection locked="0"/>
    </xf>
    <xf numFmtId="178" fontId="0" fillId="22" borderId="123" xfId="22" applyNumberFormat="1" applyFont="1" applyFill="1" applyBorder="1" applyProtection="1">
      <protection locked="0"/>
    </xf>
    <xf numFmtId="171" fontId="46" fillId="15" borderId="161" xfId="29" applyFill="1" applyBorder="1" applyProtection="1">
      <protection locked="0"/>
    </xf>
    <xf numFmtId="0" fontId="16" fillId="2" borderId="144" xfId="0" applyFont="1" applyFill="1" applyBorder="1" applyAlignment="1" applyProtection="1">
      <alignment horizontal="center"/>
      <protection locked="0"/>
    </xf>
    <xf numFmtId="0" fontId="65" fillId="0" borderId="0" xfId="22" applyFont="1" applyAlignment="1">
      <alignment horizontal="left" wrapText="1"/>
    </xf>
    <xf numFmtId="0" fontId="7" fillId="0" borderId="0" xfId="22" applyFont="1" applyAlignment="1">
      <alignment horizontal="right" wrapText="1"/>
    </xf>
    <xf numFmtId="198" fontId="62" fillId="15" borderId="144" xfId="29" applyNumberFormat="1" applyFont="1" applyFill="1" applyBorder="1" applyAlignment="1" applyProtection="1">
      <alignment horizontal="center" vertical="center"/>
      <protection locked="0"/>
    </xf>
    <xf numFmtId="0" fontId="8" fillId="0" borderId="136" xfId="0" applyFont="1" applyBorder="1" applyAlignment="1" applyProtection="1">
      <alignment horizontal="center"/>
      <protection hidden="1"/>
    </xf>
    <xf numFmtId="192" fontId="5" fillId="2" borderId="136" xfId="22" applyNumberFormat="1" applyFont="1" applyFill="1" applyBorder="1" applyAlignment="1" applyProtection="1">
      <alignment horizontal="center"/>
      <protection locked="0"/>
    </xf>
    <xf numFmtId="185" fontId="13" fillId="0" borderId="0" xfId="20" applyNumberFormat="1" applyFont="1"/>
    <xf numFmtId="185" fontId="13" fillId="0" borderId="0" xfId="37" applyNumberFormat="1" applyFont="1"/>
    <xf numFmtId="185" fontId="8" fillId="0" borderId="0" xfId="38" applyNumberFormat="1" applyFont="1" applyFill="1" applyBorder="1" applyAlignment="1" applyProtection="1"/>
    <xf numFmtId="0" fontId="0" fillId="0" borderId="0" xfId="22" applyFont="1" applyAlignment="1">
      <alignment horizontal="center"/>
    </xf>
    <xf numFmtId="185" fontId="0" fillId="2" borderId="4" xfId="37" applyNumberFormat="1" applyFont="1" applyFill="1" applyBorder="1" applyAlignment="1" applyProtection="1">
      <protection locked="0"/>
    </xf>
    <xf numFmtId="0" fontId="45" fillId="21" borderId="138" xfId="0" applyFont="1" applyFill="1" applyBorder="1" applyAlignment="1">
      <alignment horizontal="center"/>
    </xf>
    <xf numFmtId="0" fontId="45" fillId="21" borderId="144" xfId="0" applyFont="1" applyFill="1" applyBorder="1" applyAlignment="1">
      <alignment horizontal="center"/>
    </xf>
    <xf numFmtId="0" fontId="28" fillId="15" borderId="155" xfId="0" applyFont="1" applyFill="1" applyBorder="1" applyAlignment="1" applyProtection="1">
      <alignment horizontal="center"/>
      <protection locked="0"/>
    </xf>
    <xf numFmtId="169" fontId="0" fillId="2" borderId="4" xfId="37" applyFont="1" applyFill="1" applyBorder="1" applyAlignment="1" applyProtection="1">
      <alignment horizontal="center" vertical="center"/>
    </xf>
    <xf numFmtId="0" fontId="22" fillId="27" borderId="0" xfId="0" applyFont="1" applyFill="1" applyAlignment="1">
      <alignment horizontal="left" wrapText="1"/>
    </xf>
    <xf numFmtId="171" fontId="46" fillId="2" borderId="41" xfId="29" applyFill="1" applyBorder="1" applyAlignment="1" applyProtection="1">
      <alignment horizontal="center" vertical="center"/>
      <protection locked="0"/>
    </xf>
    <xf numFmtId="171" fontId="46" fillId="2" borderId="72" xfId="29" applyFill="1" applyBorder="1" applyAlignment="1" applyProtection="1">
      <alignment horizontal="center" vertical="center"/>
      <protection locked="0"/>
    </xf>
    <xf numFmtId="169" fontId="8" fillId="0" borderId="139" xfId="0" applyNumberFormat="1" applyFont="1" applyBorder="1"/>
    <xf numFmtId="2" fontId="8" fillId="0" borderId="0" xfId="0" applyNumberFormat="1" applyFont="1" applyAlignment="1">
      <alignment horizontal="center" vertical="center"/>
    </xf>
    <xf numFmtId="171" fontId="46" fillId="2" borderId="136" xfId="29" applyFill="1" applyBorder="1" applyAlignment="1" applyProtection="1">
      <alignment horizontal="center" vertical="center"/>
      <protection locked="0"/>
    </xf>
    <xf numFmtId="0" fontId="22" fillId="21" borderId="144" xfId="0" applyFont="1" applyFill="1" applyBorder="1" applyAlignment="1" applyProtection="1">
      <alignment horizontal="center"/>
      <protection locked="0"/>
    </xf>
    <xf numFmtId="169" fontId="0" fillId="16" borderId="4" xfId="37" applyFont="1" applyFill="1" applyBorder="1" applyAlignment="1" applyProtection="1"/>
    <xf numFmtId="171" fontId="46" fillId="16" borderId="4" xfId="29" applyFill="1" applyBorder="1" applyAlignment="1" applyProtection="1">
      <alignment horizontal="center"/>
      <protection locked="0"/>
    </xf>
    <xf numFmtId="0" fontId="46" fillId="21" borderId="4" xfId="20" applyFill="1" applyBorder="1" applyProtection="1">
      <protection locked="0"/>
    </xf>
    <xf numFmtId="169" fontId="0" fillId="21" borderId="4" xfId="37" applyFont="1" applyFill="1" applyBorder="1" applyAlignment="1" applyProtection="1">
      <protection locked="0"/>
    </xf>
    <xf numFmtId="169" fontId="0" fillId="16" borderId="4" xfId="37" applyFont="1" applyFill="1" applyBorder="1" applyAlignment="1" applyProtection="1">
      <alignment horizontal="center" vertical="center"/>
    </xf>
    <xf numFmtId="169" fontId="46" fillId="16" borderId="4" xfId="37" applyFill="1" applyBorder="1" applyAlignment="1" applyProtection="1">
      <alignment horizontal="center" vertical="center"/>
    </xf>
    <xf numFmtId="169" fontId="0" fillId="16" borderId="51" xfId="37" applyFont="1" applyFill="1" applyBorder="1" applyAlignment="1" applyProtection="1">
      <alignment horizontal="center" vertical="center"/>
    </xf>
    <xf numFmtId="169" fontId="8" fillId="0" borderId="138" xfId="37" applyFont="1" applyBorder="1" applyAlignment="1" applyProtection="1">
      <alignment horizontal="center" vertical="center"/>
    </xf>
    <xf numFmtId="171" fontId="46" fillId="0" borderId="136" xfId="29" applyBorder="1" applyAlignment="1" applyProtection="1">
      <alignment horizontal="center"/>
    </xf>
    <xf numFmtId="169" fontId="46" fillId="0" borderId="136" xfId="37" applyBorder="1" applyAlignment="1" applyProtection="1"/>
    <xf numFmtId="2" fontId="8" fillId="0" borderId="144" xfId="0" applyNumberFormat="1" applyFont="1" applyBorder="1" applyAlignment="1">
      <alignment horizontal="center"/>
    </xf>
    <xf numFmtId="169" fontId="5" fillId="11" borderId="4" xfId="37" applyFont="1" applyFill="1" applyBorder="1" applyAlignment="1" applyProtection="1">
      <alignment horizontal="center" vertical="center" wrapText="1"/>
    </xf>
    <xf numFmtId="0" fontId="0" fillId="21" borderId="143" xfId="0" applyFill="1" applyBorder="1" applyAlignment="1" applyProtection="1">
      <alignment horizontal="center"/>
      <protection locked="0"/>
    </xf>
    <xf numFmtId="0" fontId="0" fillId="21" borderId="143" xfId="0" applyFill="1" applyBorder="1" applyProtection="1">
      <protection locked="0"/>
    </xf>
    <xf numFmtId="185" fontId="0" fillId="0" borderId="0" xfId="0" applyNumberFormat="1"/>
    <xf numFmtId="2" fontId="0" fillId="0" borderId="136" xfId="0" applyNumberFormat="1" applyBorder="1" applyAlignment="1">
      <alignment horizontal="center"/>
    </xf>
    <xf numFmtId="171" fontId="0" fillId="0" borderId="0" xfId="29" applyFont="1" applyFill="1" applyBorder="1" applyAlignment="1" applyProtection="1">
      <alignment horizontal="center"/>
    </xf>
    <xf numFmtId="171" fontId="22" fillId="0" borderId="0" xfId="29" applyFont="1" applyFill="1" applyBorder="1" applyAlignment="1" applyProtection="1">
      <alignment horizontal="center"/>
    </xf>
    <xf numFmtId="2" fontId="3" fillId="3" borderId="2" xfId="37" applyNumberFormat="1" applyFont="1" applyFill="1" applyBorder="1" applyAlignment="1" applyProtection="1"/>
    <xf numFmtId="2" fontId="3" fillId="0" borderId="2" xfId="37" applyNumberFormat="1" applyFont="1" applyFill="1" applyBorder="1" applyAlignment="1" applyProtection="1"/>
    <xf numFmtId="0" fontId="13" fillId="0" borderId="42" xfId="0" applyFont="1" applyBorder="1" applyAlignment="1">
      <alignment horizontal="center"/>
    </xf>
    <xf numFmtId="185" fontId="3" fillId="0" borderId="0" xfId="0" applyNumberFormat="1" applyFont="1"/>
    <xf numFmtId="169" fontId="2" fillId="3" borderId="2" xfId="37" applyFont="1" applyFill="1" applyBorder="1" applyAlignment="1" applyProtection="1"/>
    <xf numFmtId="169" fontId="2" fillId="0" borderId="2" xfId="37" applyFont="1" applyFill="1" applyBorder="1" applyAlignment="1" applyProtection="1"/>
    <xf numFmtId="177" fontId="13" fillId="0" borderId="4" xfId="22" applyNumberFormat="1" applyFont="1" applyBorder="1" applyAlignment="1">
      <alignment horizontal="center"/>
    </xf>
    <xf numFmtId="0" fontId="9" fillId="16" borderId="29" xfId="20" applyFont="1" applyFill="1" applyBorder="1" applyAlignment="1">
      <alignment horizontal="center"/>
    </xf>
    <xf numFmtId="169" fontId="46" fillId="11" borderId="0" xfId="37" applyFill="1" applyBorder="1" applyAlignment="1" applyProtection="1">
      <alignment horizontal="center" vertical="center"/>
    </xf>
    <xf numFmtId="169" fontId="46" fillId="11" borderId="136" xfId="37" applyFill="1" applyBorder="1" applyAlignment="1" applyProtection="1">
      <alignment horizontal="center" vertical="center"/>
    </xf>
    <xf numFmtId="190" fontId="46" fillId="2" borderId="4" xfId="37" applyNumberFormat="1" applyFill="1" applyBorder="1" applyAlignment="1" applyProtection="1">
      <alignment horizontal="center" vertical="center"/>
      <protection locked="0"/>
    </xf>
    <xf numFmtId="190" fontId="46" fillId="11" borderId="4" xfId="37" applyNumberFormat="1" applyFill="1" applyBorder="1" applyAlignment="1" applyProtection="1">
      <alignment horizontal="center" vertical="center" wrapText="1"/>
    </xf>
    <xf numFmtId="190" fontId="46" fillId="2" borderId="23" xfId="37" applyNumberFormat="1" applyFill="1" applyBorder="1" applyAlignment="1" applyProtection="1">
      <alignment horizontal="center" vertical="center"/>
      <protection locked="0"/>
    </xf>
    <xf numFmtId="190" fontId="46" fillId="0" borderId="136" xfId="37" applyNumberFormat="1" applyBorder="1" applyAlignment="1">
      <alignment horizontal="center" vertical="center"/>
    </xf>
    <xf numFmtId="190" fontId="46" fillId="2" borderId="51" xfId="37" applyNumberFormat="1" applyFill="1" applyBorder="1" applyAlignment="1" applyProtection="1">
      <alignment horizontal="center" vertical="center"/>
      <protection locked="0"/>
    </xf>
    <xf numFmtId="190" fontId="46" fillId="0" borderId="138" xfId="37" applyNumberFormat="1" applyBorder="1" applyAlignment="1">
      <alignment horizontal="center" vertical="center"/>
    </xf>
    <xf numFmtId="190" fontId="46" fillId="2" borderId="7" xfId="37" applyNumberFormat="1" applyFill="1" applyBorder="1" applyAlignment="1" applyProtection="1">
      <alignment horizontal="center" vertical="center"/>
      <protection locked="0"/>
    </xf>
    <xf numFmtId="190" fontId="46" fillId="2" borderId="136" xfId="37" applyNumberFormat="1" applyFill="1" applyBorder="1" applyAlignment="1" applyProtection="1">
      <alignment vertical="center"/>
      <protection locked="0"/>
    </xf>
    <xf numFmtId="0" fontId="22" fillId="11" borderId="154" xfId="0" applyFont="1" applyFill="1" applyBorder="1" applyAlignment="1">
      <alignment vertical="center" wrapText="1"/>
    </xf>
    <xf numFmtId="190" fontId="46" fillId="16" borderId="136" xfId="37" applyNumberFormat="1" applyFill="1" applyBorder="1" applyAlignment="1" applyProtection="1">
      <alignment vertical="center"/>
      <protection locked="0"/>
    </xf>
    <xf numFmtId="169" fontId="0" fillId="22" borderId="4" xfId="37" applyFont="1" applyFill="1" applyBorder="1" applyAlignment="1" applyProtection="1">
      <protection locked="0"/>
    </xf>
    <xf numFmtId="0" fontId="13" fillId="15" borderId="136" xfId="0" applyFont="1" applyFill="1" applyBorder="1" applyProtection="1">
      <protection locked="0"/>
    </xf>
    <xf numFmtId="0" fontId="15" fillId="0" borderId="0" xfId="0" applyFont="1" applyAlignment="1">
      <alignment horizontal="right"/>
    </xf>
    <xf numFmtId="2" fontId="3" fillId="0" borderId="136" xfId="0" applyNumberFormat="1" applyFont="1" applyBorder="1" applyAlignment="1">
      <alignment horizontal="center"/>
    </xf>
    <xf numFmtId="169" fontId="3" fillId="7" borderId="136" xfId="37" applyFont="1" applyFill="1" applyBorder="1" applyAlignment="1" applyProtection="1"/>
    <xf numFmtId="169" fontId="16" fillId="7" borderId="136" xfId="37" applyFont="1" applyFill="1" applyBorder="1" applyAlignment="1" applyProtection="1"/>
    <xf numFmtId="171" fontId="46" fillId="0" borderId="0" xfId="29"/>
    <xf numFmtId="171" fontId="46" fillId="0" borderId="136" xfId="29" applyBorder="1" applyAlignment="1">
      <alignment horizontal="center"/>
    </xf>
    <xf numFmtId="169" fontId="22" fillId="0" borderId="0" xfId="37" applyFont="1" applyFill="1" applyBorder="1" applyAlignment="1" applyProtection="1">
      <alignment horizontal="center"/>
    </xf>
    <xf numFmtId="3" fontId="0" fillId="0" borderId="0" xfId="0" applyNumberFormat="1"/>
    <xf numFmtId="3" fontId="29" fillId="3" borderId="62" xfId="0" applyNumberFormat="1" applyFont="1" applyFill="1" applyBorder="1"/>
    <xf numFmtId="3" fontId="3" fillId="2" borderId="66" xfId="0" applyNumberFormat="1" applyFont="1" applyFill="1" applyBorder="1" applyProtection="1">
      <protection locked="0"/>
    </xf>
    <xf numFmtId="185" fontId="3" fillId="6" borderId="2" xfId="37" applyNumberFormat="1" applyFont="1" applyFill="1" applyBorder="1" applyAlignment="1" applyProtection="1"/>
    <xf numFmtId="185" fontId="5" fillId="6" borderId="28" xfId="37" applyNumberFormat="1" applyFont="1" applyFill="1" applyBorder="1" applyAlignment="1" applyProtection="1"/>
    <xf numFmtId="185" fontId="5" fillId="6" borderId="2" xfId="37" applyNumberFormat="1" applyFont="1" applyFill="1" applyBorder="1" applyAlignment="1" applyProtection="1">
      <alignment horizontal="right"/>
    </xf>
    <xf numFmtId="185" fontId="5" fillId="6" borderId="2" xfId="37" applyNumberFormat="1" applyFont="1" applyFill="1" applyBorder="1" applyAlignment="1" applyProtection="1"/>
    <xf numFmtId="185" fontId="5" fillId="6" borderId="0" xfId="37" applyNumberFormat="1" applyFont="1" applyFill="1" applyBorder="1" applyAlignment="1" applyProtection="1"/>
    <xf numFmtId="0" fontId="15" fillId="0" borderId="0" xfId="0" applyFont="1" applyAlignment="1">
      <alignment horizontal="center"/>
    </xf>
    <xf numFmtId="171" fontId="46" fillId="15" borderId="136" xfId="29" applyFill="1" applyBorder="1" applyAlignment="1" applyProtection="1">
      <alignment horizontal="center"/>
      <protection locked="0"/>
    </xf>
    <xf numFmtId="169" fontId="22" fillId="0" borderId="136" xfId="37" applyFont="1" applyFill="1" applyBorder="1" applyAlignment="1" applyProtection="1"/>
    <xf numFmtId="171" fontId="22" fillId="0" borderId="136" xfId="29" applyFont="1" applyFill="1" applyBorder="1" applyAlignment="1" applyProtection="1">
      <alignment horizontal="center"/>
    </xf>
    <xf numFmtId="171" fontId="8" fillId="0" borderId="144" xfId="20" applyNumberFormat="1" applyFont="1" applyBorder="1" applyAlignment="1">
      <alignment horizontal="center"/>
    </xf>
    <xf numFmtId="0" fontId="0" fillId="0" borderId="194" xfId="0" applyBorder="1" applyAlignment="1">
      <alignment horizontal="center"/>
    </xf>
    <xf numFmtId="0" fontId="3" fillId="28" borderId="2" xfId="0" applyFont="1" applyFill="1" applyBorder="1" applyProtection="1">
      <protection locked="0"/>
    </xf>
    <xf numFmtId="169" fontId="3" fillId="16" borderId="2" xfId="46" applyFont="1" applyFill="1" applyBorder="1" applyAlignment="1" applyProtection="1">
      <alignment horizontal="center"/>
    </xf>
    <xf numFmtId="0" fontId="3" fillId="16" borderId="2" xfId="0" applyFont="1" applyFill="1" applyBorder="1" applyAlignment="1">
      <alignment horizontal="center"/>
    </xf>
    <xf numFmtId="185" fontId="13" fillId="0" borderId="154" xfId="0" applyNumberFormat="1" applyFont="1" applyBorder="1"/>
    <xf numFmtId="0" fontId="13" fillId="0" borderId="0" xfId="0" applyFont="1" applyAlignment="1">
      <alignment wrapText="1"/>
    </xf>
    <xf numFmtId="0" fontId="0" fillId="0" borderId="237" xfId="0" applyBorder="1"/>
    <xf numFmtId="0" fontId="3" fillId="28" borderId="2" xfId="0" applyFont="1" applyFill="1" applyBorder="1"/>
    <xf numFmtId="185" fontId="8" fillId="18" borderId="136" xfId="37" applyNumberFormat="1" applyFont="1" applyFill="1" applyBorder="1"/>
    <xf numFmtId="0" fontId="5" fillId="0" borderId="0" xfId="0" applyFont="1" applyAlignment="1">
      <alignment horizontal="center" vertical="center"/>
    </xf>
    <xf numFmtId="0" fontId="3" fillId="16" borderId="2" xfId="0" applyFont="1" applyFill="1" applyBorder="1" applyAlignment="1" applyProtection="1">
      <alignment horizontal="center"/>
      <protection locked="0"/>
    </xf>
    <xf numFmtId="169" fontId="76" fillId="16" borderId="2" xfId="46" applyFont="1" applyFill="1" applyBorder="1" applyAlignment="1" applyProtection="1">
      <alignment horizontal="center"/>
    </xf>
    <xf numFmtId="164" fontId="0" fillId="0" borderId="0" xfId="0" applyNumberFormat="1"/>
    <xf numFmtId="169" fontId="46" fillId="0" borderId="2" xfId="37" applyFill="1" applyBorder="1" applyAlignment="1" applyProtection="1"/>
    <xf numFmtId="171" fontId="46" fillId="2" borderId="24" xfId="29" applyFill="1" applyBorder="1" applyAlignment="1" applyProtection="1">
      <alignment horizontal="center"/>
      <protection locked="0"/>
    </xf>
    <xf numFmtId="169" fontId="2" fillId="0" borderId="243" xfId="37" applyFont="1" applyFill="1" applyBorder="1" applyAlignment="1" applyProtection="1"/>
    <xf numFmtId="183" fontId="3" fillId="2" borderId="66" xfId="37" applyNumberFormat="1" applyFont="1" applyFill="1" applyBorder="1" applyAlignment="1" applyProtection="1">
      <alignment horizontal="center"/>
      <protection locked="0"/>
    </xf>
    <xf numFmtId="164" fontId="0" fillId="0" borderId="136" xfId="0" applyNumberFormat="1" applyBorder="1"/>
    <xf numFmtId="185" fontId="9" fillId="2" borderId="2" xfId="38" applyNumberFormat="1" applyFont="1" applyFill="1" applyBorder="1" applyAlignment="1" applyProtection="1">
      <protection locked="0"/>
    </xf>
    <xf numFmtId="185" fontId="9" fillId="2" borderId="34" xfId="38" applyNumberFormat="1" applyFont="1" applyFill="1" applyBorder="1" applyAlignment="1" applyProtection="1">
      <protection locked="0"/>
    </xf>
    <xf numFmtId="185" fontId="9" fillId="2" borderId="30" xfId="38" applyNumberFormat="1" applyFont="1" applyFill="1" applyBorder="1" applyAlignment="1" applyProtection="1">
      <protection locked="0"/>
    </xf>
    <xf numFmtId="185" fontId="9" fillId="2" borderId="35" xfId="38" applyNumberFormat="1" applyFont="1" applyFill="1" applyBorder="1" applyAlignment="1" applyProtection="1">
      <protection locked="0"/>
    </xf>
    <xf numFmtId="0" fontId="0" fillId="0" borderId="179" xfId="0" applyBorder="1"/>
    <xf numFmtId="169" fontId="16" fillId="8" borderId="138" xfId="0" applyNumberFormat="1" applyFont="1" applyFill="1" applyBorder="1"/>
    <xf numFmtId="169" fontId="46" fillId="0" borderId="137" xfId="37" applyBorder="1"/>
    <xf numFmtId="169" fontId="46" fillId="15" borderId="245" xfId="37" applyFill="1" applyBorder="1" applyProtection="1">
      <protection locked="0"/>
    </xf>
    <xf numFmtId="0" fontId="0" fillId="15" borderId="151" xfId="0" applyFill="1" applyBorder="1" applyProtection="1">
      <protection locked="0"/>
    </xf>
    <xf numFmtId="0" fontId="15" fillId="0" borderId="151" xfId="0" applyFont="1" applyBorder="1"/>
    <xf numFmtId="0" fontId="0" fillId="15" borderId="187" xfId="0" applyFill="1" applyBorder="1" applyAlignment="1" applyProtection="1">
      <alignment horizontal="center" vertical="center"/>
      <protection locked="0"/>
    </xf>
    <xf numFmtId="0" fontId="0" fillId="21" borderId="161" xfId="0" applyFill="1" applyBorder="1" applyAlignment="1">
      <alignment horizontal="center" vertical="center"/>
    </xf>
    <xf numFmtId="0" fontId="0" fillId="0" borderId="137" xfId="0" applyBorder="1" applyAlignment="1">
      <alignment horizontal="center"/>
    </xf>
    <xf numFmtId="170" fontId="0" fillId="0" borderId="215" xfId="29" applyNumberFormat="1" applyFont="1" applyFill="1" applyBorder="1" applyAlignment="1" applyProtection="1">
      <alignment horizontal="center"/>
    </xf>
    <xf numFmtId="170" fontId="0" fillId="0" borderId="138" xfId="0" applyNumberFormat="1" applyBorder="1" applyAlignment="1">
      <alignment horizontal="center"/>
    </xf>
    <xf numFmtId="0" fontId="0" fillId="0" borderId="166" xfId="0" applyBorder="1"/>
    <xf numFmtId="171" fontId="22" fillId="0" borderId="154" xfId="29" applyFont="1" applyFill="1" applyBorder="1" applyAlignment="1" applyProtection="1">
      <alignment horizontal="center"/>
    </xf>
    <xf numFmtId="0" fontId="0" fillId="0" borderId="136" xfId="20" applyFont="1" applyBorder="1"/>
    <xf numFmtId="0" fontId="0" fillId="0" borderId="136" xfId="0" applyBorder="1" applyAlignment="1">
      <alignment wrapText="1"/>
    </xf>
    <xf numFmtId="169" fontId="22" fillId="0" borderId="246" xfId="37" applyFont="1" applyFill="1" applyBorder="1" applyAlignment="1" applyProtection="1"/>
    <xf numFmtId="169" fontId="7" fillId="0" borderId="136" xfId="37" applyFont="1" applyFill="1" applyBorder="1" applyAlignment="1" applyProtection="1"/>
    <xf numFmtId="169" fontId="22" fillId="29" borderId="27" xfId="37" applyFont="1" applyFill="1" applyBorder="1" applyAlignment="1" applyProtection="1"/>
    <xf numFmtId="169" fontId="22" fillId="29" borderId="136" xfId="37" applyFont="1" applyFill="1" applyBorder="1" applyAlignment="1" applyProtection="1"/>
    <xf numFmtId="169" fontId="22" fillId="29" borderId="136" xfId="20" applyNumberFormat="1" applyFont="1" applyFill="1" applyBorder="1"/>
    <xf numFmtId="0" fontId="22" fillId="29" borderId="26" xfId="20" applyFont="1" applyFill="1" applyBorder="1" applyAlignment="1">
      <alignment horizontal="center" vertical="top" wrapText="1"/>
    </xf>
    <xf numFmtId="0" fontId="22" fillId="29" borderId="27" xfId="20" applyFont="1" applyFill="1" applyBorder="1" applyAlignment="1">
      <alignment horizontal="center" vertical="top" wrapText="1"/>
    </xf>
    <xf numFmtId="0" fontId="22" fillId="0" borderId="0" xfId="20" applyFont="1" applyAlignment="1">
      <alignment horizontal="center"/>
    </xf>
    <xf numFmtId="0" fontId="61" fillId="0" borderId="0" xfId="0" applyFont="1"/>
    <xf numFmtId="168" fontId="46" fillId="0" borderId="17" xfId="5" applyBorder="1" applyAlignment="1">
      <alignment horizontal="center" vertical="center"/>
    </xf>
    <xf numFmtId="3" fontId="0" fillId="0" borderId="18" xfId="0" applyNumberFormat="1" applyBorder="1" applyAlignment="1">
      <alignment horizontal="center"/>
    </xf>
    <xf numFmtId="3" fontId="0" fillId="0" borderId="20" xfId="0" applyNumberFormat="1" applyBorder="1" applyAlignment="1">
      <alignment horizontal="center"/>
    </xf>
    <xf numFmtId="3" fontId="0" fillId="0" borderId="15" xfId="0" applyNumberFormat="1" applyBorder="1" applyAlignment="1">
      <alignment horizontal="center"/>
    </xf>
    <xf numFmtId="0" fontId="0" fillId="30" borderId="137" xfId="0" applyFill="1" applyBorder="1"/>
    <xf numFmtId="0" fontId="0" fillId="30" borderId="168" xfId="0" applyFill="1" applyBorder="1"/>
    <xf numFmtId="168" fontId="13" fillId="30" borderId="49" xfId="5" applyFont="1" applyFill="1" applyBorder="1" applyAlignment="1">
      <alignment horizontal="center" vertical="center"/>
    </xf>
    <xf numFmtId="168" fontId="46" fillId="30" borderId="56" xfId="5" applyFill="1" applyBorder="1" applyAlignment="1">
      <alignment horizontal="center" vertical="center"/>
    </xf>
    <xf numFmtId="174" fontId="46" fillId="30" borderId="56" xfId="5" applyNumberFormat="1" applyFill="1" applyBorder="1" applyAlignment="1">
      <alignment horizontal="center"/>
    </xf>
    <xf numFmtId="0" fontId="0" fillId="15" borderId="154" xfId="0" applyFill="1" applyBorder="1" applyAlignment="1" applyProtection="1">
      <alignment horizontal="center"/>
      <protection locked="0"/>
    </xf>
    <xf numFmtId="0" fontId="0" fillId="0" borderId="144" xfId="0" applyBorder="1" applyAlignment="1">
      <alignment horizontal="center"/>
    </xf>
    <xf numFmtId="0" fontId="0" fillId="0" borderId="161" xfId="0" applyBorder="1" applyAlignment="1">
      <alignment horizontal="center"/>
    </xf>
    <xf numFmtId="1" fontId="13" fillId="0" borderId="0" xfId="20" applyNumberFormat="1" applyFont="1"/>
    <xf numFmtId="0" fontId="22" fillId="0" borderId="0" xfId="20" applyFont="1" applyAlignment="1">
      <alignment horizontal="center" wrapText="1"/>
    </xf>
    <xf numFmtId="0" fontId="0" fillId="21" borderId="136" xfId="0" applyFill="1" applyBorder="1" applyAlignment="1">
      <alignment horizontal="center" vertical="center"/>
    </xf>
    <xf numFmtId="185" fontId="8" fillId="0" borderId="0" xfId="37" applyNumberFormat="1" applyFont="1" applyFill="1" applyBorder="1" applyAlignment="1" applyProtection="1"/>
    <xf numFmtId="185" fontId="22" fillId="0" borderId="0" xfId="37" applyNumberFormat="1" applyFont="1" applyFill="1" applyBorder="1" applyAlignment="1" applyProtection="1"/>
    <xf numFmtId="185" fontId="22" fillId="0" borderId="27" xfId="37" applyNumberFormat="1" applyFont="1" applyFill="1" applyBorder="1" applyAlignment="1" applyProtection="1"/>
    <xf numFmtId="185" fontId="8" fillId="11" borderId="4" xfId="37" applyNumberFormat="1" applyFont="1" applyFill="1" applyBorder="1" applyAlignment="1" applyProtection="1">
      <alignment horizontal="center" vertical="center" wrapText="1"/>
    </xf>
    <xf numFmtId="0" fontId="77" fillId="0" borderId="0" xfId="0" applyFont="1" applyAlignment="1">
      <alignment horizontal="center"/>
    </xf>
    <xf numFmtId="0" fontId="73" fillId="15" borderId="136" xfId="0" applyFont="1" applyFill="1" applyBorder="1" applyAlignment="1" applyProtection="1">
      <alignment horizontal="center"/>
      <protection locked="0"/>
    </xf>
    <xf numFmtId="0" fontId="9" fillId="2" borderId="30" xfId="20" applyFont="1" applyFill="1" applyBorder="1" applyAlignment="1" applyProtection="1">
      <alignment horizontal="center"/>
      <protection locked="0"/>
    </xf>
    <xf numFmtId="0" fontId="0" fillId="2" borderId="144" xfId="20" applyFont="1" applyFill="1" applyBorder="1" applyProtection="1">
      <protection locked="0"/>
    </xf>
    <xf numFmtId="0" fontId="22" fillId="15" borderId="26" xfId="20" applyFont="1" applyFill="1" applyBorder="1" applyAlignment="1" applyProtection="1">
      <alignment horizontal="center" vertical="top" textRotation="90" wrapText="1"/>
      <protection locked="0"/>
    </xf>
    <xf numFmtId="0" fontId="5" fillId="15" borderId="144" xfId="0" applyFont="1" applyFill="1" applyBorder="1" applyAlignment="1" applyProtection="1">
      <alignment horizontal="center" vertical="center"/>
      <protection locked="0"/>
    </xf>
    <xf numFmtId="0" fontId="22" fillId="21" borderId="144" xfId="0" applyFont="1" applyFill="1" applyBorder="1" applyAlignment="1">
      <alignment horizontal="center"/>
    </xf>
    <xf numFmtId="185" fontId="46" fillId="0" borderId="139" xfId="37" applyNumberFormat="1" applyBorder="1"/>
    <xf numFmtId="185" fontId="46" fillId="0" borderId="140" xfId="37" applyNumberFormat="1" applyBorder="1"/>
    <xf numFmtId="185" fontId="46" fillId="0" borderId="145" xfId="37" applyNumberFormat="1" applyBorder="1"/>
    <xf numFmtId="185" fontId="46" fillId="0" borderId="141" xfId="37" applyNumberFormat="1" applyBorder="1"/>
    <xf numFmtId="185" fontId="46" fillId="0" borderId="0" xfId="37" applyNumberFormat="1" applyBorder="1"/>
    <xf numFmtId="185" fontId="46" fillId="0" borderId="146" xfId="37" applyNumberFormat="1" applyBorder="1"/>
    <xf numFmtId="185" fontId="46" fillId="0" borderId="142" xfId="37" applyNumberFormat="1" applyBorder="1"/>
    <xf numFmtId="0" fontId="0" fillId="0" borderId="0" xfId="0" applyAlignment="1">
      <alignment horizontal="center" vertical="center"/>
    </xf>
    <xf numFmtId="49" fontId="8" fillId="15" borderId="163" xfId="0" applyNumberFormat="1" applyFont="1" applyFill="1" applyBorder="1" applyAlignment="1" applyProtection="1">
      <alignment horizontal="center" vertical="center"/>
      <protection locked="0"/>
    </xf>
    <xf numFmtId="0" fontId="0" fillId="0" borderId="155" xfId="20" applyFont="1" applyBorder="1" applyAlignment="1">
      <alignment horizontal="center" vertical="top" wrapText="1"/>
    </xf>
    <xf numFmtId="185" fontId="9" fillId="0" borderId="136" xfId="37" applyNumberFormat="1" applyFont="1" applyBorder="1"/>
    <xf numFmtId="185" fontId="9" fillId="0" borderId="136" xfId="20" applyNumberFormat="1" applyFont="1" applyBorder="1"/>
    <xf numFmtId="185" fontId="8" fillId="0" borderId="151" xfId="20" applyNumberFormat="1" applyFont="1" applyBorder="1"/>
    <xf numFmtId="0" fontId="0" fillId="0" borderId="249" xfId="20" applyFont="1" applyBorder="1" applyAlignment="1">
      <alignment horizontal="center" vertical="top" wrapText="1"/>
    </xf>
    <xf numFmtId="0" fontId="0" fillId="0" borderId="211" xfId="20" applyFont="1" applyBorder="1" applyAlignment="1">
      <alignment horizontal="center" vertical="top" wrapText="1"/>
    </xf>
    <xf numFmtId="185" fontId="9" fillId="15" borderId="176" xfId="37" applyNumberFormat="1" applyFont="1" applyFill="1" applyBorder="1" applyProtection="1">
      <protection locked="0"/>
    </xf>
    <xf numFmtId="185" fontId="9" fillId="0" borderId="211" xfId="37" applyNumberFormat="1" applyFont="1" applyBorder="1"/>
    <xf numFmtId="185" fontId="22" fillId="0" borderId="189" xfId="20" applyNumberFormat="1" applyFont="1" applyBorder="1"/>
    <xf numFmtId="185" fontId="22" fillId="0" borderId="190" xfId="20" applyNumberFormat="1" applyFont="1" applyBorder="1"/>
    <xf numFmtId="185" fontId="22" fillId="0" borderId="250" xfId="20" applyNumberFormat="1" applyFont="1" applyBorder="1"/>
    <xf numFmtId="185" fontId="22" fillId="0" borderId="26" xfId="37" applyNumberFormat="1" applyFont="1" applyFill="1" applyBorder="1" applyAlignment="1" applyProtection="1"/>
    <xf numFmtId="185" fontId="46" fillId="0" borderId="241" xfId="37" applyNumberFormat="1" applyBorder="1"/>
    <xf numFmtId="185" fontId="46" fillId="0" borderId="247" xfId="37" applyNumberFormat="1" applyBorder="1"/>
    <xf numFmtId="0" fontId="46" fillId="0" borderId="140" xfId="20" applyBorder="1"/>
    <xf numFmtId="185" fontId="46" fillId="0" borderId="248" xfId="37" applyNumberFormat="1" applyBorder="1"/>
    <xf numFmtId="185" fontId="46" fillId="0" borderId="176" xfId="37" applyNumberFormat="1" applyBorder="1"/>
    <xf numFmtId="185" fontId="46" fillId="0" borderId="211" xfId="37" applyNumberFormat="1" applyBorder="1"/>
    <xf numFmtId="0" fontId="46" fillId="0" borderId="0" xfId="20" applyAlignment="1">
      <alignment horizontal="center"/>
    </xf>
    <xf numFmtId="190" fontId="46" fillId="16" borderId="4" xfId="37" applyNumberFormat="1" applyFill="1" applyBorder="1" applyAlignment="1" applyProtection="1">
      <alignment horizontal="center" vertical="center"/>
      <protection locked="0"/>
    </xf>
    <xf numFmtId="190" fontId="46" fillId="16" borderId="51" xfId="37" applyNumberFormat="1" applyFill="1" applyBorder="1" applyAlignment="1" applyProtection="1">
      <alignment horizontal="center" vertical="center"/>
      <protection locked="0"/>
    </xf>
    <xf numFmtId="0" fontId="22" fillId="0" borderId="52" xfId="20" applyFont="1" applyBorder="1" applyAlignment="1">
      <alignment horizontal="center" vertical="top" wrapText="1"/>
    </xf>
    <xf numFmtId="0" fontId="22" fillId="0" borderId="251" xfId="20" applyFont="1" applyBorder="1" applyAlignment="1">
      <alignment horizontal="center" vertical="top" wrapText="1"/>
    </xf>
    <xf numFmtId="0" fontId="22" fillId="0" borderId="144" xfId="20" applyFont="1" applyBorder="1" applyAlignment="1">
      <alignment horizontal="center" vertical="top" wrapText="1"/>
    </xf>
    <xf numFmtId="185" fontId="46" fillId="0" borderId="240" xfId="37" applyNumberFormat="1" applyBorder="1"/>
    <xf numFmtId="185" fontId="46" fillId="0" borderId="242" xfId="37" applyNumberFormat="1" applyBorder="1"/>
    <xf numFmtId="185" fontId="46" fillId="0" borderId="154" xfId="37" applyNumberFormat="1" applyBorder="1"/>
    <xf numFmtId="185" fontId="46" fillId="0" borderId="252" xfId="37" applyNumberFormat="1" applyBorder="1"/>
    <xf numFmtId="185" fontId="46" fillId="0" borderId="182" xfId="37" applyNumberFormat="1" applyBorder="1"/>
    <xf numFmtId="185" fontId="46" fillId="0" borderId="253" xfId="37" applyNumberFormat="1" applyBorder="1"/>
    <xf numFmtId="169" fontId="0" fillId="0" borderId="154" xfId="0" applyNumberFormat="1" applyBorder="1"/>
    <xf numFmtId="0" fontId="62" fillId="0" borderId="0" xfId="0" applyFont="1"/>
    <xf numFmtId="171" fontId="8" fillId="0" borderId="49" xfId="20" applyNumberFormat="1" applyFont="1" applyBorder="1" applyAlignment="1">
      <alignment horizontal="center"/>
    </xf>
    <xf numFmtId="0" fontId="0" fillId="0" borderId="136" xfId="20" applyFont="1" applyBorder="1" applyAlignment="1">
      <alignment horizontal="center" vertical="center"/>
    </xf>
    <xf numFmtId="0" fontId="15" fillId="15" borderId="0" xfId="0" applyFont="1" applyFill="1" applyAlignment="1" applyProtection="1">
      <alignment horizontal="right"/>
      <protection locked="0"/>
    </xf>
    <xf numFmtId="0" fontId="13" fillId="21" borderId="0" xfId="0" applyFont="1" applyFill="1" applyAlignment="1">
      <alignment horizontal="right"/>
    </xf>
    <xf numFmtId="0" fontId="8" fillId="0" borderId="241" xfId="20" applyFont="1" applyBorder="1"/>
    <xf numFmtId="0" fontId="2" fillId="0" borderId="0" xfId="52"/>
    <xf numFmtId="0" fontId="13" fillId="0" borderId="0" xfId="52" applyFont="1"/>
    <xf numFmtId="0" fontId="2" fillId="0" borderId="140" xfId="52" applyBorder="1"/>
    <xf numFmtId="0" fontId="2" fillId="0" borderId="145" xfId="52" applyBorder="1"/>
    <xf numFmtId="0" fontId="2" fillId="15" borderId="136" xfId="52" applyFill="1" applyBorder="1" applyProtection="1">
      <protection locked="0"/>
    </xf>
    <xf numFmtId="179" fontId="2" fillId="15" borderId="136" xfId="52" applyNumberFormat="1" applyFill="1" applyBorder="1" applyProtection="1">
      <protection locked="0"/>
    </xf>
    <xf numFmtId="169" fontId="2" fillId="15" borderId="136" xfId="53" applyFill="1" applyBorder="1" applyProtection="1">
      <protection locked="0"/>
    </xf>
    <xf numFmtId="198" fontId="2" fillId="15" borderId="136" xfId="54" applyNumberFormat="1" applyFill="1" applyBorder="1" applyProtection="1">
      <protection locked="0"/>
    </xf>
    <xf numFmtId="0" fontId="2" fillId="0" borderId="141" xfId="52" applyBorder="1"/>
    <xf numFmtId="0" fontId="2" fillId="0" borderId="146" xfId="52" applyBorder="1"/>
    <xf numFmtId="171" fontId="2" fillId="15" borderId="144" xfId="54" applyFill="1" applyBorder="1" applyProtection="1">
      <protection locked="0"/>
    </xf>
    <xf numFmtId="0" fontId="2" fillId="15" borderId="136" xfId="52" applyFill="1" applyBorder="1" applyAlignment="1" applyProtection="1">
      <alignment horizontal="center" vertical="center"/>
      <protection locked="0"/>
    </xf>
    <xf numFmtId="171" fontId="2" fillId="15" borderId="141" xfId="54" applyFill="1" applyBorder="1" applyAlignment="1" applyProtection="1">
      <alignment horizontal="center"/>
      <protection locked="0"/>
    </xf>
    <xf numFmtId="171" fontId="2" fillId="15" borderId="181" xfId="54" applyFill="1" applyBorder="1" applyAlignment="1" applyProtection="1">
      <alignment horizontal="center"/>
      <protection locked="0"/>
    </xf>
    <xf numFmtId="0" fontId="2" fillId="0" borderId="142" xfId="52" applyBorder="1"/>
    <xf numFmtId="0" fontId="2" fillId="0" borderId="143" xfId="52" applyBorder="1"/>
    <xf numFmtId="169" fontId="2" fillId="0" borderId="0" xfId="52" applyNumberFormat="1"/>
    <xf numFmtId="2" fontId="2" fillId="15" borderId="136" xfId="52" applyNumberFormat="1" applyFill="1" applyBorder="1" applyProtection="1">
      <protection locked="0"/>
    </xf>
    <xf numFmtId="169" fontId="2" fillId="0" borderId="136" xfId="52" applyNumberFormat="1" applyBorder="1"/>
    <xf numFmtId="0" fontId="2" fillId="0" borderId="136" xfId="52" applyBorder="1"/>
    <xf numFmtId="171" fontId="2" fillId="0" borderId="136" xfId="54" applyBorder="1"/>
    <xf numFmtId="0" fontId="8" fillId="0" borderId="0" xfId="52" applyFont="1"/>
    <xf numFmtId="2" fontId="0" fillId="15" borderId="136" xfId="0" applyNumberFormat="1" applyFill="1" applyBorder="1" applyProtection="1">
      <protection locked="0"/>
    </xf>
    <xf numFmtId="179" fontId="0" fillId="15" borderId="136" xfId="0" applyNumberFormat="1" applyFill="1" applyBorder="1" applyProtection="1">
      <protection locked="0"/>
    </xf>
    <xf numFmtId="2" fontId="0" fillId="15" borderId="154" xfId="0" applyNumberFormat="1" applyFill="1" applyBorder="1" applyProtection="1">
      <protection locked="0"/>
    </xf>
    <xf numFmtId="0" fontId="0" fillId="15" borderId="190" xfId="0" applyFill="1" applyBorder="1" applyProtection="1">
      <protection locked="0"/>
    </xf>
    <xf numFmtId="0" fontId="8" fillId="0" borderId="146" xfId="0" applyFont="1" applyBorder="1"/>
    <xf numFmtId="0" fontId="0" fillId="15" borderId="176" xfId="0" applyFill="1" applyBorder="1" applyProtection="1">
      <protection locked="0"/>
    </xf>
    <xf numFmtId="2" fontId="0" fillId="15" borderId="176" xfId="0" applyNumberFormat="1" applyFill="1" applyBorder="1" applyProtection="1">
      <protection locked="0"/>
    </xf>
    <xf numFmtId="173" fontId="46" fillId="0" borderId="0" xfId="5" applyNumberFormat="1" applyBorder="1" applyAlignment="1">
      <alignment vertical="center"/>
    </xf>
    <xf numFmtId="168" fontId="46" fillId="0" borderId="0" xfId="5" applyBorder="1"/>
    <xf numFmtId="182" fontId="46" fillId="0" borderId="143" xfId="5" applyNumberFormat="1" applyBorder="1"/>
    <xf numFmtId="0" fontId="18" fillId="0" borderId="139" xfId="0" applyFont="1" applyBorder="1"/>
    <xf numFmtId="164" fontId="0" fillId="0" borderId="146" xfId="0" applyNumberFormat="1" applyBorder="1"/>
    <xf numFmtId="0" fontId="0" fillId="15" borderId="189" xfId="0" applyFill="1" applyBorder="1" applyProtection="1">
      <protection locked="0"/>
    </xf>
    <xf numFmtId="169" fontId="46" fillId="15" borderId="190" xfId="37" applyFill="1" applyBorder="1" applyProtection="1">
      <protection locked="0"/>
    </xf>
    <xf numFmtId="164" fontId="0" fillId="0" borderId="147" xfId="0" applyNumberFormat="1" applyBorder="1"/>
    <xf numFmtId="0" fontId="0" fillId="21" borderId="136" xfId="0" applyFill="1" applyBorder="1"/>
    <xf numFmtId="0" fontId="0" fillId="15" borderId="136" xfId="0" applyFill="1" applyBorder="1" applyAlignment="1" applyProtection="1">
      <alignment horizontal="center" vertical="center"/>
      <protection locked="0"/>
    </xf>
    <xf numFmtId="2" fontId="0" fillId="15" borderId="190" xfId="0" applyNumberFormat="1" applyFill="1" applyBorder="1" applyProtection="1">
      <protection locked="0"/>
    </xf>
    <xf numFmtId="0" fontId="0" fillId="0" borderId="168" xfId="0" applyBorder="1"/>
    <xf numFmtId="173" fontId="46" fillId="0" borderId="142" xfId="5" applyNumberFormat="1" applyBorder="1"/>
    <xf numFmtId="179" fontId="46" fillId="15" borderId="136" xfId="37" applyNumberFormat="1" applyFill="1" applyBorder="1" applyProtection="1">
      <protection locked="0"/>
    </xf>
    <xf numFmtId="179" fontId="46" fillId="15" borderId="154" xfId="37" applyNumberFormat="1" applyFill="1" applyBorder="1" applyProtection="1">
      <protection locked="0"/>
    </xf>
    <xf numFmtId="1" fontId="0" fillId="0" borderId="189" xfId="0" applyNumberFormat="1" applyBorder="1" applyAlignment="1">
      <alignment horizontal="center" vertical="center"/>
    </xf>
    <xf numFmtId="0" fontId="0" fillId="15" borderId="238" xfId="0" applyFill="1" applyBorder="1" applyAlignment="1" applyProtection="1">
      <alignment horizontal="center" vertical="center"/>
      <protection locked="0"/>
    </xf>
    <xf numFmtId="0" fontId="0" fillId="0" borderId="168" xfId="0" applyBorder="1" applyAlignment="1">
      <alignment horizontal="center" vertical="center"/>
    </xf>
    <xf numFmtId="173" fontId="46" fillId="0" borderId="258" xfId="5" applyNumberFormat="1" applyBorder="1" applyAlignment="1">
      <alignment horizontal="center"/>
    </xf>
    <xf numFmtId="173" fontId="46" fillId="0" borderId="245" xfId="5" applyNumberFormat="1" applyBorder="1" applyAlignment="1">
      <alignment horizontal="left"/>
    </xf>
    <xf numFmtId="173" fontId="8" fillId="0" borderId="144" xfId="5" applyNumberFormat="1" applyFont="1" applyBorder="1"/>
    <xf numFmtId="185" fontId="7" fillId="0" borderId="144" xfId="0" applyNumberFormat="1" applyFont="1" applyBorder="1"/>
    <xf numFmtId="185" fontId="8" fillId="0" borderId="0" xfId="0" applyNumberFormat="1" applyFont="1"/>
    <xf numFmtId="179" fontId="0" fillId="0" borderId="0" xfId="0" applyNumberFormat="1" applyAlignment="1">
      <alignment horizontal="center" vertical="center"/>
    </xf>
    <xf numFmtId="0" fontId="0" fillId="0" borderId="143" xfId="0" applyBorder="1" applyAlignment="1">
      <alignment horizontal="center"/>
    </xf>
    <xf numFmtId="1" fontId="0" fillId="0" borderId="136" xfId="0" applyNumberFormat="1" applyBorder="1" applyProtection="1">
      <protection locked="0"/>
    </xf>
    <xf numFmtId="1" fontId="0" fillId="15" borderId="136" xfId="0" applyNumberFormat="1" applyFill="1" applyBorder="1" applyProtection="1">
      <protection locked="0"/>
    </xf>
    <xf numFmtId="1" fontId="46" fillId="15" borderId="136" xfId="29" applyNumberFormat="1" applyFill="1" applyBorder="1" applyProtection="1">
      <protection locked="0"/>
    </xf>
    <xf numFmtId="201" fontId="0" fillId="0" borderId="0" xfId="0" applyNumberFormat="1"/>
    <xf numFmtId="0" fontId="7" fillId="0" borderId="146" xfId="0" applyFont="1" applyBorder="1"/>
    <xf numFmtId="173" fontId="0" fillId="0" borderId="141" xfId="0" applyNumberFormat="1" applyBorder="1"/>
    <xf numFmtId="0" fontId="0" fillId="0" borderId="146" xfId="0" applyBorder="1" applyAlignment="1">
      <alignment vertical="center"/>
    </xf>
    <xf numFmtId="201" fontId="0" fillId="0" borderId="142" xfId="0" applyNumberFormat="1" applyBorder="1"/>
    <xf numFmtId="168" fontId="8" fillId="0" borderId="143" xfId="0" applyNumberFormat="1" applyFont="1" applyBorder="1" applyAlignment="1">
      <alignment horizontal="center" vertical="center"/>
    </xf>
    <xf numFmtId="179" fontId="0" fillId="0" borderId="136" xfId="0" applyNumberFormat="1" applyBorder="1" applyProtection="1">
      <protection locked="0"/>
    </xf>
    <xf numFmtId="173" fontId="46" fillId="0" borderId="179" xfId="5" applyNumberFormat="1" applyBorder="1"/>
    <xf numFmtId="173" fontId="46" fillId="0" borderId="179" xfId="5" applyNumberFormat="1" applyBorder="1" applyAlignment="1">
      <alignment vertical="center"/>
    </xf>
    <xf numFmtId="1" fontId="0" fillId="15" borderId="136" xfId="0" applyNumberFormat="1" applyFill="1" applyBorder="1" applyAlignment="1" applyProtection="1">
      <alignment horizontal="center" vertical="center"/>
      <protection locked="0"/>
    </xf>
    <xf numFmtId="169" fontId="0" fillId="0" borderId="180" xfId="0" applyNumberFormat="1" applyBorder="1" applyAlignment="1">
      <alignment vertical="center"/>
    </xf>
    <xf numFmtId="169" fontId="8" fillId="0" borderId="139" xfId="37" applyFont="1" applyBorder="1"/>
    <xf numFmtId="169" fontId="8" fillId="0" borderId="140" xfId="37" applyFont="1" applyBorder="1"/>
    <xf numFmtId="169" fontId="22" fillId="0" borderId="179" xfId="0" applyNumberFormat="1" applyFont="1" applyBorder="1" applyAlignment="1">
      <alignment vertical="center"/>
    </xf>
    <xf numFmtId="169" fontId="8" fillId="0" borderId="145" xfId="0" applyNumberFormat="1" applyFont="1" applyBorder="1"/>
    <xf numFmtId="190" fontId="0" fillId="26" borderId="136" xfId="0" applyNumberFormat="1" applyFill="1" applyBorder="1" applyAlignment="1">
      <alignment vertical="center" shrinkToFit="1"/>
    </xf>
    <xf numFmtId="169" fontId="8" fillId="0" borderId="140" xfId="0" applyNumberFormat="1" applyFont="1" applyBorder="1"/>
    <xf numFmtId="169" fontId="22" fillId="0" borderId="136" xfId="0" applyNumberFormat="1" applyFont="1" applyBorder="1" applyAlignment="1">
      <alignment vertical="center"/>
    </xf>
    <xf numFmtId="169" fontId="8" fillId="0" borderId="136" xfId="0" applyNumberFormat="1" applyFont="1" applyBorder="1"/>
    <xf numFmtId="185" fontId="13" fillId="22" borderId="136" xfId="37" applyNumberFormat="1" applyFont="1" applyFill="1" applyBorder="1" applyAlignment="1" applyProtection="1">
      <alignment horizontal="right"/>
      <protection locked="0"/>
    </xf>
    <xf numFmtId="202" fontId="13" fillId="16" borderId="29" xfId="37" applyNumberFormat="1" applyFont="1" applyFill="1" applyBorder="1" applyAlignment="1" applyProtection="1">
      <alignment horizontal="right"/>
    </xf>
    <xf numFmtId="0" fontId="13" fillId="0" borderId="0" xfId="0" applyFont="1" applyAlignment="1">
      <alignment horizontal="center" vertical="center" wrapText="1"/>
    </xf>
    <xf numFmtId="173" fontId="0" fillId="0" borderId="138" xfId="0" applyNumberFormat="1" applyBorder="1"/>
    <xf numFmtId="200" fontId="0" fillId="0" borderId="144" xfId="0" applyNumberFormat="1" applyBorder="1"/>
    <xf numFmtId="0" fontId="6" fillId="0" borderId="0" xfId="18" applyBorder="1" applyAlignment="1" applyProtection="1">
      <alignment horizontal="center" vertical="center" wrapText="1"/>
    </xf>
    <xf numFmtId="0" fontId="6" fillId="0" borderId="0" xfId="18" applyAlignment="1">
      <alignment horizontal="center" vertical="center"/>
    </xf>
    <xf numFmtId="169" fontId="15" fillId="2" borderId="2" xfId="37" applyFont="1" applyFill="1" applyBorder="1" applyAlignment="1" applyProtection="1">
      <alignment horizontal="center"/>
      <protection locked="0"/>
    </xf>
    <xf numFmtId="169" fontId="2" fillId="2" borderId="2" xfId="37" applyFont="1" applyFill="1" applyBorder="1" applyAlignment="1" applyProtection="1">
      <alignment horizontal="center"/>
      <protection locked="0"/>
    </xf>
    <xf numFmtId="3" fontId="15" fillId="0" borderId="142" xfId="0" applyNumberFormat="1" applyFont="1" applyBorder="1" applyAlignment="1">
      <alignment horizontal="left"/>
    </xf>
    <xf numFmtId="3" fontId="15" fillId="0" borderId="143" xfId="0" applyNumberFormat="1" applyFont="1" applyBorder="1" applyAlignment="1">
      <alignment horizontal="left"/>
    </xf>
    <xf numFmtId="169" fontId="77" fillId="16" borderId="2" xfId="46" applyFont="1" applyFill="1" applyBorder="1" applyAlignment="1" applyProtection="1">
      <alignment horizontal="center"/>
    </xf>
    <xf numFmtId="0" fontId="78" fillId="0" borderId="0" xfId="0" applyFont="1"/>
    <xf numFmtId="169" fontId="2" fillId="2" borderId="136" xfId="37" applyFont="1" applyFill="1" applyBorder="1" applyAlignment="1" applyProtection="1">
      <protection locked="0"/>
    </xf>
    <xf numFmtId="0" fontId="29" fillId="2" borderId="136" xfId="0" applyFont="1" applyFill="1" applyBorder="1" applyProtection="1">
      <protection locked="0"/>
    </xf>
    <xf numFmtId="0" fontId="29" fillId="2" borderId="136" xfId="0" applyFont="1" applyFill="1" applyBorder="1" applyAlignment="1" applyProtection="1">
      <alignment horizontal="center"/>
      <protection locked="0"/>
    </xf>
    <xf numFmtId="169" fontId="19" fillId="2" borderId="136" xfId="37" applyFont="1" applyFill="1" applyBorder="1" applyAlignment="1" applyProtection="1">
      <protection locked="0"/>
    </xf>
    <xf numFmtId="179" fontId="28" fillId="15" borderId="245" xfId="0" applyNumberFormat="1" applyFont="1" applyFill="1" applyBorder="1" applyAlignment="1" applyProtection="1">
      <alignment horizontal="center" vertical="center"/>
      <protection locked="0"/>
    </xf>
    <xf numFmtId="0" fontId="8" fillId="21" borderId="245" xfId="0" applyFont="1" applyFill="1" applyBorder="1" applyAlignment="1">
      <alignment horizontal="center" vertical="center"/>
    </xf>
    <xf numFmtId="1" fontId="3" fillId="21" borderId="46" xfId="0" applyNumberFormat="1" applyFont="1" applyFill="1" applyBorder="1" applyProtection="1">
      <protection locked="0"/>
    </xf>
    <xf numFmtId="169" fontId="16" fillId="0" borderId="26" xfId="37" applyFont="1" applyFill="1" applyBorder="1" applyAlignment="1" applyProtection="1"/>
    <xf numFmtId="0" fontId="5" fillId="0" borderId="143" xfId="0" applyFont="1" applyBorder="1"/>
    <xf numFmtId="0" fontId="3" fillId="2" borderId="161" xfId="0" applyFont="1" applyFill="1" applyBorder="1" applyAlignment="1" applyProtection="1">
      <alignment horizontal="center"/>
      <protection locked="0"/>
    </xf>
    <xf numFmtId="0" fontId="3" fillId="2" borderId="25" xfId="0" applyFont="1" applyFill="1" applyBorder="1" applyAlignment="1" applyProtection="1">
      <alignment horizontal="center"/>
      <protection locked="0"/>
    </xf>
    <xf numFmtId="0" fontId="3" fillId="16" borderId="25" xfId="0" applyFont="1" applyFill="1" applyBorder="1" applyAlignment="1">
      <alignment horizontal="center"/>
    </xf>
    <xf numFmtId="0" fontId="0" fillId="3" borderId="261" xfId="0" applyFill="1" applyBorder="1" applyAlignment="1">
      <alignment horizontal="center"/>
    </xf>
    <xf numFmtId="0" fontId="21" fillId="0" borderId="25" xfId="0" applyFont="1" applyBorder="1" applyAlignment="1">
      <alignment wrapText="1" shrinkToFit="1"/>
    </xf>
    <xf numFmtId="169" fontId="0" fillId="0" borderId="25" xfId="37" applyFont="1" applyFill="1" applyBorder="1" applyAlignment="1" applyProtection="1"/>
    <xf numFmtId="2" fontId="3" fillId="0" borderId="25" xfId="37" applyNumberFormat="1" applyFont="1" applyFill="1" applyBorder="1" applyAlignment="1" applyProtection="1"/>
    <xf numFmtId="0" fontId="3" fillId="0" borderId="261" xfId="0" applyFont="1" applyBorder="1" applyAlignment="1">
      <alignment horizontal="center"/>
    </xf>
    <xf numFmtId="1" fontId="3" fillId="21" borderId="261" xfId="0" applyNumberFormat="1" applyFont="1" applyFill="1" applyBorder="1" applyProtection="1">
      <protection locked="0"/>
    </xf>
    <xf numFmtId="0" fontId="0" fillId="0" borderId="262" xfId="0" applyBorder="1"/>
    <xf numFmtId="0" fontId="5" fillId="0" borderId="262" xfId="0" applyFont="1" applyBorder="1" applyAlignment="1">
      <alignment horizontal="center"/>
    </xf>
    <xf numFmtId="0" fontId="3" fillId="0" borderId="262" xfId="0" applyFont="1" applyBorder="1"/>
    <xf numFmtId="169" fontId="3" fillId="0" borderId="262" xfId="37" applyFont="1" applyFill="1" applyBorder="1" applyAlignment="1" applyProtection="1"/>
    <xf numFmtId="0" fontId="0" fillId="0" borderId="266" xfId="0" applyBorder="1"/>
    <xf numFmtId="0" fontId="8" fillId="21" borderId="260" xfId="0" applyFont="1" applyFill="1" applyBorder="1" applyAlignment="1">
      <alignment horizontal="center" vertical="center"/>
    </xf>
    <xf numFmtId="0" fontId="8" fillId="0" borderId="262" xfId="0" applyFont="1" applyBorder="1" applyAlignment="1">
      <alignment horizontal="center"/>
    </xf>
    <xf numFmtId="170" fontId="13" fillId="0" borderId="264" xfId="29" applyNumberFormat="1" applyFont="1" applyFill="1" applyBorder="1" applyAlignment="1" applyProtection="1"/>
    <xf numFmtId="170" fontId="13" fillId="0" borderId="262" xfId="29" applyNumberFormat="1" applyFont="1" applyFill="1" applyBorder="1" applyAlignment="1" applyProtection="1"/>
    <xf numFmtId="0" fontId="13" fillId="0" borderId="262" xfId="0" applyFont="1" applyBorder="1"/>
    <xf numFmtId="170" fontId="13" fillId="0" borderId="262" xfId="0" applyNumberFormat="1" applyFont="1" applyBorder="1"/>
    <xf numFmtId="0" fontId="19" fillId="0" borderId="262" xfId="0" applyFont="1" applyBorder="1"/>
    <xf numFmtId="0" fontId="5" fillId="0" borderId="268" xfId="0" applyFont="1" applyBorder="1"/>
    <xf numFmtId="169" fontId="13" fillId="0" borderId="267" xfId="0" applyNumberFormat="1" applyFont="1" applyBorder="1"/>
    <xf numFmtId="170" fontId="46" fillId="0" borderId="262" xfId="29" applyNumberFormat="1" applyFill="1" applyBorder="1" applyAlignment="1" applyProtection="1"/>
    <xf numFmtId="169" fontId="3" fillId="0" borderId="264" xfId="37" applyFont="1" applyFill="1" applyBorder="1" applyAlignment="1" applyProtection="1"/>
    <xf numFmtId="169" fontId="5" fillId="0" borderId="269" xfId="37" applyFont="1" applyFill="1" applyBorder="1" applyAlignment="1" applyProtection="1"/>
    <xf numFmtId="169" fontId="3" fillId="0" borderId="263" xfId="37" applyFont="1" applyFill="1" applyBorder="1" applyAlignment="1" applyProtection="1"/>
    <xf numFmtId="169" fontId="16" fillId="0" borderId="262" xfId="37" applyFont="1" applyFill="1" applyBorder="1" applyAlignment="1" applyProtection="1"/>
    <xf numFmtId="169" fontId="5" fillId="0" borderId="262" xfId="37" applyFont="1" applyFill="1" applyBorder="1" applyAlignment="1" applyProtection="1"/>
    <xf numFmtId="0" fontId="7" fillId="0" borderId="265" xfId="0" applyFont="1" applyBorder="1" applyAlignment="1">
      <alignment horizontal="center"/>
    </xf>
    <xf numFmtId="0" fontId="0" fillId="0" borderId="268" xfId="0" applyBorder="1"/>
    <xf numFmtId="171" fontId="46" fillId="0" borderId="262" xfId="29" applyBorder="1" applyAlignment="1">
      <alignment horizontal="center"/>
    </xf>
    <xf numFmtId="169" fontId="3" fillId="6" borderId="263" xfId="37" applyFont="1" applyFill="1" applyBorder="1" applyAlignment="1" applyProtection="1"/>
    <xf numFmtId="169" fontId="5" fillId="6" borderId="269" xfId="37" applyFont="1" applyFill="1" applyBorder="1" applyAlignment="1" applyProtection="1"/>
    <xf numFmtId="169" fontId="5" fillId="6" borderId="263" xfId="37" applyFont="1" applyFill="1" applyBorder="1" applyAlignment="1" applyProtection="1"/>
    <xf numFmtId="169" fontId="16" fillId="6" borderId="262" xfId="37" applyFont="1" applyFill="1" applyBorder="1" applyAlignment="1" applyProtection="1"/>
    <xf numFmtId="170" fontId="13" fillId="5" borderId="262" xfId="0" applyNumberFormat="1" applyFont="1" applyFill="1" applyBorder="1"/>
    <xf numFmtId="0" fontId="0" fillId="5" borderId="262" xfId="0" applyFill="1" applyBorder="1"/>
    <xf numFmtId="170" fontId="13" fillId="5" borderId="262" xfId="29" applyNumberFormat="1" applyFont="1" applyFill="1" applyBorder="1" applyAlignment="1" applyProtection="1"/>
    <xf numFmtId="175" fontId="0" fillId="0" borderId="267" xfId="0" applyNumberFormat="1" applyBorder="1"/>
    <xf numFmtId="0" fontId="16" fillId="16" borderId="24" xfId="0" applyFont="1" applyFill="1" applyBorder="1" applyAlignment="1" applyProtection="1">
      <alignment horizontal="center"/>
      <protection locked="0"/>
    </xf>
    <xf numFmtId="0" fontId="0" fillId="0" borderId="270" xfId="0" applyBorder="1"/>
    <xf numFmtId="0" fontId="28" fillId="15" borderId="164" xfId="0" applyFont="1" applyFill="1" applyBorder="1" applyAlignment="1" applyProtection="1">
      <alignment horizontal="center" vertical="center"/>
      <protection locked="0"/>
    </xf>
    <xf numFmtId="0" fontId="5" fillId="0" borderId="166" xfId="0" applyFont="1" applyBorder="1" applyAlignment="1">
      <alignment horizontal="left"/>
    </xf>
    <xf numFmtId="0" fontId="28" fillId="0" borderId="179" xfId="0" applyFont="1" applyBorder="1" applyAlignment="1">
      <alignment horizontal="center"/>
    </xf>
    <xf numFmtId="2" fontId="28" fillId="3" borderId="271" xfId="0" applyNumberFormat="1" applyFont="1" applyFill="1" applyBorder="1" applyAlignment="1">
      <alignment horizontal="center"/>
    </xf>
    <xf numFmtId="0" fontId="0" fillId="20" borderId="140" xfId="0" applyFill="1" applyBorder="1"/>
    <xf numFmtId="0" fontId="8" fillId="20" borderId="137" xfId="0" applyFont="1" applyFill="1" applyBorder="1" applyAlignment="1">
      <alignment horizontal="center" vertical="center"/>
    </xf>
    <xf numFmtId="171" fontId="8" fillId="20" borderId="0" xfId="29" applyFont="1" applyFill="1" applyBorder="1" applyAlignment="1">
      <alignment horizontal="center" vertical="center"/>
    </xf>
    <xf numFmtId="171" fontId="46" fillId="20" borderId="264" xfId="29" applyFill="1" applyBorder="1" applyAlignment="1">
      <alignment horizontal="center"/>
    </xf>
    <xf numFmtId="171" fontId="8" fillId="20" borderId="0" xfId="0" applyNumberFormat="1" applyFont="1" applyFill="1" applyAlignment="1">
      <alignment horizontal="center" vertical="center"/>
    </xf>
    <xf numFmtId="2" fontId="8" fillId="20" borderId="262" xfId="0" applyNumberFormat="1" applyFont="1" applyFill="1" applyBorder="1" applyAlignment="1">
      <alignment horizontal="center" vertical="center"/>
    </xf>
    <xf numFmtId="0" fontId="0" fillId="20" borderId="262" xfId="0" applyFill="1" applyBorder="1" applyAlignment="1">
      <alignment horizontal="center"/>
    </xf>
    <xf numFmtId="0" fontId="13" fillId="0" borderId="42" xfId="0" applyFont="1" applyBorder="1" applyAlignment="1">
      <alignment horizontal="right"/>
    </xf>
    <xf numFmtId="185" fontId="0" fillId="0" borderId="25" xfId="37" applyNumberFormat="1" applyFont="1" applyFill="1" applyBorder="1" applyAlignment="1" applyProtection="1"/>
    <xf numFmtId="185" fontId="0" fillId="0" borderId="2" xfId="37" applyNumberFormat="1" applyFont="1" applyFill="1" applyBorder="1" applyAlignment="1" applyProtection="1"/>
    <xf numFmtId="185" fontId="2" fillId="3" borderId="2" xfId="37" applyNumberFormat="1" applyFont="1" applyFill="1" applyBorder="1" applyAlignment="1" applyProtection="1"/>
    <xf numFmtId="0" fontId="72" fillId="21" borderId="272" xfId="0" applyFont="1" applyFill="1" applyBorder="1" applyAlignment="1">
      <alignment horizontal="left" vertical="center"/>
    </xf>
    <xf numFmtId="169" fontId="8" fillId="0" borderId="0" xfId="0" applyNumberFormat="1" applyFont="1" applyAlignment="1">
      <alignment vertical="center"/>
    </xf>
    <xf numFmtId="1" fontId="3" fillId="2" borderId="2" xfId="0" applyNumberFormat="1" applyFont="1" applyFill="1" applyBorder="1" applyAlignment="1" applyProtection="1">
      <alignment horizontal="center"/>
      <protection locked="0"/>
    </xf>
    <xf numFmtId="0" fontId="8" fillId="0" borderId="259" xfId="0" applyFont="1" applyBorder="1"/>
    <xf numFmtId="0" fontId="16" fillId="3" borderId="66" xfId="0" applyFont="1" applyFill="1" applyBorder="1" applyAlignment="1">
      <alignment horizontal="center"/>
    </xf>
    <xf numFmtId="193" fontId="46" fillId="0" borderId="56" xfId="5" applyNumberFormat="1" applyBorder="1" applyAlignment="1">
      <alignment horizontal="center"/>
    </xf>
    <xf numFmtId="1" fontId="0" fillId="0" borderId="141" xfId="0" applyNumberFormat="1" applyBorder="1"/>
    <xf numFmtId="169" fontId="46" fillId="0" borderId="142" xfId="37" applyBorder="1"/>
    <xf numFmtId="169" fontId="46" fillId="0" borderId="139" xfId="37" applyBorder="1"/>
    <xf numFmtId="185" fontId="3" fillId="0" borderId="2" xfId="37" applyNumberFormat="1" applyFont="1" applyFill="1" applyBorder="1" applyAlignment="1" applyProtection="1"/>
    <xf numFmtId="185" fontId="5" fillId="0" borderId="2" xfId="37" applyNumberFormat="1" applyFont="1" applyFill="1" applyBorder="1" applyAlignment="1" applyProtection="1"/>
    <xf numFmtId="185" fontId="5" fillId="0" borderId="263" xfId="37" applyNumberFormat="1" applyFont="1" applyFill="1" applyBorder="1" applyAlignment="1" applyProtection="1"/>
    <xf numFmtId="0" fontId="76" fillId="2" borderId="161" xfId="0" applyFont="1" applyFill="1" applyBorder="1" applyAlignment="1" applyProtection="1">
      <alignment horizontal="center"/>
      <protection locked="0"/>
    </xf>
    <xf numFmtId="0" fontId="29" fillId="2" borderId="155" xfId="0" applyFont="1" applyFill="1" applyBorder="1" applyProtection="1">
      <protection locked="0"/>
    </xf>
    <xf numFmtId="0" fontId="29" fillId="2" borderId="155" xfId="0" applyFont="1" applyFill="1" applyBorder="1" applyAlignment="1" applyProtection="1">
      <alignment horizontal="center"/>
      <protection locked="0"/>
    </xf>
    <xf numFmtId="169" fontId="19" fillId="2" borderId="155" xfId="37" applyFont="1" applyFill="1" applyBorder="1" applyAlignment="1" applyProtection="1">
      <protection locked="0"/>
    </xf>
    <xf numFmtId="169" fontId="3" fillId="0" borderId="273" xfId="37" applyFont="1" applyFill="1" applyBorder="1" applyAlignment="1" applyProtection="1"/>
    <xf numFmtId="170" fontId="13" fillId="0" borderId="273" xfId="29" applyNumberFormat="1" applyFont="1" applyFill="1" applyBorder="1" applyAlignment="1" applyProtection="1"/>
    <xf numFmtId="0" fontId="76" fillId="2" borderId="187" xfId="0" applyFont="1" applyFill="1" applyBorder="1" applyAlignment="1" applyProtection="1">
      <alignment horizontal="center"/>
      <protection locked="0"/>
    </xf>
    <xf numFmtId="169" fontId="3" fillId="6" borderId="269" xfId="37" applyFont="1" applyFill="1" applyBorder="1" applyAlignment="1" applyProtection="1"/>
    <xf numFmtId="0" fontId="3" fillId="2" borderId="274" xfId="0" applyFont="1" applyFill="1" applyBorder="1" applyProtection="1">
      <protection locked="0"/>
    </xf>
    <xf numFmtId="169" fontId="3" fillId="0" borderId="275" xfId="37" applyFont="1" applyFill="1" applyBorder="1" applyAlignment="1" applyProtection="1"/>
    <xf numFmtId="170" fontId="13" fillId="0" borderId="275" xfId="29" applyNumberFormat="1" applyFont="1" applyFill="1" applyBorder="1" applyAlignment="1" applyProtection="1"/>
    <xf numFmtId="0" fontId="0" fillId="0" borderId="277" xfId="0" applyBorder="1"/>
    <xf numFmtId="169" fontId="3" fillId="6" borderId="278" xfId="37" applyFont="1" applyFill="1" applyBorder="1" applyAlignment="1" applyProtection="1"/>
    <xf numFmtId="0" fontId="3" fillId="2" borderId="155" xfId="0" applyFont="1" applyFill="1" applyBorder="1" applyProtection="1">
      <protection locked="0"/>
    </xf>
    <xf numFmtId="0" fontId="3" fillId="2" borderId="155" xfId="0" applyFont="1" applyFill="1" applyBorder="1" applyAlignment="1" applyProtection="1">
      <alignment horizontal="center"/>
      <protection locked="0"/>
    </xf>
    <xf numFmtId="169" fontId="2" fillId="2" borderId="155" xfId="37" applyFont="1" applyFill="1" applyBorder="1" applyAlignment="1" applyProtection="1">
      <protection locked="0"/>
    </xf>
    <xf numFmtId="0" fontId="3" fillId="2" borderId="187" xfId="0" applyFont="1" applyFill="1" applyBorder="1" applyAlignment="1" applyProtection="1">
      <alignment horizontal="center"/>
      <protection locked="0"/>
    </xf>
    <xf numFmtId="169" fontId="3" fillId="2" borderId="155" xfId="37" applyFont="1" applyFill="1" applyBorder="1" applyAlignment="1" applyProtection="1">
      <protection locked="0"/>
    </xf>
    <xf numFmtId="0" fontId="29" fillId="2" borderId="274" xfId="0" applyFont="1" applyFill="1" applyBorder="1" applyProtection="1">
      <protection locked="0"/>
    </xf>
    <xf numFmtId="0" fontId="29" fillId="2" borderId="274" xfId="0" applyFont="1" applyFill="1" applyBorder="1" applyAlignment="1" applyProtection="1">
      <alignment horizontal="center"/>
      <protection locked="0"/>
    </xf>
    <xf numFmtId="169" fontId="19" fillId="2" borderId="274" xfId="37" applyFont="1" applyFill="1" applyBorder="1" applyAlignment="1" applyProtection="1">
      <protection locked="0"/>
    </xf>
    <xf numFmtId="0" fontId="76" fillId="2" borderId="276" xfId="0" applyFont="1" applyFill="1" applyBorder="1" applyAlignment="1" applyProtection="1">
      <alignment horizontal="center"/>
      <protection locked="0"/>
    </xf>
    <xf numFmtId="0" fontId="3" fillId="2" borderId="151" xfId="0" applyFont="1" applyFill="1" applyBorder="1" applyAlignment="1" applyProtection="1">
      <alignment horizontal="center"/>
      <protection locked="0"/>
    </xf>
    <xf numFmtId="0" fontId="3" fillId="2" borderId="279" xfId="0" applyFont="1" applyFill="1" applyBorder="1" applyAlignment="1" applyProtection="1">
      <alignment horizontal="center"/>
      <protection locked="0"/>
    </xf>
    <xf numFmtId="169" fontId="2" fillId="2" borderId="161" xfId="37" applyFont="1" applyFill="1" applyBorder="1" applyAlignment="1" applyProtection="1">
      <protection locked="0"/>
    </xf>
    <xf numFmtId="169" fontId="2" fillId="2" borderId="276" xfId="37" applyFont="1" applyFill="1" applyBorder="1" applyAlignment="1" applyProtection="1">
      <protection locked="0"/>
    </xf>
    <xf numFmtId="173" fontId="3" fillId="2" borderId="244" xfId="5" applyNumberFormat="1" applyFont="1" applyFill="1" applyBorder="1" applyAlignment="1" applyProtection="1">
      <protection locked="0"/>
    </xf>
    <xf numFmtId="173" fontId="3" fillId="2" borderId="258" xfId="5" applyNumberFormat="1" applyFont="1" applyFill="1" applyBorder="1" applyAlignment="1" applyProtection="1">
      <protection locked="0"/>
    </xf>
    <xf numFmtId="173" fontId="3" fillId="2" borderId="245" xfId="5" applyNumberFormat="1" applyFont="1" applyFill="1" applyBorder="1" applyAlignment="1" applyProtection="1">
      <protection locked="0"/>
    </xf>
    <xf numFmtId="0" fontId="3" fillId="2" borderId="191" xfId="0" applyFont="1" applyFill="1" applyBorder="1" applyAlignment="1" applyProtection="1">
      <alignment horizontal="center"/>
      <protection locked="0"/>
    </xf>
    <xf numFmtId="0" fontId="3" fillId="2" borderId="280" xfId="0" applyFont="1" applyFill="1" applyBorder="1" applyAlignment="1" applyProtection="1">
      <alignment horizontal="center"/>
      <protection locked="0"/>
    </xf>
    <xf numFmtId="169" fontId="3" fillId="2" borderId="161" xfId="37" applyFont="1" applyFill="1" applyBorder="1" applyAlignment="1" applyProtection="1">
      <protection locked="0"/>
    </xf>
    <xf numFmtId="0" fontId="46" fillId="0" borderId="142" xfId="37" applyNumberFormat="1" applyBorder="1"/>
    <xf numFmtId="0" fontId="8" fillId="15" borderId="245" xfId="0" applyFont="1" applyFill="1" applyBorder="1" applyAlignment="1" applyProtection="1">
      <alignment horizontal="center" vertical="center"/>
      <protection locked="0"/>
    </xf>
    <xf numFmtId="3" fontId="0" fillId="0" borderId="0" xfId="0" applyNumberFormat="1" applyAlignment="1">
      <alignment horizontal="left"/>
    </xf>
    <xf numFmtId="169" fontId="3" fillId="0" borderId="136" xfId="37" applyFont="1" applyFill="1" applyBorder="1" applyAlignment="1" applyProtection="1"/>
    <xf numFmtId="0" fontId="29" fillId="2" borderId="31" xfId="0" applyFont="1" applyFill="1" applyBorder="1" applyProtection="1">
      <protection locked="0"/>
    </xf>
    <xf numFmtId="0" fontId="20" fillId="2" borderId="28" xfId="0" applyFont="1" applyFill="1" applyBorder="1" applyProtection="1">
      <protection locked="0"/>
    </xf>
    <xf numFmtId="0" fontId="29" fillId="2" borderId="29" xfId="0" applyFont="1" applyFill="1" applyBorder="1" applyAlignment="1" applyProtection="1">
      <alignment horizontal="center"/>
      <protection locked="0"/>
    </xf>
    <xf numFmtId="183" fontId="29" fillId="2" borderId="281" xfId="37" applyNumberFormat="1" applyFont="1" applyFill="1" applyBorder="1" applyAlignment="1" applyProtection="1">
      <protection locked="0"/>
    </xf>
    <xf numFmtId="169" fontId="3" fillId="6" borderId="136" xfId="37" applyFont="1" applyFill="1" applyBorder="1" applyAlignment="1" applyProtection="1"/>
    <xf numFmtId="0" fontId="3" fillId="2" borderId="274" xfId="0" applyFont="1" applyFill="1" applyBorder="1" applyAlignment="1" applyProtection="1">
      <alignment horizontal="center"/>
      <protection locked="0"/>
    </xf>
    <xf numFmtId="3" fontId="5" fillId="2" borderId="274" xfId="0" applyNumberFormat="1" applyFont="1" applyFill="1" applyBorder="1" applyProtection="1">
      <protection locked="0"/>
    </xf>
    <xf numFmtId="169" fontId="3" fillId="2" borderId="274" xfId="37" applyFont="1" applyFill="1" applyBorder="1" applyAlignment="1" applyProtection="1">
      <protection locked="0"/>
    </xf>
    <xf numFmtId="169" fontId="3" fillId="0" borderId="274" xfId="37" applyFont="1" applyFill="1" applyBorder="1" applyAlignment="1" applyProtection="1"/>
    <xf numFmtId="170" fontId="13" fillId="0" borderId="274" xfId="29" applyNumberFormat="1" applyFont="1" applyFill="1" applyBorder="1" applyAlignment="1" applyProtection="1"/>
    <xf numFmtId="0" fontId="15" fillId="0" borderId="0" xfId="0" applyFont="1" applyAlignment="1">
      <alignment horizontal="left"/>
    </xf>
    <xf numFmtId="179" fontId="8" fillId="0" borderId="0" xfId="29" applyNumberFormat="1" applyFont="1" applyAlignment="1">
      <alignment horizontal="center"/>
    </xf>
    <xf numFmtId="169" fontId="3" fillId="0" borderId="155" xfId="37" applyFont="1" applyFill="1" applyBorder="1" applyAlignment="1" applyProtection="1"/>
    <xf numFmtId="3" fontId="8" fillId="0" borderId="144" xfId="0" applyNumberFormat="1" applyFont="1" applyBorder="1"/>
    <xf numFmtId="1" fontId="0" fillId="0" borderId="0" xfId="0" applyNumberFormat="1" applyAlignment="1">
      <alignment horizontal="left" vertical="center"/>
    </xf>
    <xf numFmtId="185" fontId="3" fillId="2" borderId="224" xfId="37" applyNumberFormat="1" applyFont="1" applyFill="1" applyBorder="1" applyAlignment="1" applyProtection="1">
      <alignment horizontal="center"/>
      <protection locked="0"/>
    </xf>
    <xf numFmtId="185" fontId="14" fillId="0" borderId="44" xfId="37" applyNumberFormat="1" applyFont="1" applyFill="1" applyBorder="1" applyAlignment="1" applyProtection="1">
      <alignment horizontal="left" indent="3"/>
    </xf>
    <xf numFmtId="185" fontId="14" fillId="0" borderId="2" xfId="37" applyNumberFormat="1" applyFont="1" applyFill="1" applyBorder="1" applyAlignment="1" applyProtection="1">
      <alignment horizontal="left" indent="3"/>
    </xf>
    <xf numFmtId="185" fontId="3" fillId="0" borderId="227" xfId="37" applyNumberFormat="1" applyFont="1" applyFill="1" applyBorder="1" applyAlignment="1" applyProtection="1"/>
    <xf numFmtId="181" fontId="8" fillId="0" borderId="144" xfId="37" applyNumberFormat="1" applyFont="1" applyFill="1" applyBorder="1" applyAlignment="1" applyProtection="1"/>
    <xf numFmtId="0" fontId="0" fillId="0" borderId="0" xfId="0" applyAlignment="1">
      <alignment vertical="center" wrapText="1"/>
    </xf>
    <xf numFmtId="0" fontId="20" fillId="2" borderId="66" xfId="0" applyFont="1" applyFill="1" applyBorder="1" applyProtection="1">
      <protection locked="0"/>
    </xf>
    <xf numFmtId="0" fontId="29" fillId="2" borderId="221" xfId="0" applyFont="1" applyFill="1" applyBorder="1" applyAlignment="1" applyProtection="1">
      <alignment horizontal="center"/>
      <protection locked="0"/>
    </xf>
    <xf numFmtId="0" fontId="29" fillId="2" borderId="282" xfId="0" applyFont="1" applyFill="1" applyBorder="1" applyProtection="1">
      <protection locked="0"/>
    </xf>
    <xf numFmtId="169" fontId="29" fillId="2" borderId="71" xfId="37" applyFont="1" applyFill="1" applyBorder="1" applyAlignment="1" applyProtection="1">
      <protection locked="0"/>
    </xf>
    <xf numFmtId="169" fontId="3" fillId="0" borderId="154" xfId="37" applyFont="1" applyFill="1" applyBorder="1" applyAlignment="1" applyProtection="1"/>
    <xf numFmtId="0" fontId="29" fillId="2" borderId="283" xfId="0" applyFont="1" applyFill="1" applyBorder="1" applyProtection="1">
      <protection locked="0"/>
    </xf>
    <xf numFmtId="0" fontId="20" fillId="2" borderId="284" xfId="0" applyFont="1" applyFill="1" applyBorder="1" applyProtection="1">
      <protection locked="0"/>
    </xf>
    <xf numFmtId="0" fontId="29" fillId="2" borderId="285" xfId="0" applyFont="1" applyFill="1" applyBorder="1" applyAlignment="1" applyProtection="1">
      <alignment horizontal="center"/>
      <protection locked="0"/>
    </xf>
    <xf numFmtId="0" fontId="29" fillId="2" borderId="286" xfId="0" applyFont="1" applyFill="1" applyBorder="1" applyProtection="1">
      <protection locked="0"/>
    </xf>
    <xf numFmtId="169" fontId="29" fillId="2" borderId="287" xfId="37" applyFont="1" applyFill="1" applyBorder="1" applyAlignment="1" applyProtection="1">
      <protection locked="0"/>
    </xf>
    <xf numFmtId="170" fontId="13" fillId="0" borderId="288" xfId="29" applyNumberFormat="1" applyFont="1" applyFill="1" applyBorder="1" applyAlignment="1" applyProtection="1"/>
    <xf numFmtId="169" fontId="3" fillId="6" borderId="155" xfId="37" applyFont="1" applyFill="1" applyBorder="1" applyAlignment="1" applyProtection="1"/>
    <xf numFmtId="169" fontId="3" fillId="6" borderId="289" xfId="37" applyFont="1" applyFill="1" applyBorder="1" applyAlignment="1" applyProtection="1"/>
    <xf numFmtId="171" fontId="14" fillId="0" borderId="0" xfId="0" applyNumberFormat="1" applyFont="1" applyAlignment="1">
      <alignment horizontal="left"/>
    </xf>
    <xf numFmtId="3" fontId="5" fillId="2" borderId="155" xfId="0" applyNumberFormat="1" applyFont="1" applyFill="1" applyBorder="1" applyProtection="1">
      <protection locked="0"/>
    </xf>
    <xf numFmtId="170" fontId="13" fillId="0" borderId="155" xfId="29" applyNumberFormat="1" applyFont="1" applyFill="1" applyBorder="1" applyAlignment="1" applyProtection="1"/>
    <xf numFmtId="169" fontId="3" fillId="6" borderId="274" xfId="37" applyFont="1" applyFill="1" applyBorder="1" applyAlignment="1" applyProtection="1"/>
    <xf numFmtId="185" fontId="5" fillId="0" borderId="0" xfId="37" applyNumberFormat="1" applyFont="1"/>
    <xf numFmtId="164" fontId="0" fillId="0" borderId="141" xfId="0" applyNumberFormat="1" applyBorder="1"/>
    <xf numFmtId="185" fontId="3" fillId="2" borderId="2" xfId="37" applyNumberFormat="1" applyFont="1" applyFill="1" applyBorder="1" applyAlignment="1" applyProtection="1">
      <alignment horizontal="center"/>
      <protection locked="0"/>
    </xf>
    <xf numFmtId="1" fontId="5" fillId="0" borderId="137" xfId="0" applyNumberFormat="1" applyFont="1" applyBorder="1" applyAlignment="1">
      <alignment horizontal="center"/>
    </xf>
    <xf numFmtId="1" fontId="5" fillId="0" borderId="136" xfId="0" applyNumberFormat="1" applyFont="1" applyBorder="1" applyAlignment="1">
      <alignment horizontal="center"/>
    </xf>
    <xf numFmtId="185" fontId="13" fillId="0" borderId="0" xfId="22" applyNumberFormat="1" applyFont="1"/>
    <xf numFmtId="185" fontId="46" fillId="0" borderId="0" xfId="22" applyNumberFormat="1"/>
    <xf numFmtId="185" fontId="8" fillId="0" borderId="0" xfId="22" applyNumberFormat="1" applyFont="1"/>
    <xf numFmtId="185" fontId="62" fillId="0" borderId="0" xfId="22" applyNumberFormat="1" applyFont="1"/>
    <xf numFmtId="185" fontId="61" fillId="0" borderId="0" xfId="22" applyNumberFormat="1" applyFont="1"/>
    <xf numFmtId="185" fontId="0" fillId="3" borderId="0" xfId="22" applyNumberFormat="1" applyFont="1" applyFill="1" applyAlignment="1">
      <alignment horizontal="center"/>
    </xf>
    <xf numFmtId="0" fontId="9" fillId="0" borderId="139" xfId="0" applyFont="1" applyBorder="1" applyAlignment="1">
      <alignment horizontal="center" vertical="center" wrapText="1"/>
    </xf>
    <xf numFmtId="0" fontId="0" fillId="0" borderId="141" xfId="0" applyBorder="1" applyAlignment="1">
      <alignment wrapText="1"/>
    </xf>
    <xf numFmtId="0" fontId="13" fillId="0" borderId="146" xfId="0" applyFont="1" applyBorder="1" applyAlignment="1">
      <alignment horizontal="center" vertical="center"/>
    </xf>
    <xf numFmtId="0" fontId="2" fillId="0" borderId="0" xfId="22" applyFont="1"/>
    <xf numFmtId="0" fontId="13" fillId="12" borderId="152" xfId="25" applyFont="1" applyFill="1" applyBorder="1" applyProtection="1">
      <protection locked="0"/>
    </xf>
    <xf numFmtId="0" fontId="2" fillId="0" borderId="0" xfId="25" applyAlignment="1">
      <alignment horizontal="center"/>
    </xf>
    <xf numFmtId="0" fontId="8" fillId="0" borderId="0" xfId="0" applyFont="1" applyAlignment="1" applyProtection="1">
      <alignment horizontal="left"/>
      <protection locked="0"/>
    </xf>
    <xf numFmtId="0" fontId="8" fillId="15" borderId="244" xfId="0" applyFont="1" applyFill="1" applyBorder="1" applyAlignment="1" applyProtection="1">
      <alignment horizontal="center" vertical="center"/>
      <protection locked="0"/>
    </xf>
    <xf numFmtId="0" fontId="13" fillId="0" borderId="4" xfId="22" applyFont="1" applyBorder="1"/>
    <xf numFmtId="164" fontId="0" fillId="16" borderId="2" xfId="0" applyNumberFormat="1" applyFill="1" applyBorder="1" applyAlignment="1">
      <alignment horizontal="center"/>
    </xf>
    <xf numFmtId="185" fontId="46" fillId="16" borderId="30" xfId="37" applyNumberFormat="1" applyFill="1" applyBorder="1" applyAlignment="1" applyProtection="1">
      <alignment horizontal="right"/>
    </xf>
    <xf numFmtId="1" fontId="9" fillId="3" borderId="30" xfId="20" applyNumberFormat="1" applyFont="1" applyFill="1" applyBorder="1" applyAlignment="1">
      <alignment horizontal="center" vertical="center"/>
    </xf>
    <xf numFmtId="0" fontId="0" fillId="0" borderId="0" xfId="25" applyFont="1" applyAlignment="1">
      <alignment wrapText="1" shrinkToFit="1"/>
    </xf>
    <xf numFmtId="2" fontId="46" fillId="0" borderId="0" xfId="37" applyNumberFormat="1"/>
    <xf numFmtId="169" fontId="46" fillId="12" borderId="136" xfId="37" applyFill="1" applyBorder="1" applyAlignment="1" applyProtection="1">
      <alignment horizontal="center"/>
      <protection locked="0"/>
    </xf>
    <xf numFmtId="0" fontId="8" fillId="0" borderId="136" xfId="52" applyFont="1" applyBorder="1" applyAlignment="1">
      <alignment horizontal="center" vertical="center"/>
    </xf>
    <xf numFmtId="169" fontId="8" fillId="0" borderId="0" xfId="52" applyNumberFormat="1" applyFont="1"/>
    <xf numFmtId="2" fontId="0" fillId="12" borderId="136" xfId="14" applyNumberFormat="1" applyFont="1" applyFill="1" applyBorder="1" applyAlignment="1" applyProtection="1">
      <alignment horizontal="center"/>
      <protection locked="0"/>
    </xf>
    <xf numFmtId="164" fontId="0" fillId="0" borderId="163" xfId="0" applyNumberFormat="1" applyBorder="1"/>
    <xf numFmtId="171" fontId="46" fillId="0" borderId="163" xfId="29" applyBorder="1" applyAlignment="1">
      <alignment horizontal="center" vertical="center"/>
    </xf>
    <xf numFmtId="170" fontId="8" fillId="0" borderId="0" xfId="29" applyNumberFormat="1" applyFont="1" applyFill="1" applyBorder="1" applyAlignment="1" applyProtection="1">
      <alignment horizontal="center" vertical="center"/>
    </xf>
    <xf numFmtId="0" fontId="8" fillId="0" borderId="213" xfId="0" applyFont="1" applyBorder="1"/>
    <xf numFmtId="0" fontId="14" fillId="0" borderId="42" xfId="0" applyFont="1" applyBorder="1"/>
    <xf numFmtId="1" fontId="28" fillId="17" borderId="229" xfId="0" applyNumberFormat="1" applyFont="1" applyFill="1" applyBorder="1" applyAlignment="1">
      <alignment horizontal="center"/>
    </xf>
    <xf numFmtId="3" fontId="14" fillId="0" borderId="141" xfId="0" applyNumberFormat="1" applyFont="1" applyBorder="1" applyAlignment="1">
      <alignment horizontal="left"/>
    </xf>
    <xf numFmtId="3" fontId="14" fillId="0" borderId="143" xfId="0" applyNumberFormat="1" applyFont="1" applyBorder="1" applyAlignment="1">
      <alignment horizontal="left"/>
    </xf>
    <xf numFmtId="0" fontId="14" fillId="0" borderId="147" xfId="0" applyFont="1" applyBorder="1"/>
    <xf numFmtId="1" fontId="14" fillId="0" borderId="142" xfId="0" applyNumberFormat="1" applyFont="1" applyBorder="1" applyAlignment="1">
      <alignment horizontal="left" vertical="top"/>
    </xf>
    <xf numFmtId="0" fontId="14" fillId="0" borderId="143" xfId="0" applyFont="1" applyBorder="1"/>
    <xf numFmtId="1" fontId="14" fillId="0" borderId="143" xfId="0" applyNumberFormat="1" applyFont="1" applyBorder="1"/>
    <xf numFmtId="0" fontId="0" fillId="30" borderId="138" xfId="0" applyFill="1" applyBorder="1" applyAlignment="1">
      <alignment horizontal="center" vertical="top"/>
    </xf>
    <xf numFmtId="179" fontId="8" fillId="0" borderId="0" xfId="0" applyNumberFormat="1" applyFont="1"/>
    <xf numFmtId="0" fontId="8" fillId="21" borderId="143" xfId="0" applyFont="1" applyFill="1" applyBorder="1" applyAlignment="1">
      <alignment horizontal="center" vertical="center"/>
    </xf>
    <xf numFmtId="0" fontId="3" fillId="2" borderId="178" xfId="0" applyFont="1" applyFill="1" applyBorder="1" applyAlignment="1" applyProtection="1">
      <alignment horizontal="center"/>
      <protection locked="0"/>
    </xf>
    <xf numFmtId="0" fontId="3" fillId="0" borderId="236" xfId="0" applyFont="1" applyBorder="1" applyAlignment="1">
      <alignment horizontal="center"/>
    </xf>
    <xf numFmtId="1" fontId="3" fillId="21" borderId="45" xfId="0" applyNumberFormat="1" applyFont="1" applyFill="1" applyBorder="1" applyProtection="1">
      <protection locked="0"/>
    </xf>
    <xf numFmtId="0" fontId="8" fillId="21" borderId="0" xfId="0" applyFont="1" applyFill="1" applyAlignment="1">
      <alignment horizontal="center" vertical="center"/>
    </xf>
    <xf numFmtId="0" fontId="76" fillId="2" borderId="178" xfId="0" applyFont="1" applyFill="1" applyBorder="1" applyAlignment="1" applyProtection="1">
      <alignment horizontal="center"/>
      <protection locked="0"/>
    </xf>
    <xf numFmtId="0" fontId="76" fillId="2" borderId="191" xfId="0" applyFont="1" applyFill="1" applyBorder="1" applyAlignment="1" applyProtection="1">
      <alignment horizontal="center"/>
      <protection locked="0"/>
    </xf>
    <xf numFmtId="0" fontId="76" fillId="2" borderId="280" xfId="0" applyFont="1" applyFill="1" applyBorder="1" applyAlignment="1" applyProtection="1">
      <alignment horizontal="center"/>
      <protection locked="0"/>
    </xf>
    <xf numFmtId="0" fontId="29" fillId="2" borderId="187" xfId="0" applyFont="1" applyFill="1" applyBorder="1" applyProtection="1">
      <protection locked="0"/>
    </xf>
    <xf numFmtId="0" fontId="29" fillId="2" borderId="161" xfId="0" applyFont="1" applyFill="1" applyBorder="1" applyProtection="1">
      <protection locked="0"/>
    </xf>
    <xf numFmtId="0" fontId="29" fillId="2" borderId="276" xfId="0" applyFont="1" applyFill="1" applyBorder="1" applyProtection="1">
      <protection locked="0"/>
    </xf>
    <xf numFmtId="0" fontId="3" fillId="2" borderId="187" xfId="0" applyFont="1" applyFill="1" applyBorder="1" applyProtection="1">
      <protection locked="0"/>
    </xf>
    <xf numFmtId="0" fontId="3" fillId="2" borderId="161" xfId="0" applyFont="1" applyFill="1" applyBorder="1" applyProtection="1">
      <protection locked="0"/>
    </xf>
    <xf numFmtId="0" fontId="76" fillId="2" borderId="136" xfId="0" applyFont="1" applyFill="1" applyBorder="1" applyAlignment="1" applyProtection="1">
      <alignment horizontal="center"/>
      <protection locked="0"/>
    </xf>
    <xf numFmtId="9" fontId="0" fillId="2" borderId="25" xfId="0" applyNumberFormat="1" applyFill="1" applyBorder="1" applyAlignment="1" applyProtection="1">
      <alignment horizontal="center"/>
      <protection locked="0"/>
    </xf>
    <xf numFmtId="0" fontId="5" fillId="0" borderId="144" xfId="0" applyFont="1" applyBorder="1" applyAlignment="1">
      <alignment horizontal="center"/>
    </xf>
    <xf numFmtId="0" fontId="3" fillId="2" borderId="290" xfId="0" applyFont="1" applyFill="1" applyBorder="1" applyAlignment="1" applyProtection="1">
      <alignment horizontal="center"/>
      <protection locked="0"/>
    </xf>
    <xf numFmtId="0" fontId="76" fillId="2" borderId="155" xfId="0" applyFont="1" applyFill="1" applyBorder="1" applyAlignment="1" applyProtection="1">
      <alignment horizontal="center"/>
      <protection locked="0"/>
    </xf>
    <xf numFmtId="0" fontId="3" fillId="2" borderId="291" xfId="0" applyFont="1" applyFill="1" applyBorder="1" applyAlignment="1" applyProtection="1">
      <alignment horizontal="center"/>
      <protection locked="0"/>
    </xf>
    <xf numFmtId="173" fontId="3" fillId="2" borderId="292" xfId="5" applyNumberFormat="1" applyFont="1" applyFill="1" applyBorder="1" applyAlignment="1" applyProtection="1">
      <protection locked="0"/>
    </xf>
    <xf numFmtId="0" fontId="76" fillId="2" borderId="274" xfId="0" applyFont="1" applyFill="1" applyBorder="1" applyAlignment="1" applyProtection="1">
      <alignment horizontal="center"/>
      <protection locked="0"/>
    </xf>
    <xf numFmtId="169" fontId="2" fillId="2" borderId="187" xfId="37" applyFont="1" applyFill="1" applyBorder="1" applyAlignment="1" applyProtection="1">
      <protection locked="0"/>
    </xf>
    <xf numFmtId="169" fontId="2" fillId="2" borderId="274" xfId="37" applyFont="1" applyFill="1" applyBorder="1" applyAlignment="1" applyProtection="1">
      <protection locked="0"/>
    </xf>
    <xf numFmtId="169" fontId="3" fillId="2" borderId="187" xfId="37" applyFont="1" applyFill="1" applyBorder="1" applyAlignment="1" applyProtection="1">
      <protection locked="0"/>
    </xf>
    <xf numFmtId="169" fontId="2" fillId="2" borderId="289" xfId="37" applyFont="1" applyFill="1" applyBorder="1" applyAlignment="1" applyProtection="1">
      <protection locked="0"/>
    </xf>
    <xf numFmtId="169" fontId="3" fillId="2" borderId="289" xfId="37" applyFont="1" applyFill="1" applyBorder="1" applyAlignment="1" applyProtection="1">
      <protection locked="0"/>
    </xf>
    <xf numFmtId="2" fontId="0" fillId="15" borderId="144" xfId="0" applyNumberFormat="1" applyFill="1" applyBorder="1" applyAlignment="1" applyProtection="1">
      <alignment horizontal="center" vertical="center"/>
      <protection locked="0"/>
    </xf>
    <xf numFmtId="0" fontId="0" fillId="15" borderId="144" xfId="0" applyFill="1" applyBorder="1" applyAlignment="1" applyProtection="1">
      <alignment horizontal="right"/>
      <protection locked="0"/>
    </xf>
    <xf numFmtId="0" fontId="3" fillId="16" borderId="0" xfId="0" applyFont="1" applyFill="1" applyAlignment="1" applyProtection="1">
      <alignment horizontal="right"/>
      <protection locked="0"/>
    </xf>
    <xf numFmtId="3" fontId="15" fillId="0" borderId="142" xfId="0" applyNumberFormat="1" applyFont="1" applyBorder="1" applyAlignment="1">
      <alignment horizontal="center" vertical="center"/>
    </xf>
    <xf numFmtId="0" fontId="0" fillId="20" borderId="139" xfId="0" applyFill="1" applyBorder="1"/>
    <xf numFmtId="0" fontId="0" fillId="20" borderId="145" xfId="0" applyFill="1" applyBorder="1"/>
    <xf numFmtId="0" fontId="8" fillId="21" borderId="293" xfId="0" applyFont="1" applyFill="1" applyBorder="1" applyAlignment="1">
      <alignment horizontal="center" vertical="center"/>
    </xf>
    <xf numFmtId="0" fontId="8" fillId="21" borderId="257" xfId="0" applyFont="1" applyFill="1" applyBorder="1" applyAlignment="1">
      <alignment horizontal="left" vertical="center"/>
    </xf>
    <xf numFmtId="0" fontId="8" fillId="21" borderId="138" xfId="0" applyFont="1" applyFill="1" applyBorder="1" applyAlignment="1">
      <alignment horizontal="center" vertical="center"/>
    </xf>
    <xf numFmtId="0" fontId="46" fillId="0" borderId="142" xfId="37" applyNumberFormat="1" applyBorder="1" applyAlignment="1">
      <alignment horizontal="center" vertical="center"/>
    </xf>
    <xf numFmtId="0" fontId="49" fillId="0" borderId="0" xfId="0" applyFont="1"/>
    <xf numFmtId="175" fontId="46" fillId="0" borderId="142" xfId="37" applyNumberFormat="1" applyBorder="1" applyAlignment="1">
      <alignment horizontal="center" vertical="center"/>
    </xf>
    <xf numFmtId="0" fontId="14" fillId="15" borderId="245" xfId="0" applyFont="1" applyFill="1" applyBorder="1" applyAlignment="1" applyProtection="1">
      <alignment horizontal="center" vertical="center"/>
      <protection locked="0"/>
    </xf>
    <xf numFmtId="0" fontId="13" fillId="0" borderId="70" xfId="0" applyFont="1" applyBorder="1" applyAlignment="1">
      <alignment wrapText="1"/>
    </xf>
    <xf numFmtId="0" fontId="13" fillId="0" borderId="0" xfId="0" applyFont="1" applyAlignment="1">
      <alignment vertical="top"/>
    </xf>
    <xf numFmtId="185" fontId="8" fillId="0" borderId="144" xfId="37" applyNumberFormat="1" applyFont="1" applyFill="1" applyBorder="1" applyAlignment="1" applyProtection="1"/>
    <xf numFmtId="0" fontId="7" fillId="0" borderId="0" xfId="25" applyFont="1" applyAlignment="1">
      <alignment horizontal="center" wrapText="1"/>
    </xf>
    <xf numFmtId="0" fontId="0" fillId="0" borderId="0" xfId="25" applyFont="1" applyAlignment="1">
      <alignment vertical="top"/>
    </xf>
    <xf numFmtId="180" fontId="0" fillId="0" borderId="0" xfId="0" applyNumberFormat="1" applyAlignment="1">
      <alignment horizontal="right"/>
    </xf>
    <xf numFmtId="190" fontId="9" fillId="0" borderId="0" xfId="25" applyNumberFormat="1" applyFont="1"/>
    <xf numFmtId="193" fontId="0" fillId="12" borderId="136" xfId="5" applyNumberFormat="1" applyFont="1" applyFill="1" applyBorder="1" applyAlignment="1" applyProtection="1">
      <alignment horizontal="center"/>
      <protection locked="0"/>
    </xf>
    <xf numFmtId="0" fontId="0" fillId="0" borderId="140" xfId="0" applyBorder="1" applyAlignment="1">
      <alignment horizontal="center" vertical="center" wrapText="1"/>
    </xf>
    <xf numFmtId="171" fontId="13" fillId="0" borderId="146" xfId="29" applyFont="1" applyBorder="1" applyAlignment="1">
      <alignment horizontal="center" vertical="center"/>
    </xf>
    <xf numFmtId="185" fontId="46" fillId="0" borderId="0" xfId="37" applyNumberFormat="1" applyAlignment="1">
      <alignment horizontal="center" vertical="center"/>
    </xf>
    <xf numFmtId="0" fontId="22" fillId="0" borderId="178" xfId="20" applyFont="1" applyBorder="1" applyAlignment="1">
      <alignment horizontal="center" wrapText="1"/>
    </xf>
    <xf numFmtId="0" fontId="13" fillId="0" borderId="0" xfId="0" applyFont="1" applyAlignment="1">
      <alignment horizontal="center" wrapText="1"/>
    </xf>
    <xf numFmtId="0" fontId="8" fillId="0" borderId="0" xfId="0" applyFont="1" applyAlignment="1">
      <alignment horizontal="left"/>
    </xf>
    <xf numFmtId="169" fontId="8" fillId="0" borderId="0" xfId="37" applyFont="1" applyFill="1" applyBorder="1" applyAlignment="1" applyProtection="1">
      <alignment horizontal="center"/>
    </xf>
    <xf numFmtId="0" fontId="22" fillId="0" borderId="0" xfId="25" applyFont="1" applyAlignment="1">
      <alignment horizontal="left" wrapText="1"/>
    </xf>
    <xf numFmtId="0" fontId="22" fillId="0" borderId="178" xfId="25" applyFont="1" applyBorder="1" applyAlignment="1">
      <alignment horizontal="left" wrapText="1"/>
    </xf>
    <xf numFmtId="0" fontId="22" fillId="0" borderId="0" xfId="25" applyFont="1" applyAlignment="1">
      <alignment horizontal="center" wrapText="1"/>
    </xf>
    <xf numFmtId="0" fontId="22" fillId="0" borderId="178" xfId="25" applyFont="1" applyBorder="1" applyAlignment="1">
      <alignment horizontal="center" wrapText="1"/>
    </xf>
    <xf numFmtId="0" fontId="9" fillId="0" borderId="0" xfId="0" applyFont="1" applyAlignment="1">
      <alignment horizontal="center"/>
    </xf>
    <xf numFmtId="0" fontId="8" fillId="0" borderId="0" xfId="0" applyFont="1" applyAlignment="1">
      <alignment horizontal="center" vertical="center"/>
    </xf>
    <xf numFmtId="0" fontId="0" fillId="0" borderId="155" xfId="0" applyBorder="1" applyAlignment="1">
      <alignment vertical="center" wrapText="1"/>
    </xf>
    <xf numFmtId="0" fontId="2" fillId="0" borderId="0" xfId="52" applyAlignment="1">
      <alignment horizontal="center"/>
    </xf>
    <xf numFmtId="0" fontId="0" fillId="21" borderId="0" xfId="0" applyFill="1"/>
    <xf numFmtId="173" fontId="46" fillId="0" borderId="0" xfId="5" applyNumberFormat="1" applyBorder="1" applyAlignment="1">
      <alignment horizontal="left"/>
    </xf>
    <xf numFmtId="179" fontId="46" fillId="0" borderId="0" xfId="5" applyNumberFormat="1" applyBorder="1" applyAlignment="1">
      <alignment horizontal="center"/>
    </xf>
    <xf numFmtId="2" fontId="0" fillId="0" borderId="0" xfId="0" applyNumberFormat="1" applyAlignment="1">
      <alignment horizontal="center" vertical="center"/>
    </xf>
    <xf numFmtId="173" fontId="46" fillId="0" borderId="0" xfId="5" applyNumberFormat="1" applyBorder="1"/>
    <xf numFmtId="179" fontId="0" fillId="15" borderId="154" xfId="0" applyNumberFormat="1" applyFill="1" applyBorder="1" applyProtection="1">
      <protection locked="0"/>
    </xf>
    <xf numFmtId="0" fontId="0" fillId="15" borderId="294" xfId="0" applyFill="1" applyBorder="1" applyProtection="1">
      <protection locked="0"/>
    </xf>
    <xf numFmtId="0" fontId="60" fillId="0" borderId="141" xfId="0" applyFont="1" applyBorder="1" applyAlignment="1">
      <alignment vertical="center"/>
    </xf>
    <xf numFmtId="0" fontId="21" fillId="0" borderId="141" xfId="0" applyFont="1" applyBorder="1" applyAlignment="1">
      <alignment vertical="center"/>
    </xf>
    <xf numFmtId="2" fontId="0" fillId="0" borderId="138" xfId="0" applyNumberFormat="1" applyBorder="1" applyAlignment="1">
      <alignment vertical="center"/>
    </xf>
    <xf numFmtId="179" fontId="46" fillId="0" borderId="295" xfId="5" applyNumberFormat="1" applyBorder="1" applyAlignment="1">
      <alignment horizontal="center"/>
    </xf>
    <xf numFmtId="179" fontId="46" fillId="0" borderId="293" xfId="5" applyNumberFormat="1" applyBorder="1" applyAlignment="1">
      <alignment horizontal="center"/>
    </xf>
    <xf numFmtId="176" fontId="0" fillId="15" borderId="191" xfId="0" applyNumberFormat="1" applyFill="1" applyBorder="1" applyAlignment="1" applyProtection="1">
      <alignment horizontal="center" vertical="center"/>
      <protection locked="0"/>
    </xf>
    <xf numFmtId="173" fontId="46" fillId="0" borderId="143" xfId="5" applyNumberFormat="1" applyBorder="1"/>
    <xf numFmtId="2" fontId="0" fillId="0" borderId="258" xfId="0" applyNumberFormat="1" applyBorder="1" applyAlignment="1">
      <alignment vertical="center"/>
    </xf>
    <xf numFmtId="0" fontId="13" fillId="0" borderId="139" xfId="0" applyFont="1" applyBorder="1" applyAlignment="1">
      <alignment horizontal="center" vertical="center"/>
    </xf>
    <xf numFmtId="0" fontId="13" fillId="0" borderId="137" xfId="0" applyFont="1" applyBorder="1" applyAlignment="1">
      <alignment horizontal="center" vertical="center"/>
    </xf>
    <xf numFmtId="0" fontId="13" fillId="0" borderId="140" xfId="0" applyFont="1" applyBorder="1" applyAlignment="1">
      <alignment horizontal="center" vertical="center" wrapText="1"/>
    </xf>
    <xf numFmtId="179" fontId="2" fillId="15" borderId="136" xfId="53" applyNumberFormat="1" applyFill="1" applyBorder="1" applyProtection="1">
      <protection locked="0"/>
    </xf>
    <xf numFmtId="179" fontId="2" fillId="21" borderId="136" xfId="53" applyNumberFormat="1" applyFill="1" applyBorder="1" applyProtection="1"/>
    <xf numFmtId="2" fontId="28" fillId="15" borderId="245" xfId="0" applyNumberFormat="1" applyFont="1" applyFill="1" applyBorder="1" applyAlignment="1" applyProtection="1">
      <alignment horizontal="center" vertical="center"/>
      <protection locked="0"/>
    </xf>
    <xf numFmtId="2" fontId="0" fillId="15" borderId="136" xfId="0" applyNumberFormat="1" applyFill="1" applyBorder="1" applyAlignment="1" applyProtection="1">
      <alignment horizontal="center" vertical="center"/>
      <protection locked="0"/>
    </xf>
    <xf numFmtId="179" fontId="2" fillId="15" borderId="136" xfId="0" applyNumberFormat="1" applyFont="1" applyFill="1" applyBorder="1" applyAlignment="1" applyProtection="1">
      <alignment horizontal="center" vertical="center"/>
      <protection locked="0"/>
    </xf>
    <xf numFmtId="2" fontId="2" fillId="15" borderId="136" xfId="0" applyNumberFormat="1" applyFont="1" applyFill="1" applyBorder="1" applyAlignment="1" applyProtection="1">
      <alignment horizontal="center" vertical="center"/>
      <protection locked="0"/>
    </xf>
    <xf numFmtId="0" fontId="8" fillId="0" borderId="0" xfId="52" applyFont="1" applyAlignment="1">
      <alignment horizontal="center" vertical="center" wrapText="1"/>
    </xf>
    <xf numFmtId="0" fontId="8" fillId="0" borderId="0" xfId="52" applyFont="1" applyAlignment="1">
      <alignment vertical="center" wrapText="1"/>
    </xf>
    <xf numFmtId="0" fontId="2" fillId="0" borderId="0" xfId="52" applyAlignment="1">
      <alignment vertical="center"/>
    </xf>
    <xf numFmtId="0" fontId="62" fillId="15" borderId="136" xfId="52" applyFont="1" applyFill="1" applyBorder="1" applyProtection="1">
      <protection locked="0"/>
    </xf>
    <xf numFmtId="200" fontId="2" fillId="0" borderId="136" xfId="5" applyNumberFormat="1" applyFont="1" applyBorder="1" applyAlignment="1">
      <alignment horizontal="center" vertical="center"/>
    </xf>
    <xf numFmtId="176" fontId="2" fillId="0" borderId="136" xfId="52" applyNumberFormat="1" applyBorder="1" applyAlignment="1">
      <alignment horizontal="center" vertical="center"/>
    </xf>
    <xf numFmtId="200" fontId="5" fillId="0" borderId="136" xfId="5" applyNumberFormat="1" applyFont="1" applyBorder="1" applyAlignment="1">
      <alignment horizontal="center" vertical="center"/>
    </xf>
    <xf numFmtId="168" fontId="5" fillId="0" borderId="136" xfId="5" applyFont="1" applyBorder="1" applyAlignment="1">
      <alignment horizontal="center" vertical="center"/>
    </xf>
    <xf numFmtId="200" fontId="2" fillId="0" borderId="136" xfId="52" applyNumberFormat="1" applyBorder="1"/>
    <xf numFmtId="0" fontId="7" fillId="0" borderId="0" xfId="52" applyFont="1"/>
    <xf numFmtId="2" fontId="14" fillId="0" borderId="136" xfId="52" applyNumberFormat="1" applyFont="1" applyBorder="1" applyAlignment="1">
      <alignment horizontal="center" vertical="center"/>
    </xf>
    <xf numFmtId="200" fontId="8" fillId="0" borderId="0" xfId="5" applyNumberFormat="1" applyFont="1" applyAlignment="1">
      <alignment horizontal="center" vertical="center"/>
    </xf>
    <xf numFmtId="0" fontId="7" fillId="0" borderId="0" xfId="52" applyFont="1" applyAlignment="1">
      <alignment horizontal="center" vertical="center" wrapText="1"/>
    </xf>
    <xf numFmtId="0" fontId="7" fillId="0" borderId="0" xfId="52" applyFont="1" applyAlignment="1">
      <alignment vertical="center" wrapText="1"/>
    </xf>
    <xf numFmtId="2" fontId="3" fillId="2" borderId="66" xfId="0" applyNumberFormat="1" applyFont="1" applyFill="1" applyBorder="1" applyAlignment="1" applyProtection="1">
      <alignment horizontal="center"/>
      <protection locked="0"/>
    </xf>
    <xf numFmtId="168" fontId="5" fillId="0" borderId="0" xfId="5" applyFont="1" applyBorder="1" applyAlignment="1">
      <alignment horizontal="center" vertical="center"/>
    </xf>
    <xf numFmtId="200" fontId="2" fillId="0" borderId="0" xfId="52" applyNumberFormat="1"/>
    <xf numFmtId="0" fontId="3" fillId="3" borderId="297" xfId="0" applyFont="1" applyFill="1" applyBorder="1"/>
    <xf numFmtId="0" fontId="3" fillId="16" borderId="296" xfId="0" applyFont="1" applyFill="1" applyBorder="1" applyAlignment="1" applyProtection="1">
      <alignment horizontal="right"/>
      <protection locked="0"/>
    </xf>
    <xf numFmtId="169" fontId="3" fillId="32" borderId="2" xfId="37" applyFont="1" applyFill="1" applyBorder="1" applyAlignment="1" applyProtection="1"/>
    <xf numFmtId="1" fontId="3" fillId="16" borderId="66" xfId="37" applyNumberFormat="1" applyFont="1" applyFill="1" applyBorder="1" applyAlignment="1" applyProtection="1">
      <alignment horizontal="center"/>
      <protection locked="0"/>
    </xf>
    <xf numFmtId="170" fontId="13" fillId="32" borderId="0" xfId="29" applyNumberFormat="1" applyFont="1" applyFill="1" applyBorder="1" applyAlignment="1" applyProtection="1"/>
    <xf numFmtId="0" fontId="69" fillId="15" borderId="136" xfId="52" applyFont="1" applyFill="1" applyBorder="1" applyProtection="1">
      <protection locked="0"/>
    </xf>
    <xf numFmtId="200" fontId="15" fillId="0" borderId="136" xfId="5" applyNumberFormat="1" applyFont="1" applyBorder="1" applyAlignment="1">
      <alignment horizontal="center" vertical="center"/>
    </xf>
    <xf numFmtId="176" fontId="15" fillId="0" borderId="136" xfId="52" applyNumberFormat="1" applyFont="1" applyBorder="1" applyAlignment="1">
      <alignment horizontal="center" vertical="center"/>
    </xf>
    <xf numFmtId="200" fontId="14" fillId="0" borderId="136" xfId="5" applyNumberFormat="1" applyFont="1" applyBorder="1" applyAlignment="1">
      <alignment horizontal="center" vertical="center"/>
    </xf>
    <xf numFmtId="200" fontId="15" fillId="0" borderId="136" xfId="52" applyNumberFormat="1" applyFont="1" applyBorder="1"/>
    <xf numFmtId="203" fontId="15" fillId="0" borderId="136" xfId="5" applyNumberFormat="1" applyFont="1" applyBorder="1" applyAlignment="1">
      <alignment horizontal="center" vertical="center"/>
    </xf>
    <xf numFmtId="173" fontId="14" fillId="0" borderId="136" xfId="5" applyNumberFormat="1" applyFont="1" applyBorder="1" applyAlignment="1">
      <alignment horizontal="center" vertical="center"/>
    </xf>
    <xf numFmtId="179" fontId="14" fillId="0" borderId="136" xfId="52" applyNumberFormat="1" applyFont="1" applyBorder="1" applyAlignment="1">
      <alignment horizontal="center" vertical="center"/>
    </xf>
    <xf numFmtId="1" fontId="14" fillId="0" borderId="136" xfId="52" applyNumberFormat="1" applyFont="1" applyBorder="1" applyAlignment="1">
      <alignment horizontal="center" vertical="center"/>
    </xf>
    <xf numFmtId="200" fontId="14" fillId="0" borderId="136" xfId="0" applyNumberFormat="1" applyFont="1" applyBorder="1" applyAlignment="1">
      <alignment horizontal="center" vertical="center"/>
    </xf>
    <xf numFmtId="200" fontId="14" fillId="0" borderId="0" xfId="0" applyNumberFormat="1" applyFont="1"/>
    <xf numFmtId="0" fontId="3" fillId="16" borderId="298" xfId="0" applyFont="1" applyFill="1" applyBorder="1" applyAlignment="1" applyProtection="1">
      <alignment horizontal="right"/>
      <protection locked="0"/>
    </xf>
    <xf numFmtId="0" fontId="3" fillId="2" borderId="236" xfId="0" applyFont="1" applyFill="1" applyBorder="1" applyAlignment="1" applyProtection="1">
      <alignment horizontal="center"/>
      <protection locked="0"/>
    </xf>
    <xf numFmtId="0" fontId="0" fillId="0" borderId="136" xfId="0" applyBorder="1" applyAlignment="1">
      <alignment horizontal="right"/>
    </xf>
    <xf numFmtId="0" fontId="3" fillId="2" borderId="297" xfId="0" applyFont="1" applyFill="1" applyBorder="1" applyProtection="1">
      <protection locked="0"/>
    </xf>
    <xf numFmtId="169" fontId="3" fillId="6" borderId="24" xfId="37" applyFont="1" applyFill="1" applyBorder="1" applyAlignment="1" applyProtection="1"/>
    <xf numFmtId="1" fontId="0" fillId="0" borderId="0" xfId="0" applyNumberFormat="1" applyAlignment="1">
      <alignment horizontal="center" vertical="center"/>
    </xf>
    <xf numFmtId="169" fontId="3" fillId="2" borderId="66" xfId="37" applyFont="1" applyFill="1" applyBorder="1" applyAlignment="1" applyProtection="1">
      <alignment horizontal="center"/>
      <protection locked="0"/>
    </xf>
    <xf numFmtId="169" fontId="3" fillId="0" borderId="66" xfId="37" applyFont="1" applyFill="1" applyBorder="1" applyAlignment="1" applyProtection="1"/>
    <xf numFmtId="0" fontId="3" fillId="28" borderId="28" xfId="0" applyFont="1" applyFill="1" applyBorder="1"/>
    <xf numFmtId="0" fontId="3" fillId="16" borderId="28" xfId="0" applyFont="1" applyFill="1" applyBorder="1" applyAlignment="1">
      <alignment horizontal="center"/>
    </xf>
    <xf numFmtId="171" fontId="46" fillId="2" borderId="28" xfId="29" applyFill="1" applyBorder="1" applyAlignment="1" applyProtection="1">
      <alignment horizontal="center"/>
      <protection locked="0"/>
    </xf>
    <xf numFmtId="169" fontId="3" fillId="16" borderId="28" xfId="46" applyFont="1" applyFill="1" applyBorder="1" applyAlignment="1" applyProtection="1">
      <alignment horizontal="center"/>
    </xf>
    <xf numFmtId="169" fontId="3" fillId="0" borderId="28" xfId="37" applyFont="1" applyFill="1" applyBorder="1" applyAlignment="1" applyProtection="1"/>
    <xf numFmtId="0" fontId="3" fillId="2" borderId="224" xfId="0" applyFont="1" applyFill="1" applyBorder="1" applyProtection="1">
      <protection locked="0"/>
    </xf>
    <xf numFmtId="0" fontId="3" fillId="2" borderId="226" xfId="0" applyFont="1" applyFill="1" applyBorder="1" applyProtection="1">
      <protection locked="0"/>
    </xf>
    <xf numFmtId="0" fontId="3" fillId="2" borderId="226" xfId="0" applyFont="1" applyFill="1" applyBorder="1" applyAlignment="1" applyProtection="1">
      <alignment horizontal="center"/>
      <protection locked="0"/>
    </xf>
    <xf numFmtId="2" fontId="3" fillId="2" borderId="226" xfId="0" applyNumberFormat="1" applyFont="1" applyFill="1" applyBorder="1" applyAlignment="1" applyProtection="1">
      <alignment horizontal="center"/>
      <protection locked="0"/>
    </xf>
    <xf numFmtId="169" fontId="3" fillId="2" borderId="226" xfId="37" applyFont="1" applyFill="1" applyBorder="1" applyAlignment="1" applyProtection="1">
      <alignment horizontal="center"/>
      <protection locked="0"/>
    </xf>
    <xf numFmtId="170" fontId="13" fillId="0" borderId="140" xfId="29" applyNumberFormat="1" applyFont="1" applyFill="1" applyBorder="1" applyAlignment="1" applyProtection="1"/>
    <xf numFmtId="0" fontId="0" fillId="21" borderId="247" xfId="0" applyFill="1" applyBorder="1" applyAlignment="1">
      <alignment horizontal="center" vertical="center"/>
    </xf>
    <xf numFmtId="0" fontId="0" fillId="15" borderId="248" xfId="0" applyFill="1" applyBorder="1" applyAlignment="1" applyProtection="1">
      <alignment horizontal="center" vertical="center"/>
      <protection locked="0"/>
    </xf>
    <xf numFmtId="0" fontId="3" fillId="2" borderId="299" xfId="0" applyFont="1" applyFill="1" applyBorder="1" applyProtection="1">
      <protection locked="0"/>
    </xf>
    <xf numFmtId="0" fontId="3" fillId="2" borderId="300" xfId="0" applyFont="1" applyFill="1" applyBorder="1" applyProtection="1">
      <protection locked="0"/>
    </xf>
    <xf numFmtId="0" fontId="3" fillId="2" borderId="300" xfId="0" applyFont="1" applyFill="1" applyBorder="1" applyAlignment="1" applyProtection="1">
      <alignment horizontal="center"/>
      <protection locked="0"/>
    </xf>
    <xf numFmtId="2" fontId="3" fillId="2" borderId="300" xfId="0" applyNumberFormat="1" applyFont="1" applyFill="1" applyBorder="1" applyAlignment="1" applyProtection="1">
      <alignment horizontal="center"/>
      <protection locked="0"/>
    </xf>
    <xf numFmtId="169" fontId="3" fillId="2" borderId="300" xfId="37" applyFont="1" applyFill="1" applyBorder="1" applyAlignment="1" applyProtection="1">
      <alignment horizontal="center"/>
      <protection locked="0"/>
    </xf>
    <xf numFmtId="169" fontId="3" fillId="0" borderId="300" xfId="37" applyFont="1" applyFill="1" applyBorder="1" applyAlignment="1" applyProtection="1"/>
    <xf numFmtId="170" fontId="13" fillId="0" borderId="143" xfId="29" applyNumberFormat="1" applyFont="1" applyFill="1" applyBorder="1" applyAlignment="1" applyProtection="1"/>
    <xf numFmtId="0" fontId="0" fillId="15" borderId="190" xfId="0" applyFill="1" applyBorder="1" applyAlignment="1" applyProtection="1">
      <alignment horizontal="center" vertical="center"/>
      <protection locked="0"/>
    </xf>
    <xf numFmtId="169" fontId="3" fillId="6" borderId="301" xfId="37" applyFont="1" applyFill="1" applyBorder="1" applyAlignment="1" applyProtection="1"/>
    <xf numFmtId="169" fontId="3" fillId="6" borderId="302" xfId="37" applyFont="1" applyFill="1" applyBorder="1" applyAlignment="1" applyProtection="1"/>
    <xf numFmtId="169" fontId="3" fillId="6" borderId="29" xfId="37" applyFont="1" applyFill="1" applyBorder="1" applyAlignment="1" applyProtection="1"/>
    <xf numFmtId="169" fontId="5" fillId="6" borderId="24" xfId="37" applyFont="1" applyFill="1" applyBorder="1" applyAlignment="1" applyProtection="1"/>
    <xf numFmtId="0" fontId="15" fillId="16" borderId="241" xfId="0" applyFont="1" applyFill="1" applyBorder="1" applyAlignment="1" applyProtection="1">
      <alignment horizontal="right"/>
      <protection locked="0"/>
    </xf>
    <xf numFmtId="0" fontId="0" fillId="0" borderId="189" xfId="0" applyBorder="1" applyAlignment="1">
      <alignment horizontal="right"/>
    </xf>
    <xf numFmtId="0" fontId="8" fillId="0" borderId="141" xfId="0" applyFont="1" applyBorder="1" applyAlignment="1">
      <alignment horizontal="right"/>
    </xf>
    <xf numFmtId="0" fontId="7" fillId="0" borderId="141" xfId="0" applyFont="1" applyBorder="1" applyAlignment="1">
      <alignment horizontal="right"/>
    </xf>
    <xf numFmtId="1" fontId="8" fillId="0" borderId="0" xfId="0" applyNumberFormat="1" applyFont="1" applyAlignment="1">
      <alignment horizontal="center" vertical="center"/>
    </xf>
    <xf numFmtId="200" fontId="15" fillId="0" borderId="211" xfId="52" applyNumberFormat="1" applyFont="1" applyBorder="1"/>
    <xf numFmtId="200" fontId="2" fillId="0" borderId="146" xfId="52" applyNumberFormat="1" applyBorder="1"/>
    <xf numFmtId="0" fontId="8" fillId="0" borderId="143" xfId="52" applyFont="1" applyBorder="1"/>
    <xf numFmtId="179" fontId="14" fillId="0" borderId="190" xfId="52" applyNumberFormat="1" applyFont="1" applyBorder="1" applyAlignment="1">
      <alignment horizontal="center" vertical="center"/>
    </xf>
    <xf numFmtId="0" fontId="3" fillId="0" borderId="0" xfId="0" applyFont="1" applyAlignment="1">
      <alignment horizontal="center" vertical="center"/>
    </xf>
    <xf numFmtId="0" fontId="0" fillId="0" borderId="140" xfId="0" applyBorder="1" applyAlignment="1">
      <alignment horizontal="center" vertical="center"/>
    </xf>
    <xf numFmtId="0" fontId="0" fillId="15" borderId="247" xfId="0" applyFill="1" applyBorder="1" applyAlignment="1" applyProtection="1">
      <alignment horizontal="center" vertical="center"/>
      <protection locked="0"/>
    </xf>
    <xf numFmtId="0" fontId="69" fillId="15" borderId="247" xfId="52" applyFont="1" applyFill="1" applyBorder="1" applyProtection="1">
      <protection locked="0"/>
    </xf>
    <xf numFmtId="200" fontId="14" fillId="0" borderId="247" xfId="5" applyNumberFormat="1" applyFont="1" applyBorder="1" applyAlignment="1">
      <alignment horizontal="center" vertical="center"/>
    </xf>
    <xf numFmtId="203" fontId="15" fillId="0" borderId="247" xfId="5" applyNumberFormat="1" applyFont="1" applyBorder="1" applyAlignment="1">
      <alignment horizontal="center" vertical="center"/>
    </xf>
    <xf numFmtId="176" fontId="15" fillId="0" borderId="247" xfId="52" applyNumberFormat="1" applyFont="1" applyBorder="1" applyAlignment="1">
      <alignment horizontal="center" vertical="center"/>
    </xf>
    <xf numFmtId="173" fontId="14" fillId="0" borderId="247" xfId="5" applyNumberFormat="1" applyFont="1" applyBorder="1" applyAlignment="1">
      <alignment horizontal="center" vertical="center"/>
    </xf>
    <xf numFmtId="200" fontId="15" fillId="0" borderId="248" xfId="52" applyNumberFormat="1" applyFont="1" applyBorder="1"/>
    <xf numFmtId="0" fontId="8" fillId="0" borderId="139" xfId="52" applyFont="1" applyBorder="1"/>
    <xf numFmtId="1" fontId="14" fillId="0" borderId="248" xfId="0" applyNumberFormat="1" applyFont="1" applyBorder="1" applyAlignment="1">
      <alignment horizontal="center" vertical="center"/>
    </xf>
    <xf numFmtId="0" fontId="8" fillId="0" borderId="142" xfId="52" applyFont="1" applyBorder="1"/>
    <xf numFmtId="179" fontId="14" fillId="0" borderId="250" xfId="52" applyNumberFormat="1" applyFont="1" applyBorder="1" applyAlignment="1">
      <alignment horizontal="center" vertical="center"/>
    </xf>
    <xf numFmtId="200" fontId="0" fillId="0" borderId="136" xfId="0" applyNumberFormat="1" applyBorder="1"/>
    <xf numFmtId="0" fontId="0" fillId="0" borderId="0" xfId="0" applyAlignment="1">
      <alignment horizontal="left" vertical="top"/>
    </xf>
    <xf numFmtId="171" fontId="46" fillId="0" borderId="0" xfId="29" applyAlignment="1">
      <alignment horizontal="center" vertical="center"/>
    </xf>
    <xf numFmtId="173" fontId="46" fillId="0" borderId="0" xfId="5" applyNumberFormat="1"/>
    <xf numFmtId="173" fontId="46" fillId="0" borderId="136" xfId="5" applyNumberFormat="1" applyBorder="1" applyAlignment="1">
      <alignment horizontal="right"/>
    </xf>
    <xf numFmtId="173" fontId="14" fillId="0" borderId="0" xfId="5" applyNumberFormat="1" applyFont="1"/>
    <xf numFmtId="171" fontId="14" fillId="0" borderId="0" xfId="0" applyNumberFormat="1" applyFont="1" applyAlignment="1">
      <alignment horizontal="center" vertical="center"/>
    </xf>
    <xf numFmtId="173" fontId="46" fillId="15" borderId="136" xfId="5" applyNumberFormat="1" applyFill="1" applyBorder="1" applyProtection="1">
      <protection locked="0"/>
    </xf>
    <xf numFmtId="0" fontId="5" fillId="0" borderId="0" xfId="0" applyFont="1" applyAlignment="1">
      <alignment horizontal="center" wrapText="1"/>
    </xf>
    <xf numFmtId="173" fontId="8" fillId="0" borderId="0" xfId="0" applyNumberFormat="1" applyFont="1"/>
    <xf numFmtId="173" fontId="46" fillId="0" borderId="17" xfId="5" applyNumberFormat="1" applyBorder="1" applyAlignment="1">
      <alignment horizontal="left" vertical="top"/>
    </xf>
    <xf numFmtId="173" fontId="46" fillId="0" borderId="56" xfId="5" applyNumberFormat="1" applyBorder="1" applyAlignment="1">
      <alignment horizontal="left" vertical="top"/>
    </xf>
    <xf numFmtId="173" fontId="0" fillId="0" borderId="0" xfId="0" applyNumberFormat="1" applyAlignment="1">
      <alignment horizontal="left" vertical="top"/>
    </xf>
    <xf numFmtId="173" fontId="0" fillId="15" borderId="136" xfId="0" applyNumberFormat="1" applyFill="1" applyBorder="1" applyAlignment="1" applyProtection="1">
      <alignment horizontal="left" vertical="center"/>
      <protection locked="0"/>
    </xf>
    <xf numFmtId="173" fontId="46" fillId="15" borderId="136" xfId="5" applyNumberFormat="1" applyFill="1" applyBorder="1" applyAlignment="1" applyProtection="1">
      <alignment horizontal="center" vertical="center"/>
      <protection locked="0"/>
    </xf>
    <xf numFmtId="0" fontId="6" fillId="0" borderId="0" xfId="18" applyFill="1"/>
    <xf numFmtId="2" fontId="0" fillId="21" borderId="136" xfId="0" applyNumberFormat="1" applyFill="1" applyBorder="1" applyAlignment="1">
      <alignment horizontal="right"/>
    </xf>
    <xf numFmtId="2" fontId="46" fillId="15" borderId="136" xfId="29" applyNumberFormat="1" applyFill="1" applyBorder="1" applyAlignment="1" applyProtection="1">
      <alignment horizontal="right"/>
      <protection locked="0"/>
    </xf>
    <xf numFmtId="2" fontId="0" fillId="15" borderId="136" xfId="0" applyNumberFormat="1" applyFill="1" applyBorder="1" applyAlignment="1" applyProtection="1">
      <alignment horizontal="right"/>
      <protection locked="0"/>
    </xf>
    <xf numFmtId="1" fontId="46" fillId="15" borderId="136" xfId="29" applyNumberFormat="1" applyFill="1" applyBorder="1" applyAlignment="1" applyProtection="1">
      <alignment horizontal="right"/>
      <protection locked="0"/>
    </xf>
    <xf numFmtId="1" fontId="0" fillId="0" borderId="136" xfId="0" applyNumberFormat="1" applyBorder="1" applyAlignment="1">
      <alignment horizontal="right"/>
    </xf>
    <xf numFmtId="176" fontId="0" fillId="0" borderId="136" xfId="0" applyNumberFormat="1" applyBorder="1" applyAlignment="1">
      <alignment horizontal="right"/>
    </xf>
    <xf numFmtId="1" fontId="46" fillId="15" borderId="136" xfId="29" applyNumberFormat="1" applyFill="1" applyBorder="1" applyAlignment="1" applyProtection="1">
      <alignment horizontal="center" vertical="center"/>
      <protection locked="0"/>
    </xf>
    <xf numFmtId="1" fontId="0" fillId="0" borderId="136" xfId="0" applyNumberFormat="1" applyBorder="1" applyAlignment="1">
      <alignment horizontal="center" vertical="center"/>
    </xf>
    <xf numFmtId="176" fontId="0" fillId="0" borderId="136" xfId="0" applyNumberFormat="1" applyBorder="1" applyAlignment="1">
      <alignment horizontal="center" vertical="center"/>
    </xf>
    <xf numFmtId="2" fontId="46" fillId="21" borderId="136" xfId="29" applyNumberFormat="1" applyFill="1" applyBorder="1" applyAlignment="1" applyProtection="1">
      <alignment horizontal="center" vertical="center"/>
      <protection locked="0"/>
    </xf>
    <xf numFmtId="1" fontId="8" fillId="0" borderId="136" xfId="0" applyNumberFormat="1" applyFont="1" applyBorder="1" applyAlignment="1">
      <alignment horizontal="center" vertical="center"/>
    </xf>
    <xf numFmtId="0" fontId="7" fillId="0" borderId="0" xfId="0" applyFont="1" applyAlignment="1">
      <alignment horizontal="center" wrapText="1"/>
    </xf>
    <xf numFmtId="173" fontId="46" fillId="15" borderId="136" xfId="5" applyNumberFormat="1" applyFill="1" applyBorder="1" applyAlignment="1" applyProtection="1">
      <alignment vertical="center" wrapText="1"/>
      <protection locked="0"/>
    </xf>
    <xf numFmtId="173" fontId="46" fillId="21" borderId="136" xfId="5" applyNumberFormat="1" applyFill="1" applyBorder="1" applyProtection="1">
      <protection locked="0"/>
    </xf>
    <xf numFmtId="0" fontId="8" fillId="0" borderId="0" xfId="0" applyFont="1" applyAlignment="1">
      <alignment vertical="center"/>
    </xf>
    <xf numFmtId="171" fontId="8" fillId="0" borderId="0" xfId="0" applyNumberFormat="1" applyFont="1" applyAlignment="1">
      <alignment horizontal="center" vertical="center"/>
    </xf>
    <xf numFmtId="2" fontId="0" fillId="15" borderId="136" xfId="0" applyNumberFormat="1" applyFill="1" applyBorder="1" applyAlignment="1" applyProtection="1">
      <alignment horizontal="center" wrapText="1"/>
      <protection locked="0"/>
    </xf>
    <xf numFmtId="169" fontId="46" fillId="15" borderId="136" xfId="37" applyFill="1" applyBorder="1" applyAlignment="1" applyProtection="1">
      <alignment horizontal="center" vertical="center"/>
      <protection locked="0"/>
    </xf>
    <xf numFmtId="0" fontId="4" fillId="0" borderId="0" xfId="0" applyFont="1"/>
    <xf numFmtId="182" fontId="8" fillId="0" borderId="0" xfId="0" applyNumberFormat="1" applyFont="1"/>
    <xf numFmtId="0" fontId="81" fillId="0" borderId="0" xfId="0" applyFont="1"/>
    <xf numFmtId="164" fontId="69" fillId="0" borderId="0" xfId="0" applyNumberFormat="1" applyFont="1"/>
    <xf numFmtId="164" fontId="5" fillId="0" borderId="0" xfId="0" applyNumberFormat="1" applyFont="1"/>
    <xf numFmtId="0" fontId="5" fillId="0" borderId="0" xfId="52" applyFont="1"/>
    <xf numFmtId="0" fontId="2" fillId="0" borderId="137" xfId="52" applyBorder="1"/>
    <xf numFmtId="0" fontId="8" fillId="0" borderId="168" xfId="52" applyFont="1" applyBorder="1"/>
    <xf numFmtId="0" fontId="83" fillId="0" borderId="0" xfId="57"/>
    <xf numFmtId="0" fontId="8" fillId="15" borderId="136" xfId="52" applyFont="1" applyFill="1" applyBorder="1" applyAlignment="1" applyProtection="1">
      <alignment horizontal="center"/>
      <protection locked="0"/>
    </xf>
    <xf numFmtId="179" fontId="2" fillId="15" borderId="136" xfId="52" applyNumberFormat="1" applyFill="1" applyBorder="1" applyAlignment="1" applyProtection="1">
      <alignment horizontal="right"/>
      <protection locked="0"/>
    </xf>
    <xf numFmtId="0" fontId="2" fillId="0" borderId="154" xfId="52" applyBorder="1"/>
    <xf numFmtId="0" fontId="2" fillId="2" borderId="136" xfId="52" applyFill="1" applyBorder="1" applyProtection="1">
      <protection locked="0"/>
    </xf>
    <xf numFmtId="0" fontId="2" fillId="0" borderId="168" xfId="52" applyBorder="1"/>
    <xf numFmtId="1" fontId="2" fillId="2" borderId="0" xfId="52" applyNumberFormat="1" applyFill="1" applyProtection="1">
      <protection locked="0"/>
    </xf>
    <xf numFmtId="1" fontId="2" fillId="2" borderId="187" xfId="52" applyNumberFormat="1" applyFill="1" applyBorder="1" applyProtection="1">
      <protection locked="0"/>
    </xf>
    <xf numFmtId="200" fontId="2" fillId="0" borderId="168" xfId="58" applyNumberFormat="1" applyFont="1" applyBorder="1" applyAlignment="1">
      <alignment horizontal="center" vertical="center"/>
    </xf>
    <xf numFmtId="169" fontId="0" fillId="2" borderId="136" xfId="59" applyFont="1" applyFill="1" applyBorder="1" applyAlignment="1" applyProtection="1">
      <protection locked="0"/>
    </xf>
    <xf numFmtId="171" fontId="2" fillId="2" borderId="136" xfId="52" applyNumberFormat="1" applyFill="1" applyBorder="1" applyAlignment="1" applyProtection="1">
      <alignment horizontal="center"/>
      <protection locked="0"/>
    </xf>
    <xf numFmtId="169" fontId="0" fillId="3" borderId="161" xfId="59" applyFont="1" applyFill="1" applyBorder="1" applyAlignment="1" applyProtection="1"/>
    <xf numFmtId="2" fontId="2" fillId="0" borderId="146" xfId="52" applyNumberFormat="1" applyBorder="1"/>
    <xf numFmtId="2" fontId="2" fillId="0" borderId="0" xfId="52" applyNumberFormat="1"/>
    <xf numFmtId="169" fontId="8" fillId="3" borderId="136" xfId="59" applyFont="1" applyFill="1" applyBorder="1" applyAlignment="1" applyProtection="1"/>
    <xf numFmtId="171" fontId="2" fillId="2" borderId="0" xfId="52" applyNumberFormat="1" applyFill="1" applyAlignment="1" applyProtection="1">
      <alignment horizontal="center"/>
      <protection locked="0"/>
    </xf>
    <xf numFmtId="169" fontId="0" fillId="3" borderId="136" xfId="59" applyFont="1" applyFill="1" applyBorder="1" applyAlignment="1" applyProtection="1"/>
    <xf numFmtId="169" fontId="8" fillId="0" borderId="136" xfId="60" applyFont="1" applyFill="1" applyBorder="1" applyAlignment="1" applyProtection="1"/>
    <xf numFmtId="169" fontId="8" fillId="0" borderId="161" xfId="60" applyFont="1" applyFill="1" applyBorder="1" applyAlignment="1" applyProtection="1"/>
    <xf numFmtId="0" fontId="18" fillId="0" borderId="73" xfId="52" applyFont="1" applyBorder="1"/>
    <xf numFmtId="0" fontId="18" fillId="0" borderId="0" xfId="52" applyFont="1"/>
    <xf numFmtId="0" fontId="2" fillId="0" borderId="15" xfId="52" applyBorder="1"/>
    <xf numFmtId="0" fontId="2" fillId="0" borderId="16" xfId="52" applyBorder="1"/>
    <xf numFmtId="0" fontId="2" fillId="0" borderId="16" xfId="52" applyBorder="1" applyAlignment="1">
      <alignment horizontal="right"/>
    </xf>
    <xf numFmtId="170" fontId="2" fillId="2" borderId="5" xfId="52" applyNumberFormat="1" applyFill="1" applyBorder="1" applyProtection="1">
      <protection locked="0"/>
    </xf>
    <xf numFmtId="170" fontId="2" fillId="2" borderId="136" xfId="52" applyNumberFormat="1" applyFill="1" applyBorder="1" applyProtection="1">
      <protection locked="0"/>
    </xf>
    <xf numFmtId="169" fontId="2" fillId="0" borderId="168" xfId="52" applyNumberFormat="1" applyBorder="1"/>
    <xf numFmtId="0" fontId="2" fillId="0" borderId="18" xfId="52" applyBorder="1" applyAlignment="1">
      <alignment horizontal="left"/>
    </xf>
    <xf numFmtId="169" fontId="2" fillId="3" borderId="136" xfId="52" applyNumberFormat="1" applyFill="1" applyBorder="1"/>
    <xf numFmtId="0" fontId="13" fillId="0" borderId="146" xfId="52" applyFont="1" applyBorder="1"/>
    <xf numFmtId="0" fontId="2" fillId="0" borderId="20" xfId="52" applyBorder="1" applyAlignment="1">
      <alignment horizontal="left"/>
    </xf>
    <xf numFmtId="0" fontId="2" fillId="0" borderId="6" xfId="52" applyBorder="1"/>
    <xf numFmtId="0" fontId="2" fillId="0" borderId="0" xfId="52" applyAlignment="1">
      <alignment horizontal="left"/>
    </xf>
    <xf numFmtId="0" fontId="84" fillId="15" borderId="136" xfId="52" applyFont="1" applyFill="1" applyBorder="1" applyAlignment="1" applyProtection="1">
      <alignment horizontal="left"/>
      <protection locked="0"/>
    </xf>
    <xf numFmtId="0" fontId="2" fillId="3" borderId="8" xfId="52" applyFill="1" applyBorder="1"/>
    <xf numFmtId="0" fontId="2" fillId="3" borderId="4" xfId="52" applyFill="1" applyBorder="1"/>
    <xf numFmtId="0" fontId="2" fillId="3" borderId="5" xfId="52" applyFill="1" applyBorder="1"/>
    <xf numFmtId="190" fontId="2" fillId="2" borderId="136" xfId="60" applyNumberFormat="1" applyFill="1" applyBorder="1" applyAlignment="1" applyProtection="1">
      <protection locked="0"/>
    </xf>
    <xf numFmtId="0" fontId="2" fillId="3" borderId="0" xfId="52" applyFill="1"/>
    <xf numFmtId="169" fontId="2" fillId="0" borderId="168" xfId="60" applyBorder="1"/>
    <xf numFmtId="0" fontId="2" fillId="0" borderId="72" xfId="52" applyBorder="1" applyAlignment="1">
      <alignment horizontal="left"/>
    </xf>
    <xf numFmtId="0" fontId="2" fillId="0" borderId="72" xfId="52" applyBorder="1"/>
    <xf numFmtId="0" fontId="2" fillId="3" borderId="72" xfId="52" applyFill="1" applyBorder="1"/>
    <xf numFmtId="0" fontId="19" fillId="0" borderId="0" xfId="52" applyFont="1"/>
    <xf numFmtId="171" fontId="13" fillId="0" borderId="0" xfId="52" applyNumberFormat="1" applyFont="1"/>
    <xf numFmtId="2" fontId="8" fillId="6" borderId="136" xfId="52" applyNumberFormat="1" applyFont="1" applyFill="1" applyBorder="1"/>
    <xf numFmtId="169" fontId="0" fillId="0" borderId="0" xfId="59" applyFont="1" applyFill="1" applyBorder="1" applyAlignment="1" applyProtection="1"/>
    <xf numFmtId="0" fontId="8" fillId="0" borderId="9" xfId="52" applyFont="1" applyBorder="1"/>
    <xf numFmtId="0" fontId="2" fillId="0" borderId="9" xfId="52" applyBorder="1"/>
    <xf numFmtId="168" fontId="8" fillId="0" borderId="6" xfId="61" applyFont="1" applyFill="1" applyBorder="1" applyAlignment="1" applyProtection="1"/>
    <xf numFmtId="169" fontId="22" fillId="0" borderId="136" xfId="59" applyFont="1" applyFill="1" applyBorder="1" applyAlignment="1" applyProtection="1"/>
    <xf numFmtId="169" fontId="22" fillId="0" borderId="0" xfId="59" applyFont="1" applyFill="1" applyBorder="1" applyAlignment="1" applyProtection="1"/>
    <xf numFmtId="168" fontId="8" fillId="0" borderId="9" xfId="61" applyFont="1" applyFill="1" applyBorder="1" applyAlignment="1" applyProtection="1"/>
    <xf numFmtId="169" fontId="22" fillId="0" borderId="151" xfId="59" applyFont="1" applyFill="1" applyBorder="1" applyAlignment="1" applyProtection="1"/>
    <xf numFmtId="169" fontId="8" fillId="0" borderId="168" xfId="52" applyNumberFormat="1" applyFont="1" applyBorder="1"/>
    <xf numFmtId="2" fontId="8" fillId="6" borderId="73" xfId="52" applyNumberFormat="1" applyFont="1" applyFill="1" applyBorder="1"/>
    <xf numFmtId="169" fontId="8" fillId="0" borderId="146" xfId="59" applyFont="1" applyFill="1" applyBorder="1" applyAlignment="1" applyProtection="1"/>
    <xf numFmtId="169" fontId="8" fillId="0" borderId="0" xfId="59" applyFont="1" applyFill="1" applyBorder="1" applyAlignment="1" applyProtection="1"/>
    <xf numFmtId="2" fontId="8" fillId="6" borderId="0" xfId="52" applyNumberFormat="1" applyFont="1" applyFill="1"/>
    <xf numFmtId="171" fontId="2" fillId="0" borderId="0" xfId="52" applyNumberFormat="1"/>
    <xf numFmtId="178" fontId="13" fillId="0" borderId="146" xfId="52" applyNumberFormat="1" applyFont="1" applyBorder="1"/>
    <xf numFmtId="178" fontId="13" fillId="0" borderId="0" xfId="52" applyNumberFormat="1" applyFont="1"/>
    <xf numFmtId="0" fontId="19" fillId="15" borderId="136" xfId="52" applyFont="1" applyFill="1" applyBorder="1" applyProtection="1">
      <protection locked="0"/>
    </xf>
    <xf numFmtId="179" fontId="2" fillId="2" borderId="136" xfId="52" applyNumberFormat="1" applyFill="1" applyBorder="1" applyProtection="1">
      <protection locked="0"/>
    </xf>
    <xf numFmtId="169" fontId="2" fillId="2" borderId="136" xfId="60" applyFill="1" applyBorder="1" applyProtection="1">
      <protection locked="0"/>
    </xf>
    <xf numFmtId="169" fontId="0" fillId="3" borderId="136" xfId="59" applyFont="1" applyFill="1" applyBorder="1" applyAlignment="1" applyProtection="1">
      <protection locked="0"/>
    </xf>
    <xf numFmtId="178" fontId="2" fillId="0" borderId="0" xfId="52" applyNumberFormat="1"/>
    <xf numFmtId="179" fontId="62" fillId="2" borderId="136" xfId="52" applyNumberFormat="1" applyFont="1" applyFill="1" applyBorder="1" applyProtection="1">
      <protection locked="0"/>
    </xf>
    <xf numFmtId="200" fontId="2" fillId="0" borderId="136" xfId="58" applyNumberFormat="1" applyFont="1" applyBorder="1" applyAlignment="1">
      <alignment horizontal="center" vertical="center"/>
    </xf>
    <xf numFmtId="200" fontId="5" fillId="0" borderId="136" xfId="58" applyNumberFormat="1" applyFont="1" applyBorder="1" applyAlignment="1">
      <alignment horizontal="center" vertical="center"/>
    </xf>
    <xf numFmtId="164" fontId="5" fillId="0" borderId="136" xfId="58" applyFont="1" applyBorder="1" applyAlignment="1">
      <alignment horizontal="center" vertical="center"/>
    </xf>
    <xf numFmtId="179" fontId="85" fillId="2" borderId="136" xfId="52" applyNumberFormat="1" applyFont="1" applyFill="1" applyBorder="1" applyProtection="1">
      <protection locked="0"/>
    </xf>
    <xf numFmtId="178" fontId="2" fillId="0" borderId="146" xfId="52" applyNumberFormat="1" applyBorder="1"/>
    <xf numFmtId="0" fontId="23" fillId="0" borderId="303" xfId="52" applyFont="1" applyBorder="1"/>
    <xf numFmtId="169" fontId="62" fillId="0" borderId="136" xfId="59" applyFont="1" applyFill="1" applyBorder="1" applyAlignment="1" applyProtection="1"/>
    <xf numFmtId="169" fontId="62" fillId="0" borderId="0" xfId="59" applyFont="1" applyFill="1" applyBorder="1" applyAlignment="1" applyProtection="1"/>
    <xf numFmtId="169" fontId="62" fillId="0" borderId="151" xfId="59" applyFont="1" applyFill="1" applyBorder="1" applyAlignment="1" applyProtection="1"/>
    <xf numFmtId="169" fontId="8" fillId="0" borderId="180" xfId="52" applyNumberFormat="1" applyFont="1" applyBorder="1" applyAlignment="1">
      <alignment horizontal="left"/>
    </xf>
    <xf numFmtId="169" fontId="8" fillId="0" borderId="47" xfId="59" applyFont="1" applyFill="1" applyBorder="1" applyAlignment="1" applyProtection="1"/>
    <xf numFmtId="0" fontId="22" fillId="0" borderId="146" xfId="52" applyFont="1" applyBorder="1"/>
    <xf numFmtId="0" fontId="22" fillId="0" borderId="0" xfId="52" applyFont="1"/>
    <xf numFmtId="2" fontId="8" fillId="0" borderId="154" xfId="52" applyNumberFormat="1" applyFont="1" applyBorder="1"/>
    <xf numFmtId="2" fontId="8" fillId="0" borderId="136" xfId="52" applyNumberFormat="1" applyFont="1" applyBorder="1"/>
    <xf numFmtId="169" fontId="8" fillId="0" borderId="144" xfId="52" applyNumberFormat="1" applyFont="1" applyBorder="1"/>
    <xf numFmtId="2" fontId="2" fillId="0" borderId="136" xfId="52" applyNumberFormat="1" applyBorder="1"/>
    <xf numFmtId="171" fontId="2" fillId="2" borderId="151" xfId="52" applyNumberFormat="1" applyFill="1" applyBorder="1" applyProtection="1">
      <protection locked="0"/>
    </xf>
    <xf numFmtId="2" fontId="2" fillId="0" borderId="152" xfId="52" applyNumberFormat="1" applyBorder="1"/>
    <xf numFmtId="0" fontId="49" fillId="0" borderId="146" xfId="52" applyFont="1" applyBorder="1" applyAlignment="1">
      <alignment horizontal="center"/>
    </xf>
    <xf numFmtId="169" fontId="2" fillId="2" borderId="151" xfId="60" applyFill="1" applyBorder="1" applyProtection="1">
      <protection locked="0"/>
    </xf>
    <xf numFmtId="0" fontId="8" fillId="0" borderId="73" xfId="52" applyFont="1" applyBorder="1"/>
    <xf numFmtId="0" fontId="2" fillId="0" borderId="73" xfId="52" applyBorder="1"/>
    <xf numFmtId="169" fontId="8" fillId="0" borderId="137" xfId="52" applyNumberFormat="1" applyFont="1" applyBorder="1"/>
    <xf numFmtId="0" fontId="13" fillId="0" borderId="217" xfId="52" applyFont="1" applyBorder="1"/>
    <xf numFmtId="171" fontId="2" fillId="21" borderId="0" xfId="52" applyNumberFormat="1" applyFill="1" applyAlignment="1" applyProtection="1">
      <alignment horizontal="center"/>
      <protection locked="0"/>
    </xf>
    <xf numFmtId="0" fontId="22" fillId="0" borderId="147" xfId="52" applyFont="1" applyBorder="1"/>
    <xf numFmtId="0" fontId="22" fillId="0" borderId="143" xfId="52" applyFont="1" applyBorder="1"/>
    <xf numFmtId="0" fontId="2" fillId="0" borderId="154" xfId="52" applyBorder="1" applyAlignment="1">
      <alignment horizontal="right"/>
    </xf>
    <xf numFmtId="0" fontId="8" fillId="0" borderId="0" xfId="52" applyFont="1" applyAlignment="1">
      <alignment horizontal="center"/>
    </xf>
    <xf numFmtId="2" fontId="86" fillId="0" borderId="0" xfId="52" applyNumberFormat="1" applyFont="1" applyAlignment="1">
      <alignment horizontal="center"/>
    </xf>
    <xf numFmtId="0" fontId="87" fillId="0" borderId="139" xfId="52" applyFont="1" applyBorder="1"/>
    <xf numFmtId="0" fontId="87" fillId="0" borderId="140" xfId="52" applyFont="1" applyBorder="1"/>
    <xf numFmtId="0" fontId="15" fillId="0" borderId="141" xfId="52" applyFont="1" applyBorder="1"/>
    <xf numFmtId="0" fontId="8" fillId="0" borderId="146" xfId="52" applyFont="1" applyBorder="1"/>
    <xf numFmtId="164" fontId="2" fillId="15" borderId="136" xfId="58" applyFont="1" applyFill="1" applyBorder="1" applyProtection="1">
      <protection locked="0"/>
    </xf>
    <xf numFmtId="200" fontId="2" fillId="0" borderId="136" xfId="58" applyNumberFormat="1" applyFont="1" applyBorder="1"/>
    <xf numFmtId="200" fontId="2" fillId="15" borderId="161" xfId="58" applyNumberFormat="1" applyFont="1" applyFill="1" applyBorder="1" applyProtection="1">
      <protection locked="0"/>
    </xf>
    <xf numFmtId="200" fontId="2" fillId="0" borderId="0" xfId="58" applyNumberFormat="1" applyFont="1" applyBorder="1"/>
    <xf numFmtId="200" fontId="5" fillId="0" borderId="136" xfId="52" applyNumberFormat="1" applyFont="1" applyBorder="1"/>
    <xf numFmtId="200" fontId="2" fillId="15" borderId="155" xfId="58" applyNumberFormat="1" applyFont="1" applyFill="1" applyBorder="1" applyProtection="1">
      <protection locked="0"/>
    </xf>
    <xf numFmtId="200" fontId="2" fillId="15" borderId="136" xfId="58" applyNumberFormat="1" applyFont="1" applyFill="1" applyBorder="1" applyProtection="1">
      <protection locked="0"/>
    </xf>
    <xf numFmtId="173" fontId="2" fillId="0" borderId="136" xfId="58" applyNumberFormat="1" applyBorder="1" applyAlignment="1">
      <alignment horizontal="right"/>
    </xf>
    <xf numFmtId="2" fontId="2" fillId="15" borderId="136" xfId="64" applyNumberFormat="1" applyFill="1" applyBorder="1" applyAlignment="1" applyProtection="1">
      <alignment horizontal="right"/>
      <protection locked="0"/>
    </xf>
    <xf numFmtId="0" fontId="49" fillId="0" borderId="146" xfId="52" applyFont="1" applyBorder="1"/>
    <xf numFmtId="179" fontId="2" fillId="0" borderId="136" xfId="52" applyNumberFormat="1" applyBorder="1"/>
    <xf numFmtId="200" fontId="8" fillId="0" borderId="136" xfId="52" applyNumberFormat="1" applyFont="1" applyBorder="1"/>
    <xf numFmtId="200" fontId="2" fillId="0" borderId="154" xfId="58" applyNumberFormat="1" applyFont="1" applyBorder="1"/>
    <xf numFmtId="179" fontId="5" fillId="0" borderId="136" xfId="52" applyNumberFormat="1" applyFont="1" applyBorder="1"/>
    <xf numFmtId="179" fontId="2" fillId="15" borderId="136" xfId="64" applyNumberFormat="1" applyFill="1" applyBorder="1" applyAlignment="1" applyProtection="1">
      <alignment horizontal="right"/>
      <protection locked="0"/>
    </xf>
    <xf numFmtId="0" fontId="2" fillId="0" borderId="179" xfId="52" applyBorder="1"/>
    <xf numFmtId="1" fontId="2" fillId="0" borderId="136" xfId="52" applyNumberFormat="1" applyBorder="1"/>
    <xf numFmtId="203" fontId="2" fillId="0" borderId="155" xfId="58" applyNumberFormat="1" applyFont="1" applyBorder="1"/>
    <xf numFmtId="0" fontId="8" fillId="0" borderId="141" xfId="52" applyFont="1" applyBorder="1"/>
    <xf numFmtId="203" fontId="2" fillId="0" borderId="136" xfId="58" applyNumberFormat="1" applyFont="1" applyBorder="1"/>
    <xf numFmtId="0" fontId="30" fillId="0" borderId="0" xfId="52" applyFont="1"/>
    <xf numFmtId="203" fontId="2" fillId="0" borderId="154" xfId="52" applyNumberFormat="1" applyBorder="1"/>
    <xf numFmtId="0" fontId="49" fillId="0" borderId="166" xfId="52" applyFont="1" applyBorder="1"/>
    <xf numFmtId="203" fontId="91" fillId="0" borderId="164" xfId="52" applyNumberFormat="1" applyFont="1" applyBorder="1"/>
    <xf numFmtId="179" fontId="2" fillId="0" borderId="155" xfId="52" applyNumberFormat="1" applyBorder="1"/>
    <xf numFmtId="203" fontId="5" fillId="0" borderId="136" xfId="52" applyNumberFormat="1" applyFont="1" applyBorder="1"/>
    <xf numFmtId="203" fontId="2" fillId="0" borderId="136" xfId="52" applyNumberFormat="1" applyBorder="1"/>
    <xf numFmtId="0" fontId="2" fillId="0" borderId="147" xfId="52" applyBorder="1"/>
    <xf numFmtId="0" fontId="2" fillId="0" borderId="0" xfId="52" applyAlignment="1">
      <alignment wrapText="1"/>
    </xf>
    <xf numFmtId="173" fontId="2" fillId="0" borderId="136" xfId="52" applyNumberFormat="1" applyBorder="1"/>
    <xf numFmtId="176" fontId="2" fillId="15" borderId="136" xfId="52" applyNumberFormat="1" applyFill="1" applyBorder="1" applyProtection="1">
      <protection locked="0"/>
    </xf>
    <xf numFmtId="168" fontId="2" fillId="0" borderId="136" xfId="52" applyNumberFormat="1" applyBorder="1"/>
    <xf numFmtId="2" fontId="2" fillId="21" borderId="136" xfId="64" applyNumberFormat="1" applyFill="1" applyBorder="1" applyAlignment="1" applyProtection="1">
      <alignment horizontal="center" vertical="center"/>
      <protection locked="0"/>
    </xf>
    <xf numFmtId="1" fontId="2" fillId="15" borderId="136" xfId="64" applyNumberFormat="1" applyFill="1" applyBorder="1" applyAlignment="1" applyProtection="1">
      <alignment horizontal="center" vertical="center"/>
      <protection locked="0"/>
    </xf>
    <xf numFmtId="0" fontId="2" fillId="0" borderId="141" xfId="52" applyBorder="1" applyAlignment="1">
      <alignment horizontal="right"/>
    </xf>
    <xf numFmtId="9" fontId="2" fillId="15" borderId="136" xfId="64" applyFont="1" applyFill="1" applyBorder="1" applyProtection="1">
      <protection locked="0"/>
    </xf>
    <xf numFmtId="173" fontId="2" fillId="15" borderId="136" xfId="58" applyNumberFormat="1" applyFill="1" applyBorder="1" applyAlignment="1" applyProtection="1">
      <alignment horizontal="center" vertical="center"/>
      <protection locked="0"/>
    </xf>
    <xf numFmtId="164" fontId="92" fillId="0" borderId="136" xfId="52" applyNumberFormat="1" applyFont="1" applyBorder="1"/>
    <xf numFmtId="0" fontId="2" fillId="0" borderId="0" xfId="52" applyAlignment="1">
      <alignment horizontal="right"/>
    </xf>
    <xf numFmtId="164" fontId="2" fillId="0" borderId="136" xfId="52" applyNumberFormat="1" applyBorder="1"/>
    <xf numFmtId="0" fontId="2" fillId="0" borderId="187" xfId="52" applyBorder="1"/>
    <xf numFmtId="1" fontId="2" fillId="15" borderId="136" xfId="64" applyNumberFormat="1" applyFill="1" applyBorder="1" applyAlignment="1" applyProtection="1">
      <alignment horizontal="right"/>
      <protection locked="0"/>
    </xf>
    <xf numFmtId="0" fontId="8" fillId="21" borderId="186" xfId="52" applyFont="1" applyFill="1" applyBorder="1" applyAlignment="1" applyProtection="1">
      <alignment vertical="top"/>
      <protection locked="0"/>
    </xf>
    <xf numFmtId="0" fontId="2" fillId="15" borderId="136" xfId="52" applyFill="1" applyBorder="1" applyAlignment="1" applyProtection="1">
      <alignment horizontal="right"/>
      <protection locked="0"/>
    </xf>
    <xf numFmtId="164" fontId="92" fillId="0" borderId="154" xfId="52" applyNumberFormat="1" applyFont="1" applyBorder="1"/>
    <xf numFmtId="0" fontId="2" fillId="15" borderId="184" xfId="52" applyFill="1" applyBorder="1" applyProtection="1">
      <protection locked="0"/>
    </xf>
    <xf numFmtId="164" fontId="2" fillId="0" borderId="290" xfId="52" applyNumberFormat="1" applyBorder="1"/>
    <xf numFmtId="0" fontId="2" fillId="15" borderId="136" xfId="0" applyFont="1" applyFill="1" applyBorder="1" applyAlignment="1" applyProtection="1">
      <alignment horizontal="center" vertical="center"/>
      <protection locked="0"/>
    </xf>
    <xf numFmtId="186" fontId="2" fillId="15" borderId="136" xfId="52" applyNumberFormat="1" applyFill="1" applyBorder="1" applyAlignment="1" applyProtection="1">
      <alignment horizontal="right"/>
      <protection locked="0"/>
    </xf>
    <xf numFmtId="200" fontId="2" fillId="0" borderId="0" xfId="58" applyNumberFormat="1" applyFont="1" applyBorder="1" applyAlignment="1">
      <alignment horizontal="center" vertical="center"/>
    </xf>
    <xf numFmtId="169" fontId="2" fillId="0" borderId="141" xfId="52" applyNumberFormat="1" applyBorder="1"/>
    <xf numFmtId="9" fontId="2" fillId="0" borderId="136" xfId="64" applyFont="1" applyBorder="1"/>
    <xf numFmtId="169" fontId="0" fillId="0" borderId="161" xfId="59" applyFont="1" applyFill="1" applyBorder="1" applyAlignment="1" applyProtection="1"/>
    <xf numFmtId="0" fontId="2" fillId="0" borderId="304" xfId="52" applyBorder="1"/>
    <xf numFmtId="2" fontId="22" fillId="0" borderId="136" xfId="59" applyNumberFormat="1" applyFont="1" applyFill="1" applyBorder="1" applyAlignment="1" applyProtection="1"/>
    <xf numFmtId="9" fontId="62" fillId="0" borderId="136" xfId="64" applyFont="1" applyBorder="1"/>
    <xf numFmtId="169" fontId="8" fillId="0" borderId="136" xfId="52" applyNumberFormat="1" applyFont="1" applyBorder="1" applyAlignment="1">
      <alignment horizontal="left" vertical="center"/>
    </xf>
    <xf numFmtId="171" fontId="2" fillId="2" borderId="136" xfId="52" applyNumberFormat="1" applyFill="1" applyBorder="1" applyAlignment="1" applyProtection="1">
      <alignment horizontal="center" vertical="center"/>
      <protection locked="0"/>
    </xf>
    <xf numFmtId="169" fontId="2" fillId="16" borderId="136" xfId="60" applyFill="1" applyBorder="1" applyProtection="1">
      <protection locked="0"/>
    </xf>
    <xf numFmtId="0" fontId="20" fillId="15" borderId="136" xfId="52" applyFont="1" applyFill="1" applyBorder="1" applyProtection="1">
      <protection locked="0"/>
    </xf>
    <xf numFmtId="0" fontId="19" fillId="15" borderId="136" xfId="52" applyFont="1" applyFill="1" applyBorder="1" applyAlignment="1" applyProtection="1">
      <alignment wrapText="1"/>
      <protection locked="0"/>
    </xf>
    <xf numFmtId="1" fontId="2" fillId="21" borderId="136" xfId="52" applyNumberFormat="1" applyFill="1" applyBorder="1" applyAlignment="1" applyProtection="1">
      <alignment horizontal="center" vertical="center"/>
      <protection locked="0"/>
    </xf>
    <xf numFmtId="169" fontId="2" fillId="2" borderId="136" xfId="60" applyFill="1" applyBorder="1" applyAlignment="1" applyProtection="1">
      <alignment horizontal="center" vertical="center"/>
      <protection locked="0"/>
    </xf>
    <xf numFmtId="1" fontId="2" fillId="15" borderId="136" xfId="52" applyNumberFormat="1" applyFill="1" applyBorder="1" applyProtection="1">
      <protection locked="0"/>
    </xf>
    <xf numFmtId="169" fontId="2" fillId="0" borderId="141" xfId="60" applyBorder="1"/>
    <xf numFmtId="9" fontId="26" fillId="0" borderId="136" xfId="64" applyFont="1" applyBorder="1" applyAlignment="1">
      <alignment horizontal="center" vertical="center" wrapText="1"/>
    </xf>
    <xf numFmtId="9" fontId="8" fillId="0" borderId="136" xfId="64" applyFont="1" applyBorder="1"/>
    <xf numFmtId="171" fontId="2" fillId="2" borderId="136" xfId="52" applyNumberFormat="1" applyFill="1" applyBorder="1" applyProtection="1">
      <protection locked="0"/>
    </xf>
    <xf numFmtId="169" fontId="2" fillId="0" borderId="0" xfId="60" applyBorder="1"/>
    <xf numFmtId="2" fontId="8" fillId="0" borderId="168" xfId="52" applyNumberFormat="1" applyFont="1" applyBorder="1"/>
    <xf numFmtId="0" fontId="2" fillId="0" borderId="136" xfId="52" applyBorder="1" applyAlignment="1">
      <alignment horizontal="right"/>
    </xf>
    <xf numFmtId="176" fontId="2" fillId="0" borderId="136" xfId="52" applyNumberFormat="1" applyBorder="1"/>
    <xf numFmtId="2" fontId="2" fillId="15" borderId="294" xfId="52" applyNumberFormat="1" applyFill="1" applyBorder="1" applyAlignment="1" applyProtection="1">
      <alignment horizontal="left" vertical="top"/>
      <protection locked="0"/>
    </xf>
    <xf numFmtId="175" fontId="2" fillId="0" borderId="154" xfId="52" applyNumberFormat="1" applyBorder="1"/>
    <xf numFmtId="44" fontId="86" fillId="0" borderId="140" xfId="62" applyFont="1" applyBorder="1" applyAlignment="1">
      <alignment vertical="center"/>
    </xf>
    <xf numFmtId="44" fontId="86" fillId="0" borderId="145" xfId="62" applyFont="1" applyBorder="1" applyAlignment="1">
      <alignment vertical="center"/>
    </xf>
    <xf numFmtId="179" fontId="2" fillId="0" borderId="136" xfId="52" applyNumberFormat="1" applyBorder="1" applyAlignment="1">
      <alignment horizontal="center" vertical="center"/>
    </xf>
    <xf numFmtId="0" fontId="2" fillId="0" borderId="136" xfId="52" applyBorder="1" applyAlignment="1">
      <alignment horizontal="center" vertical="center"/>
    </xf>
    <xf numFmtId="179" fontId="2" fillId="15" borderId="136" xfId="52" applyNumberFormat="1" applyFill="1" applyBorder="1" applyAlignment="1" applyProtection="1">
      <alignment horizontal="center" vertical="center"/>
      <protection locked="0"/>
    </xf>
    <xf numFmtId="175" fontId="15" fillId="0" borderId="136" xfId="52" applyNumberFormat="1" applyFont="1" applyBorder="1"/>
    <xf numFmtId="0" fontId="8" fillId="0" borderId="136" xfId="52" applyFont="1" applyBorder="1"/>
    <xf numFmtId="175" fontId="86" fillId="0" borderId="161" xfId="52" applyNumberFormat="1" applyFont="1" applyBorder="1"/>
    <xf numFmtId="175" fontId="86" fillId="0" borderId="136" xfId="52" applyNumberFormat="1" applyFont="1" applyBorder="1"/>
    <xf numFmtId="175" fontId="86" fillId="0" borderId="211" xfId="52" applyNumberFormat="1" applyFont="1" applyBorder="1"/>
    <xf numFmtId="179" fontId="2" fillId="0" borderId="154" xfId="52" applyNumberFormat="1" applyBorder="1" applyAlignment="1">
      <alignment horizontal="center" vertical="center"/>
    </xf>
    <xf numFmtId="0" fontId="2" fillId="0" borderId="154" xfId="52" applyBorder="1" applyAlignment="1">
      <alignment horizontal="center" vertical="center"/>
    </xf>
    <xf numFmtId="179" fontId="2" fillId="15" borderId="154" xfId="52" applyNumberFormat="1" applyFill="1" applyBorder="1" applyAlignment="1" applyProtection="1">
      <alignment horizontal="center" vertical="center"/>
      <protection locked="0"/>
    </xf>
    <xf numFmtId="175" fontId="15" fillId="0" borderId="154" xfId="52" applyNumberFormat="1" applyFont="1" applyBorder="1"/>
    <xf numFmtId="0" fontId="8" fillId="0" borderId="154" xfId="52" applyFont="1" applyBorder="1" applyAlignment="1">
      <alignment wrapText="1"/>
    </xf>
    <xf numFmtId="2" fontId="15" fillId="0" borderId="136" xfId="52" applyNumberFormat="1" applyFont="1" applyBorder="1"/>
    <xf numFmtId="2" fontId="15" fillId="0" borderId="155" xfId="52" applyNumberFormat="1" applyFont="1" applyBorder="1"/>
    <xf numFmtId="200" fontId="2" fillId="0" borderId="155" xfId="58" applyNumberFormat="1" applyFont="1" applyBorder="1" applyAlignment="1">
      <alignment horizontal="center" vertical="center"/>
    </xf>
    <xf numFmtId="2" fontId="86" fillId="0" borderId="136" xfId="52" applyNumberFormat="1" applyFont="1" applyBorder="1"/>
    <xf numFmtId="2" fontId="86" fillId="0" borderId="211" xfId="52" applyNumberFormat="1" applyFont="1" applyBorder="1"/>
    <xf numFmtId="0" fontId="26" fillId="0" borderId="0" xfId="52" applyFont="1"/>
    <xf numFmtId="176" fontId="86" fillId="0" borderId="143" xfId="52" applyNumberFormat="1" applyFont="1" applyBorder="1" applyAlignment="1">
      <alignment horizontal="center"/>
    </xf>
    <xf numFmtId="2" fontId="86" fillId="0" borderId="143" xfId="52" applyNumberFormat="1" applyFont="1" applyBorder="1" applyAlignment="1">
      <alignment horizontal="center"/>
    </xf>
    <xf numFmtId="2" fontId="86" fillId="0" borderId="147" xfId="52" applyNumberFormat="1" applyFont="1" applyBorder="1" applyAlignment="1">
      <alignment horizontal="center"/>
    </xf>
    <xf numFmtId="44" fontId="86" fillId="0" borderId="0" xfId="62" applyFont="1" applyBorder="1" applyAlignment="1">
      <alignment horizontal="center"/>
    </xf>
    <xf numFmtId="200" fontId="91" fillId="0" borderId="144" xfId="52" applyNumberFormat="1" applyFont="1" applyBorder="1"/>
    <xf numFmtId="200" fontId="0" fillId="21" borderId="136" xfId="58" applyNumberFormat="1" applyFont="1" applyFill="1" applyBorder="1" applyAlignment="1" applyProtection="1"/>
    <xf numFmtId="173" fontId="2" fillId="0" borderId="136" xfId="58" applyNumberFormat="1" applyBorder="1" applyAlignment="1"/>
    <xf numFmtId="9" fontId="0" fillId="15" borderId="136" xfId="64" applyFont="1" applyFill="1" applyBorder="1" applyAlignment="1" applyProtection="1">
      <alignment horizontal="center" vertical="center"/>
      <protection locked="0"/>
    </xf>
    <xf numFmtId="179" fontId="2" fillId="15" borderId="136" xfId="64" applyNumberFormat="1" applyFont="1" applyFill="1" applyBorder="1" applyProtection="1">
      <protection locked="0"/>
    </xf>
    <xf numFmtId="0" fontId="2" fillId="0" borderId="0" xfId="52" applyAlignment="1">
      <alignment horizontal="left" vertical="top"/>
    </xf>
    <xf numFmtId="0" fontId="2" fillId="15" borderId="305" xfId="52" applyFill="1" applyBorder="1" applyProtection="1">
      <protection locked="0"/>
    </xf>
    <xf numFmtId="2" fontId="2" fillId="21" borderId="136" xfId="52" applyNumberFormat="1" applyFill="1" applyBorder="1" applyAlignment="1" applyProtection="1">
      <alignment horizontal="center" vertical="center"/>
      <protection locked="0"/>
    </xf>
    <xf numFmtId="185" fontId="9" fillId="0" borderId="154" xfId="29" applyNumberFormat="1" applyFont="1" applyBorder="1" applyAlignment="1">
      <alignment vertical="center"/>
    </xf>
    <xf numFmtId="185" fontId="13" fillId="0" borderId="154" xfId="29" applyNumberFormat="1" applyFont="1" applyBorder="1" applyAlignment="1">
      <alignment vertical="center"/>
    </xf>
    <xf numFmtId="185" fontId="22" fillId="18" borderId="136" xfId="37" applyNumberFormat="1" applyFont="1" applyFill="1" applyBorder="1"/>
    <xf numFmtId="0" fontId="49" fillId="0" borderId="0" xfId="52" applyFont="1" applyAlignment="1">
      <alignment horizontal="center"/>
    </xf>
    <xf numFmtId="0" fontId="0" fillId="0" borderId="136" xfId="0" applyBorder="1" applyAlignment="1">
      <alignment horizontal="center" vertical="center"/>
    </xf>
    <xf numFmtId="0" fontId="2" fillId="15" borderId="151" xfId="52" applyFill="1" applyBorder="1" applyAlignment="1" applyProtection="1">
      <alignment horizontal="center"/>
      <protection locked="0"/>
    </xf>
    <xf numFmtId="0" fontId="8" fillId="0" borderId="137" xfId="0" applyFont="1" applyBorder="1" applyAlignment="1">
      <alignment horizontal="center" vertical="center"/>
    </xf>
    <xf numFmtId="0" fontId="2" fillId="0" borderId="0" xfId="0" applyFont="1" applyAlignment="1">
      <alignment wrapText="1"/>
    </xf>
    <xf numFmtId="0" fontId="2" fillId="0" borderId="141" xfId="0" applyFont="1" applyBorder="1"/>
    <xf numFmtId="0" fontId="5" fillId="0" borderId="139" xfId="0" applyFont="1" applyBorder="1"/>
    <xf numFmtId="179" fontId="0" fillId="21" borderId="136" xfId="0" applyNumberFormat="1" applyFill="1" applyBorder="1" applyAlignment="1">
      <alignment horizontal="right"/>
    </xf>
    <xf numFmtId="0" fontId="0" fillId="0" borderId="156" xfId="0" applyBorder="1"/>
    <xf numFmtId="0" fontId="2" fillId="0" borderId="136" xfId="0" applyFont="1" applyBorder="1"/>
    <xf numFmtId="179" fontId="0" fillId="0" borderId="136" xfId="0" applyNumberFormat="1" applyBorder="1" applyAlignment="1">
      <alignment horizontal="right"/>
    </xf>
    <xf numFmtId="179" fontId="69" fillId="0" borderId="136" xfId="0" applyNumberFormat="1" applyFont="1" applyBorder="1" applyAlignment="1">
      <alignment horizontal="right"/>
    </xf>
    <xf numFmtId="0" fontId="0" fillId="0" borderId="152" xfId="0" applyBorder="1"/>
    <xf numFmtId="1" fontId="2" fillId="0" borderId="136" xfId="0" applyNumberFormat="1" applyFont="1" applyBorder="1" applyAlignment="1">
      <alignment horizontal="right"/>
    </xf>
    <xf numFmtId="179" fontId="2" fillId="15" borderId="136" xfId="0" applyNumberFormat="1" applyFont="1" applyFill="1" applyBorder="1" applyAlignment="1" applyProtection="1">
      <alignment horizontal="right"/>
      <protection locked="0"/>
    </xf>
    <xf numFmtId="1" fontId="93" fillId="0" borderId="164" xfId="0" applyNumberFormat="1" applyFont="1" applyBorder="1" applyAlignment="1">
      <alignment horizontal="right"/>
    </xf>
    <xf numFmtId="179" fontId="18" fillId="0" borderId="156" xfId="0" applyNumberFormat="1" applyFont="1" applyBorder="1" applyAlignment="1">
      <alignment horizontal="right"/>
    </xf>
    <xf numFmtId="1" fontId="8" fillId="0" borderId="136" xfId="0" applyNumberFormat="1" applyFont="1" applyBorder="1" applyAlignment="1">
      <alignment horizontal="right"/>
    </xf>
    <xf numFmtId="176" fontId="0" fillId="0" borderId="154" xfId="0" applyNumberFormat="1" applyBorder="1" applyAlignment="1">
      <alignment horizontal="right"/>
    </xf>
    <xf numFmtId="0" fontId="62" fillId="0" borderId="166" xfId="0" applyFont="1" applyBorder="1"/>
    <xf numFmtId="176" fontId="61" fillId="0" borderId="161" xfId="0" applyNumberFormat="1" applyFont="1" applyBorder="1" applyAlignment="1">
      <alignment horizontal="center" vertical="center" wrapText="1"/>
    </xf>
    <xf numFmtId="0" fontId="94" fillId="0" borderId="0" xfId="0" applyFont="1" applyAlignment="1">
      <alignment vertical="center"/>
    </xf>
    <xf numFmtId="0" fontId="95" fillId="0" borderId="0" xfId="0" applyFont="1" applyAlignment="1">
      <alignment vertical="center"/>
    </xf>
    <xf numFmtId="0" fontId="22" fillId="0" borderId="38" xfId="20" applyFont="1" applyBorder="1" applyAlignment="1">
      <alignment horizontal="center" vertical="center" wrapText="1"/>
    </xf>
    <xf numFmtId="0" fontId="0" fillId="2" borderId="30" xfId="0" applyFill="1" applyBorder="1" applyProtection="1">
      <protection locked="0"/>
    </xf>
    <xf numFmtId="0" fontId="13" fillId="21" borderId="155" xfId="0" applyFont="1" applyFill="1" applyBorder="1" applyAlignment="1" applyProtection="1">
      <alignment horizontal="center"/>
      <protection locked="0"/>
    </xf>
    <xf numFmtId="185" fontId="46" fillId="16" borderId="193" xfId="37" applyNumberFormat="1" applyFill="1" applyBorder="1" applyAlignment="1" applyProtection="1">
      <alignment horizontal="right"/>
    </xf>
    <xf numFmtId="185" fontId="46" fillId="16" borderId="136" xfId="37" applyNumberFormat="1" applyFill="1" applyBorder="1" applyAlignment="1" applyProtection="1">
      <alignment horizontal="right"/>
    </xf>
    <xf numFmtId="0" fontId="72" fillId="19" borderId="0" xfId="0" applyFont="1" applyFill="1" applyAlignment="1">
      <alignment horizontal="center"/>
    </xf>
    <xf numFmtId="0" fontId="8" fillId="15" borderId="253" xfId="0" applyFont="1" applyFill="1" applyBorder="1" applyAlignment="1" applyProtection="1">
      <alignment horizontal="center" vertical="center"/>
      <protection locked="0"/>
    </xf>
    <xf numFmtId="0" fontId="8" fillId="15" borderId="306" xfId="0" applyFont="1" applyFill="1" applyBorder="1" applyAlignment="1" applyProtection="1">
      <alignment horizontal="center" vertical="center"/>
      <protection locked="0"/>
    </xf>
    <xf numFmtId="0" fontId="8" fillId="15" borderId="218" xfId="0" applyFont="1" applyFill="1" applyBorder="1" applyAlignment="1" applyProtection="1">
      <alignment horizontal="center" vertical="center"/>
      <protection locked="0"/>
    </xf>
    <xf numFmtId="14" fontId="0" fillId="0" borderId="136" xfId="0" applyNumberFormat="1" applyBorder="1" applyAlignment="1">
      <alignment horizontal="left"/>
    </xf>
    <xf numFmtId="2" fontId="3" fillId="0" borderId="136" xfId="0" applyNumberFormat="1" applyFont="1" applyBorder="1" applyAlignment="1" applyProtection="1">
      <alignment horizontal="center"/>
      <protection locked="0"/>
    </xf>
    <xf numFmtId="0" fontId="9" fillId="0" borderId="154" xfId="0" applyFont="1" applyBorder="1"/>
    <xf numFmtId="10" fontId="46" fillId="15" borderId="136" xfId="29" applyNumberFormat="1" applyFill="1" applyBorder="1" applyAlignment="1" applyProtection="1">
      <alignment horizontal="center" vertical="center"/>
      <protection locked="0"/>
    </xf>
    <xf numFmtId="10" fontId="46" fillId="15" borderId="154" xfId="29" applyNumberFormat="1" applyFill="1" applyBorder="1" applyAlignment="1" applyProtection="1">
      <alignment horizontal="center" vertical="center"/>
      <protection locked="0"/>
    </xf>
    <xf numFmtId="169" fontId="22" fillId="29" borderId="0" xfId="20" applyNumberFormat="1" applyFont="1" applyFill="1"/>
    <xf numFmtId="0" fontId="0" fillId="0" borderId="136" xfId="20" applyFont="1" applyBorder="1" applyAlignment="1">
      <alignment horizontal="center" vertical="center" wrapText="1"/>
    </xf>
    <xf numFmtId="169" fontId="22" fillId="29" borderId="0" xfId="37" applyFont="1" applyFill="1" applyBorder="1" applyAlignment="1" applyProtection="1"/>
    <xf numFmtId="0" fontId="0" fillId="2" borderId="24" xfId="0" applyFill="1" applyBorder="1" applyProtection="1">
      <protection locked="0"/>
    </xf>
    <xf numFmtId="169" fontId="22" fillId="0" borderId="307" xfId="37" applyFont="1" applyFill="1" applyBorder="1" applyAlignment="1" applyProtection="1"/>
    <xf numFmtId="0" fontId="13" fillId="21" borderId="155" xfId="0" applyFont="1" applyFill="1" applyBorder="1" applyAlignment="1" applyProtection="1">
      <alignment horizontal="center" vertical="center"/>
      <protection locked="0"/>
    </xf>
    <xf numFmtId="0" fontId="46" fillId="33" borderId="0" xfId="20" applyFill="1" applyAlignment="1">
      <alignment vertical="center"/>
    </xf>
    <xf numFmtId="0" fontId="8" fillId="0" borderId="166" xfId="52" applyFont="1" applyBorder="1" applyAlignment="1">
      <alignment vertical="center"/>
    </xf>
    <xf numFmtId="0" fontId="97" fillId="0" borderId="0" xfId="18" applyFont="1" applyFill="1"/>
    <xf numFmtId="0" fontId="8" fillId="0" borderId="151" xfId="0" applyFont="1" applyBorder="1" applyAlignment="1">
      <alignment vertical="top"/>
    </xf>
    <xf numFmtId="0" fontId="8" fillId="0" borderId="161" xfId="0" applyFont="1" applyBorder="1" applyAlignment="1">
      <alignment vertical="top"/>
    </xf>
    <xf numFmtId="171" fontId="8" fillId="0" borderId="0" xfId="0" applyNumberFormat="1" applyFont="1" applyAlignment="1">
      <alignment horizontal="left"/>
    </xf>
    <xf numFmtId="170" fontId="8" fillId="0" borderId="166" xfId="29" applyNumberFormat="1" applyFont="1" applyFill="1" applyBorder="1" applyAlignment="1" applyProtection="1"/>
    <xf numFmtId="179" fontId="0" fillId="0" borderId="0" xfId="0" applyNumberFormat="1" applyAlignment="1">
      <alignment horizontal="center"/>
    </xf>
    <xf numFmtId="179" fontId="8" fillId="0" borderId="244" xfId="0" applyNumberFormat="1" applyFont="1" applyBorder="1" applyAlignment="1">
      <alignment horizontal="center"/>
    </xf>
    <xf numFmtId="179" fontId="8" fillId="0" borderId="245" xfId="0" applyNumberFormat="1" applyFont="1" applyBorder="1" applyAlignment="1">
      <alignment horizontal="center"/>
    </xf>
    <xf numFmtId="0" fontId="0" fillId="16" borderId="4" xfId="0" applyFill="1" applyBorder="1" applyAlignment="1">
      <alignment horizontal="center"/>
    </xf>
    <xf numFmtId="2" fontId="0" fillId="0" borderId="0" xfId="0" applyNumberFormat="1" applyAlignment="1">
      <alignment wrapText="1"/>
    </xf>
    <xf numFmtId="0" fontId="16" fillId="0" borderId="0" xfId="0" applyFont="1" applyAlignment="1">
      <alignment horizontal="left" vertical="center"/>
    </xf>
    <xf numFmtId="49" fontId="0" fillId="15" borderId="136" xfId="0" applyNumberFormat="1" applyFill="1" applyBorder="1" applyProtection="1">
      <protection locked="0"/>
    </xf>
    <xf numFmtId="0" fontId="9" fillId="15" borderId="176" xfId="0" applyFont="1" applyFill="1" applyBorder="1" applyAlignment="1" applyProtection="1">
      <alignment wrapText="1"/>
      <protection locked="0"/>
    </xf>
    <xf numFmtId="0" fontId="3" fillId="0" borderId="46" xfId="37" applyNumberFormat="1" applyFont="1" applyFill="1" applyBorder="1" applyAlignment="1" applyProtection="1"/>
    <xf numFmtId="49" fontId="0" fillId="21" borderId="136" xfId="0" applyNumberFormat="1" applyFill="1" applyBorder="1"/>
    <xf numFmtId="0" fontId="45" fillId="0" borderId="0" xfId="65" applyFont="1"/>
    <xf numFmtId="0" fontId="2" fillId="0" borderId="0" xfId="65"/>
    <xf numFmtId="2" fontId="2" fillId="0" borderId="0" xfId="65" applyNumberFormat="1" applyProtection="1">
      <protection locked="0"/>
    </xf>
    <xf numFmtId="0" fontId="15" fillId="0" borderId="0" xfId="65" applyFont="1"/>
    <xf numFmtId="0" fontId="99" fillId="0" borderId="0" xfId="65" applyFont="1" applyAlignment="1">
      <alignment horizontal="center" vertical="center" wrapText="1"/>
    </xf>
    <xf numFmtId="0" fontId="61" fillId="0" borderId="0" xfId="65" applyFont="1" applyAlignment="1">
      <alignment horizontal="center" vertical="center" wrapText="1"/>
    </xf>
    <xf numFmtId="0" fontId="8" fillId="0" borderId="136" xfId="65" applyFont="1" applyBorder="1" applyAlignment="1">
      <alignment horizontal="center" vertical="center"/>
    </xf>
    <xf numFmtId="0" fontId="2" fillId="0" borderId="151" xfId="65" applyBorder="1" applyAlignment="1">
      <alignment horizontal="center" vertical="center"/>
    </xf>
    <xf numFmtId="0" fontId="85" fillId="15" borderId="241" xfId="65" applyFont="1" applyFill="1" applyBorder="1" applyAlignment="1" applyProtection="1">
      <alignment wrapText="1"/>
      <protection locked="0"/>
    </xf>
    <xf numFmtId="0" fontId="2" fillId="0" borderId="140" xfId="65" applyBorder="1"/>
    <xf numFmtId="0" fontId="13" fillId="0" borderId="140" xfId="65" applyFont="1" applyBorder="1"/>
    <xf numFmtId="0" fontId="13" fillId="15" borderId="247" xfId="65" applyFont="1" applyFill="1" applyBorder="1" applyAlignment="1" applyProtection="1">
      <alignment horizontal="center" vertical="center"/>
      <protection locked="0"/>
    </xf>
    <xf numFmtId="0" fontId="13" fillId="15" borderId="247" xfId="65" applyFont="1" applyFill="1" applyBorder="1" applyAlignment="1" applyProtection="1">
      <alignment horizontal="center" vertical="center" wrapText="1"/>
      <protection locked="0"/>
    </xf>
    <xf numFmtId="0" fontId="13" fillId="0" borderId="140" xfId="65" applyFont="1" applyBorder="1" applyAlignment="1">
      <alignment horizontal="center"/>
    </xf>
    <xf numFmtId="0" fontId="2" fillId="0" borderId="140" xfId="65" applyBorder="1" applyAlignment="1">
      <alignment horizontal="center" wrapText="1"/>
    </xf>
    <xf numFmtId="0" fontId="16" fillId="0" borderId="241" xfId="65" applyFont="1" applyBorder="1"/>
    <xf numFmtId="0" fontId="2" fillId="0" borderId="145" xfId="65" applyBorder="1" applyAlignment="1">
      <alignment horizontal="center"/>
    </xf>
    <xf numFmtId="0" fontId="13" fillId="15" borderId="136" xfId="65" applyFont="1" applyFill="1" applyBorder="1" applyAlignment="1" applyProtection="1">
      <alignment horizontal="center" vertical="center"/>
      <protection locked="0"/>
    </xf>
    <xf numFmtId="0" fontId="2" fillId="15" borderId="151" xfId="65" applyFill="1" applyBorder="1" applyAlignment="1" applyProtection="1">
      <alignment horizontal="center" vertical="center"/>
      <protection locked="0"/>
    </xf>
    <xf numFmtId="0" fontId="2" fillId="15" borderId="176" xfId="65" applyFill="1" applyBorder="1" applyProtection="1">
      <protection locked="0"/>
    </xf>
    <xf numFmtId="179" fontId="2" fillId="15" borderId="136" xfId="65" applyNumberFormat="1" applyFill="1" applyBorder="1" applyProtection="1">
      <protection locked="0"/>
    </xf>
    <xf numFmtId="0" fontId="2" fillId="15" borderId="136" xfId="65" applyFill="1" applyBorder="1" applyAlignment="1" applyProtection="1">
      <alignment horizontal="center"/>
      <protection locked="0"/>
    </xf>
    <xf numFmtId="169" fontId="2" fillId="15" borderId="136" xfId="66" applyFill="1" applyBorder="1" applyProtection="1">
      <protection locked="0"/>
    </xf>
    <xf numFmtId="179" fontId="2" fillId="15" borderId="136" xfId="66" applyNumberFormat="1" applyFill="1" applyBorder="1" applyAlignment="1" applyProtection="1">
      <alignment horizontal="center" vertical="center"/>
      <protection locked="0"/>
    </xf>
    <xf numFmtId="169" fontId="13" fillId="0" borderId="136" xfId="66" applyFont="1" applyBorder="1"/>
    <xf numFmtId="9" fontId="2" fillId="15" borderId="136" xfId="65" applyNumberFormat="1" applyFill="1" applyBorder="1" applyProtection="1">
      <protection locked="0"/>
    </xf>
    <xf numFmtId="169" fontId="2" fillId="0" borderId="0" xfId="66" applyBorder="1"/>
    <xf numFmtId="198" fontId="2" fillId="0" borderId="0" xfId="54" applyNumberFormat="1" applyBorder="1" applyAlignment="1">
      <alignment horizontal="center"/>
    </xf>
    <xf numFmtId="0" fontId="49" fillId="0" borderId="141" xfId="65" applyFont="1" applyBorder="1" applyAlignment="1">
      <alignment horizontal="right"/>
    </xf>
    <xf numFmtId="169" fontId="49" fillId="0" borderId="309" xfId="65" applyNumberFormat="1" applyFont="1" applyBorder="1"/>
    <xf numFmtId="44" fontId="49" fillId="0" borderId="146" xfId="56" applyFont="1" applyBorder="1"/>
    <xf numFmtId="9" fontId="2" fillId="15" borderId="136" xfId="67" applyFont="1" applyFill="1" applyBorder="1" applyProtection="1">
      <protection locked="0"/>
    </xf>
    <xf numFmtId="0" fontId="98" fillId="0" borderId="141" xfId="65" applyFont="1" applyBorder="1"/>
    <xf numFmtId="0" fontId="2" fillId="0" borderId="146" xfId="65" applyBorder="1"/>
    <xf numFmtId="0" fontId="13" fillId="0" borderId="0" xfId="65" applyFont="1"/>
    <xf numFmtId="0" fontId="15" fillId="0" borderId="141" xfId="65" applyFont="1" applyBorder="1" applyAlignment="1">
      <alignment horizontal="left"/>
    </xf>
    <xf numFmtId="169" fontId="15" fillId="0" borderId="155" xfId="66" applyFont="1" applyBorder="1"/>
    <xf numFmtId="44" fontId="2" fillId="0" borderId="146" xfId="56" applyFont="1" applyBorder="1"/>
    <xf numFmtId="169" fontId="49" fillId="0" borderId="309" xfId="66" applyFont="1" applyBorder="1"/>
    <xf numFmtId="0" fontId="2" fillId="0" borderId="141" xfId="65" applyBorder="1"/>
    <xf numFmtId="0" fontId="15" fillId="0" borderId="141" xfId="65" applyFont="1" applyBorder="1"/>
    <xf numFmtId="0" fontId="14" fillId="0" borderId="141" xfId="65" applyFont="1" applyBorder="1"/>
    <xf numFmtId="169" fontId="16" fillId="0" borderId="136" xfId="66" applyFont="1" applyBorder="1"/>
    <xf numFmtId="0" fontId="2" fillId="15" borderId="136" xfId="65" applyFill="1" applyBorder="1" applyAlignment="1" applyProtection="1">
      <alignment horizontal="center" vertical="center"/>
      <protection locked="0"/>
    </xf>
    <xf numFmtId="169" fontId="2" fillId="0" borderId="152" xfId="66" applyBorder="1"/>
    <xf numFmtId="0" fontId="2" fillId="21" borderId="141" xfId="65" applyFill="1" applyBorder="1"/>
    <xf numFmtId="169" fontId="2" fillId="0" borderId="309" xfId="66" applyBorder="1"/>
    <xf numFmtId="0" fontId="2" fillId="0" borderId="139" xfId="65" applyBorder="1"/>
    <xf numFmtId="169" fontId="2" fillId="0" borderId="247" xfId="66" applyBorder="1"/>
    <xf numFmtId="0" fontId="2" fillId="0" borderId="142" xfId="65" applyBorder="1"/>
    <xf numFmtId="171" fontId="2" fillId="15" borderId="166" xfId="54" applyFill="1" applyBorder="1" applyAlignment="1" applyProtection="1">
      <alignment horizontal="center"/>
      <protection locked="0"/>
    </xf>
    <xf numFmtId="169" fontId="5" fillId="0" borderId="155" xfId="65" applyNumberFormat="1" applyFont="1" applyBorder="1"/>
    <xf numFmtId="0" fontId="14" fillId="0" borderId="141" xfId="65" applyFont="1" applyBorder="1" applyAlignment="1">
      <alignment horizontal="right"/>
    </xf>
    <xf numFmtId="0" fontId="100" fillId="15" borderId="136" xfId="65" applyFont="1" applyFill="1" applyBorder="1" applyAlignment="1" applyProtection="1">
      <alignment horizontal="center"/>
      <protection locked="0"/>
    </xf>
    <xf numFmtId="0" fontId="2" fillId="0" borderId="143" xfId="65" applyBorder="1"/>
    <xf numFmtId="169" fontId="28" fillId="0" borderId="238" xfId="66" applyFont="1" applyBorder="1"/>
    <xf numFmtId="169" fontId="2" fillId="0" borderId="211" xfId="65" applyNumberFormat="1" applyBorder="1"/>
    <xf numFmtId="169" fontId="28" fillId="0" borderId="311" xfId="66" applyFont="1" applyBorder="1"/>
    <xf numFmtId="169" fontId="2" fillId="0" borderId="312" xfId="65" applyNumberFormat="1" applyBorder="1"/>
    <xf numFmtId="0" fontId="2" fillId="0" borderId="293" xfId="65" applyBorder="1"/>
    <xf numFmtId="0" fontId="2" fillId="0" borderId="239" xfId="65" applyBorder="1"/>
    <xf numFmtId="0" fontId="2" fillId="15" borderId="190" xfId="65" applyFill="1" applyBorder="1" applyAlignment="1" applyProtection="1">
      <alignment horizontal="center"/>
      <protection locked="0"/>
    </xf>
    <xf numFmtId="0" fontId="2" fillId="0" borderId="257" xfId="65" applyBorder="1"/>
    <xf numFmtId="179" fontId="22" fillId="0" borderId="143" xfId="65" applyNumberFormat="1" applyFont="1" applyBorder="1"/>
    <xf numFmtId="0" fontId="22" fillId="0" borderId="143" xfId="65" applyFont="1" applyBorder="1"/>
    <xf numFmtId="169" fontId="22" fillId="0" borderId="143" xfId="65" applyNumberFormat="1" applyFont="1" applyBorder="1"/>
    <xf numFmtId="0" fontId="8" fillId="0" borderId="143" xfId="65" applyFont="1" applyBorder="1"/>
    <xf numFmtId="199" fontId="8" fillId="0" borderId="143" xfId="67" applyNumberFormat="1" applyFont="1" applyBorder="1" applyAlignment="1">
      <alignment horizontal="center" vertical="center"/>
    </xf>
    <xf numFmtId="0" fontId="2" fillId="0" borderId="0" xfId="65" applyAlignment="1">
      <alignment horizontal="center"/>
    </xf>
    <xf numFmtId="0" fontId="2" fillId="0" borderId="187" xfId="65" applyBorder="1" applyAlignment="1">
      <alignment horizontal="center" vertical="center"/>
    </xf>
    <xf numFmtId="0" fontId="62" fillId="15" borderId="241" xfId="65" applyFont="1" applyFill="1" applyBorder="1" applyProtection="1">
      <protection locked="0"/>
    </xf>
    <xf numFmtId="0" fontId="13" fillId="15" borderId="136" xfId="65" applyFont="1" applyFill="1" applyBorder="1" applyProtection="1">
      <protection locked="0"/>
    </xf>
    <xf numFmtId="0" fontId="13" fillId="0" borderId="140" xfId="65" applyFont="1" applyBorder="1" applyAlignment="1">
      <alignment horizontal="center" vertical="center" wrapText="1"/>
    </xf>
    <xf numFmtId="2" fontId="2" fillId="15" borderId="136" xfId="65" applyNumberFormat="1" applyFill="1" applyBorder="1" applyProtection="1">
      <protection locked="0"/>
    </xf>
    <xf numFmtId="179" fontId="2" fillId="15" borderId="136" xfId="66" applyNumberFormat="1" applyFill="1" applyBorder="1" applyProtection="1">
      <protection locked="0"/>
    </xf>
    <xf numFmtId="171" fontId="2" fillId="15" borderId="136" xfId="54" applyFill="1" applyBorder="1" applyProtection="1">
      <protection locked="0"/>
    </xf>
    <xf numFmtId="198" fontId="2" fillId="0" borderId="146" xfId="54" applyNumberFormat="1" applyBorder="1" applyAlignment="1">
      <alignment horizontal="center"/>
    </xf>
    <xf numFmtId="179" fontId="8" fillId="0" borderId="143" xfId="65" applyNumberFormat="1" applyFont="1" applyBorder="1"/>
    <xf numFmtId="169" fontId="2" fillId="0" borderId="143" xfId="65" applyNumberFormat="1" applyBorder="1"/>
    <xf numFmtId="198" fontId="8" fillId="0" borderId="147" xfId="54" applyNumberFormat="1" applyFont="1" applyBorder="1" applyAlignment="1">
      <alignment horizontal="center"/>
    </xf>
    <xf numFmtId="0" fontId="8" fillId="0" borderId="0" xfId="65" applyFont="1" applyProtection="1">
      <protection locked="0"/>
    </xf>
    <xf numFmtId="169" fontId="7" fillId="0" borderId="309" xfId="65" applyNumberFormat="1" applyFont="1" applyBorder="1"/>
    <xf numFmtId="198" fontId="8" fillId="0" borderId="136" xfId="54" applyNumberFormat="1" applyFont="1" applyBorder="1" applyAlignment="1">
      <alignment horizontal="center"/>
    </xf>
    <xf numFmtId="0" fontId="26" fillId="0" borderId="146" xfId="65" applyFont="1" applyBorder="1"/>
    <xf numFmtId="0" fontId="2" fillId="0" borderId="176" xfId="65" applyBorder="1"/>
    <xf numFmtId="171" fontId="2" fillId="15" borderId="136" xfId="54" applyFill="1" applyBorder="1" applyAlignment="1" applyProtection="1">
      <alignment horizontal="center"/>
      <protection locked="0"/>
    </xf>
    <xf numFmtId="169" fontId="2" fillId="0" borderId="136" xfId="66" applyBorder="1"/>
    <xf numFmtId="169" fontId="2" fillId="0" borderId="211" xfId="66" applyBorder="1" applyAlignment="1">
      <alignment horizontal="center"/>
    </xf>
    <xf numFmtId="169" fontId="2" fillId="0" borderId="147" xfId="65" applyNumberFormat="1" applyBorder="1"/>
    <xf numFmtId="0" fontId="3" fillId="0" borderId="0" xfId="65" applyFont="1"/>
    <xf numFmtId="1" fontId="3" fillId="15" borderId="136" xfId="65" applyNumberFormat="1" applyFont="1" applyFill="1" applyBorder="1" applyAlignment="1" applyProtection="1">
      <alignment horizontal="center" vertical="center"/>
      <protection locked="0"/>
    </xf>
    <xf numFmtId="0" fontId="3" fillId="15" borderId="136" xfId="65" applyFont="1" applyFill="1" applyBorder="1" applyProtection="1">
      <protection locked="0"/>
    </xf>
    <xf numFmtId="0" fontId="5" fillId="0" borderId="0" xfId="65" applyFont="1"/>
    <xf numFmtId="9" fontId="2" fillId="0" borderId="136" xfId="67" applyFont="1" applyBorder="1"/>
    <xf numFmtId="9" fontId="8" fillId="0" borderId="136" xfId="67" applyFont="1" applyBorder="1"/>
    <xf numFmtId="0" fontId="101" fillId="0" borderId="0" xfId="0" applyFont="1"/>
    <xf numFmtId="0" fontId="77" fillId="0" borderId="0" xfId="0" applyFont="1"/>
    <xf numFmtId="0" fontId="6" fillId="3" borderId="42" xfId="18" applyFill="1" applyBorder="1" applyAlignment="1" applyProtection="1">
      <alignment horizontal="left" vertical="center"/>
    </xf>
    <xf numFmtId="0" fontId="6" fillId="3" borderId="42" xfId="18" applyFill="1" applyBorder="1" applyAlignment="1" applyProtection="1">
      <alignment horizontal="left"/>
    </xf>
    <xf numFmtId="0" fontId="22" fillId="0" borderId="192" xfId="20" applyFont="1" applyBorder="1" applyAlignment="1" applyProtection="1">
      <alignment horizontal="center" vertical="top" wrapText="1"/>
      <protection locked="0"/>
    </xf>
    <xf numFmtId="170" fontId="2" fillId="15" borderId="155" xfId="52" applyNumberFormat="1" applyFill="1" applyBorder="1" applyAlignment="1" applyProtection="1">
      <alignment horizontal="center"/>
      <protection locked="0"/>
    </xf>
    <xf numFmtId="170" fontId="0" fillId="21" borderId="0" xfId="0" applyNumberFormat="1" applyFill="1" applyAlignment="1" applyProtection="1">
      <alignment horizontal="center"/>
      <protection locked="0"/>
    </xf>
    <xf numFmtId="0" fontId="0" fillId="0" borderId="314" xfId="0" applyBorder="1"/>
    <xf numFmtId="170" fontId="0" fillId="15" borderId="144" xfId="0" applyNumberFormat="1" applyFill="1" applyBorder="1" applyAlignment="1" applyProtection="1">
      <alignment horizontal="center"/>
      <protection locked="0"/>
    </xf>
    <xf numFmtId="171" fontId="0" fillId="2" borderId="144" xfId="0" applyNumberFormat="1" applyFill="1" applyBorder="1" applyProtection="1">
      <protection locked="0"/>
    </xf>
    <xf numFmtId="170" fontId="0" fillId="15" borderId="4" xfId="0" applyNumberFormat="1" applyFill="1" applyBorder="1" applyProtection="1">
      <protection locked="0"/>
    </xf>
    <xf numFmtId="198" fontId="0" fillId="15" borderId="136" xfId="0" applyNumberFormat="1" applyFill="1" applyBorder="1" applyProtection="1">
      <protection locked="0"/>
    </xf>
    <xf numFmtId="170" fontId="0" fillId="15" borderId="136" xfId="0" applyNumberFormat="1" applyFill="1" applyBorder="1" applyProtection="1">
      <protection locked="0"/>
    </xf>
    <xf numFmtId="170" fontId="0" fillId="0" borderId="0" xfId="0" applyNumberFormat="1" applyProtection="1">
      <protection locked="0"/>
    </xf>
    <xf numFmtId="0" fontId="13" fillId="0" borderId="141" xfId="0" applyFont="1" applyBorder="1" applyAlignment="1">
      <alignment horizontal="center" vertical="center"/>
    </xf>
    <xf numFmtId="179" fontId="13" fillId="0" borderId="144" xfId="0" applyNumberFormat="1" applyFont="1" applyBorder="1" applyAlignment="1">
      <alignment horizontal="center" vertical="center"/>
    </xf>
    <xf numFmtId="0" fontId="49" fillId="0" borderId="0" xfId="52" applyFont="1" applyAlignment="1">
      <alignment horizontal="center"/>
    </xf>
    <xf numFmtId="0" fontId="8" fillId="2" borderId="166" xfId="52" applyFont="1" applyFill="1" applyBorder="1" applyAlignment="1" applyProtection="1">
      <alignment horizontal="center"/>
      <protection locked="0"/>
    </xf>
    <xf numFmtId="0" fontId="8" fillId="2" borderId="180" xfId="52" applyFont="1" applyFill="1" applyBorder="1" applyAlignment="1" applyProtection="1">
      <alignment horizontal="center"/>
      <protection locked="0"/>
    </xf>
    <xf numFmtId="0" fontId="69" fillId="15" borderId="166" xfId="52" applyFont="1" applyFill="1" applyBorder="1" applyAlignment="1" applyProtection="1">
      <alignment horizontal="center"/>
      <protection locked="0"/>
    </xf>
    <xf numFmtId="0" fontId="69" fillId="15" borderId="180" xfId="52" applyFont="1" applyFill="1" applyBorder="1" applyAlignment="1" applyProtection="1">
      <alignment horizontal="center"/>
      <protection locked="0"/>
    </xf>
    <xf numFmtId="0" fontId="49" fillId="0" borderId="0" xfId="52" applyFont="1" applyAlignment="1">
      <alignment horizontal="left"/>
    </xf>
    <xf numFmtId="0" fontId="2" fillId="15" borderId="139" xfId="52" applyFill="1" applyBorder="1" applyAlignment="1" applyProtection="1">
      <alignment horizontal="center"/>
      <protection locked="0"/>
    </xf>
    <xf numFmtId="0" fontId="2" fillId="15" borderId="145" xfId="52" applyFill="1" applyBorder="1" applyAlignment="1" applyProtection="1">
      <alignment horizontal="center"/>
      <protection locked="0"/>
    </xf>
    <xf numFmtId="0" fontId="2" fillId="15" borderId="240" xfId="52" applyFill="1" applyBorder="1" applyAlignment="1" applyProtection="1">
      <alignment horizontal="center"/>
      <protection locked="0"/>
    </xf>
    <xf numFmtId="0" fontId="2" fillId="15" borderId="218" xfId="52" applyFill="1" applyBorder="1" applyAlignment="1" applyProtection="1">
      <alignment horizontal="center"/>
      <protection locked="0"/>
    </xf>
    <xf numFmtId="0" fontId="0" fillId="0" borderId="0" xfId="0"/>
    <xf numFmtId="0" fontId="8" fillId="0" borderId="166" xfId="52" applyFont="1" applyBorder="1" applyAlignment="1">
      <alignment horizontal="center"/>
    </xf>
    <xf numFmtId="0" fontId="8" fillId="0" borderId="179" xfId="52" applyFont="1" applyBorder="1" applyAlignment="1">
      <alignment horizontal="center"/>
    </xf>
    <xf numFmtId="0" fontId="8" fillId="0" borderId="180" xfId="52" applyFont="1" applyBorder="1" applyAlignment="1">
      <alignment horizontal="center"/>
    </xf>
    <xf numFmtId="44" fontId="14" fillId="0" borderId="139" xfId="62" applyFont="1" applyBorder="1" applyAlignment="1">
      <alignment horizontal="center" vertical="center"/>
    </xf>
    <xf numFmtId="44" fontId="14" fillId="0" borderId="140" xfId="62" applyFont="1" applyBorder="1" applyAlignment="1">
      <alignment horizontal="center" vertical="center"/>
    </xf>
    <xf numFmtId="44" fontId="14" fillId="0" borderId="145" xfId="62" applyFont="1" applyBorder="1" applyAlignment="1">
      <alignment horizontal="center" vertical="center"/>
    </xf>
    <xf numFmtId="200" fontId="2" fillId="15" borderId="136" xfId="58" applyNumberFormat="1" applyFont="1" applyFill="1" applyBorder="1" applyAlignment="1" applyProtection="1">
      <alignment horizontal="center"/>
      <protection locked="0"/>
    </xf>
    <xf numFmtId="0" fontId="8" fillId="15" borderId="136" xfId="52" applyFont="1" applyFill="1" applyBorder="1" applyAlignment="1" applyProtection="1">
      <alignment horizontal="left" vertical="top"/>
      <protection locked="0"/>
    </xf>
    <xf numFmtId="204" fontId="86" fillId="0" borderId="136" xfId="62" applyNumberFormat="1" applyFont="1" applyBorder="1" applyAlignment="1">
      <alignment horizontal="center"/>
    </xf>
    <xf numFmtId="44" fontId="86" fillId="0" borderId="190" xfId="62" applyFont="1" applyBorder="1" applyAlignment="1">
      <alignment horizontal="center"/>
    </xf>
    <xf numFmtId="164" fontId="2" fillId="15" borderId="136" xfId="58" applyFont="1" applyFill="1" applyBorder="1" applyAlignment="1" applyProtection="1">
      <alignment horizontal="center"/>
      <protection locked="0"/>
    </xf>
    <xf numFmtId="44" fontId="14" fillId="0" borderId="136" xfId="62" applyFont="1" applyBorder="1" applyAlignment="1">
      <alignment horizontal="center"/>
    </xf>
    <xf numFmtId="175" fontId="86" fillId="0" borderId="151" xfId="52" applyNumberFormat="1" applyFont="1" applyBorder="1" applyAlignment="1">
      <alignment horizontal="center" vertical="center"/>
    </xf>
    <xf numFmtId="175" fontId="86" fillId="0" borderId="294" xfId="52" applyNumberFormat="1" applyFont="1" applyBorder="1" applyAlignment="1">
      <alignment horizontal="center" vertical="center"/>
    </xf>
    <xf numFmtId="44" fontId="86" fillId="0" borderId="244" xfId="62" applyFont="1" applyBorder="1" applyAlignment="1">
      <alignment horizontal="center" vertical="center"/>
    </xf>
    <xf numFmtId="44" fontId="86" fillId="0" borderId="245" xfId="62" applyFont="1" applyBorder="1" applyAlignment="1">
      <alignment horizontal="center" vertical="center"/>
    </xf>
    <xf numFmtId="44" fontId="14" fillId="0" borderId="154" xfId="62" applyFont="1" applyBorder="1" applyAlignment="1">
      <alignment horizontal="center"/>
    </xf>
    <xf numFmtId="0" fontId="49" fillId="0" borderId="0" xfId="0" applyFont="1" applyAlignment="1">
      <alignment horizontal="center"/>
    </xf>
    <xf numFmtId="0" fontId="69" fillId="15" borderId="166" xfId="0" applyFont="1" applyFill="1" applyBorder="1" applyAlignment="1" applyProtection="1">
      <alignment horizontal="center"/>
      <protection locked="0"/>
    </xf>
    <xf numFmtId="0" fontId="69" fillId="15" borderId="180" xfId="0" applyFont="1" applyFill="1" applyBorder="1" applyAlignment="1" applyProtection="1">
      <alignment horizontal="center"/>
      <protection locked="0"/>
    </xf>
    <xf numFmtId="0" fontId="0" fillId="15" borderId="175" xfId="0" applyFill="1" applyBorder="1" applyAlignment="1" applyProtection="1">
      <alignment horizontal="center"/>
      <protection locked="0"/>
    </xf>
    <xf numFmtId="0" fontId="0" fillId="15" borderId="218" xfId="0" applyFill="1" applyBorder="1" applyAlignment="1" applyProtection="1">
      <alignment horizontal="center"/>
      <protection locked="0"/>
    </xf>
    <xf numFmtId="0" fontId="8" fillId="2" borderId="166" xfId="0" applyFont="1" applyFill="1" applyBorder="1" applyAlignment="1" applyProtection="1">
      <alignment horizontal="center"/>
      <protection locked="0"/>
    </xf>
    <xf numFmtId="0" fontId="8" fillId="2" borderId="180" xfId="0" applyFont="1" applyFill="1" applyBorder="1" applyAlignment="1" applyProtection="1">
      <alignment horizontal="center"/>
      <protection locked="0"/>
    </xf>
    <xf numFmtId="0" fontId="0" fillId="15" borderId="166" xfId="0" applyFill="1" applyBorder="1" applyAlignment="1" applyProtection="1">
      <alignment horizontal="center"/>
      <protection locked="0"/>
    </xf>
    <xf numFmtId="0" fontId="0" fillId="15" borderId="180" xfId="0" applyFill="1" applyBorder="1" applyAlignment="1" applyProtection="1">
      <alignment horizontal="center"/>
      <protection locked="0"/>
    </xf>
    <xf numFmtId="0" fontId="49" fillId="0" borderId="0" xfId="0" applyFont="1" applyAlignment="1">
      <alignment horizontal="left"/>
    </xf>
    <xf numFmtId="0" fontId="14" fillId="0" borderId="0" xfId="0" applyFont="1" applyAlignment="1">
      <alignment vertical="center" wrapText="1"/>
    </xf>
    <xf numFmtId="0" fontId="8" fillId="15" borderId="136" xfId="0" applyFont="1" applyFill="1" applyBorder="1" applyAlignment="1" applyProtection="1">
      <alignment horizontal="center" vertical="center"/>
      <protection locked="0"/>
    </xf>
    <xf numFmtId="200" fontId="8" fillId="0" borderId="212" xfId="0" applyNumberFormat="1" applyFont="1" applyBorder="1" applyAlignment="1">
      <alignment horizontal="center"/>
    </xf>
    <xf numFmtId="200" fontId="8" fillId="0" borderId="180" xfId="0" applyNumberFormat="1" applyFont="1" applyBorder="1" applyAlignment="1">
      <alignment horizontal="center"/>
    </xf>
    <xf numFmtId="173" fontId="8" fillId="0" borderId="212" xfId="5" applyNumberFormat="1" applyFont="1" applyBorder="1" applyAlignment="1">
      <alignment horizontal="center" vertical="center"/>
    </xf>
    <xf numFmtId="173" fontId="8" fillId="0" borderId="167" xfId="5" applyNumberFormat="1" applyFont="1" applyBorder="1" applyAlignment="1">
      <alignment horizontal="center" vertical="center"/>
    </xf>
    <xf numFmtId="200" fontId="8" fillId="0" borderId="166" xfId="0" applyNumberFormat="1" applyFont="1" applyBorder="1" applyAlignment="1">
      <alignment horizontal="center"/>
    </xf>
    <xf numFmtId="200" fontId="8" fillId="0" borderId="167" xfId="0" applyNumberFormat="1" applyFont="1" applyBorder="1" applyAlignment="1">
      <alignment horizontal="center"/>
    </xf>
    <xf numFmtId="173" fontId="8" fillId="0" borderId="166" xfId="5" applyNumberFormat="1" applyFont="1" applyBorder="1" applyAlignment="1">
      <alignment horizontal="center" vertical="center"/>
    </xf>
    <xf numFmtId="0" fontId="0" fillId="15" borderId="137" xfId="0" applyFill="1" applyBorder="1" applyAlignment="1">
      <alignment horizontal="center" vertical="center"/>
    </xf>
    <xf numFmtId="0" fontId="0" fillId="15" borderId="138" xfId="0" applyFill="1" applyBorder="1" applyAlignment="1">
      <alignment horizontal="center" vertical="center"/>
    </xf>
    <xf numFmtId="0" fontId="0" fillId="0" borderId="255" xfId="0" applyBorder="1" applyAlignment="1">
      <alignment horizontal="center" vertical="center" wrapText="1"/>
    </xf>
    <xf numFmtId="173" fontId="8" fillId="0" borderId="142" xfId="5" applyNumberFormat="1" applyFont="1" applyBorder="1" applyAlignment="1">
      <alignment horizontal="center" vertical="center"/>
    </xf>
    <xf numFmtId="173" fontId="8" fillId="0" borderId="143" xfId="5" applyNumberFormat="1" applyFont="1" applyBorder="1" applyAlignment="1">
      <alignment horizontal="center" vertical="center"/>
    </xf>
    <xf numFmtId="0" fontId="0" fillId="0" borderId="139" xfId="0" applyBorder="1" applyAlignment="1">
      <alignment horizontal="center" vertical="center" wrapText="1"/>
    </xf>
    <xf numFmtId="0" fontId="0" fillId="0" borderId="140" xfId="0" applyBorder="1" applyAlignment="1">
      <alignment horizontal="center" vertical="center" wrapText="1"/>
    </xf>
    <xf numFmtId="173" fontId="8" fillId="0" borderId="179" xfId="5" applyNumberFormat="1" applyFont="1" applyBorder="1" applyAlignment="1">
      <alignment horizontal="center" vertical="center"/>
    </xf>
    <xf numFmtId="200" fontId="8" fillId="0" borderId="179" xfId="0" applyNumberFormat="1" applyFont="1" applyBorder="1" applyAlignment="1">
      <alignment horizontal="center"/>
    </xf>
    <xf numFmtId="200" fontId="8" fillId="0" borderId="166" xfId="0" applyNumberFormat="1" applyFont="1" applyBorder="1" applyAlignment="1">
      <alignment horizontal="center" vertical="center"/>
    </xf>
    <xf numFmtId="0" fontId="8" fillId="0" borderId="179" xfId="0" applyFont="1" applyBorder="1" applyAlignment="1">
      <alignment horizontal="center" vertical="center"/>
    </xf>
    <xf numFmtId="0" fontId="8" fillId="0" borderId="139" xfId="0" applyFont="1" applyBorder="1" applyAlignment="1">
      <alignment horizontal="center" vertical="center"/>
    </xf>
    <xf numFmtId="0" fontId="8" fillId="0" borderId="145" xfId="0" applyFont="1" applyBorder="1" applyAlignment="1">
      <alignment horizontal="center" vertical="center"/>
    </xf>
    <xf numFmtId="0" fontId="8" fillId="0" borderId="141" xfId="0" applyFont="1" applyBorder="1" applyAlignment="1">
      <alignment horizontal="center" vertical="center"/>
    </xf>
    <xf numFmtId="0" fontId="8" fillId="0" borderId="146" xfId="0" applyFont="1"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9" fillId="0" borderId="166" xfId="0" applyFont="1" applyBorder="1" applyAlignment="1">
      <alignment horizontal="center" vertical="center" wrapText="1"/>
    </xf>
    <xf numFmtId="0" fontId="9" fillId="0" borderId="179" xfId="0" applyFont="1" applyBorder="1" applyAlignment="1">
      <alignment horizontal="center" vertical="center" wrapText="1"/>
    </xf>
    <xf numFmtId="0" fontId="9" fillId="0" borderId="180" xfId="0" applyFont="1" applyBorder="1" applyAlignment="1">
      <alignment horizontal="center" vertical="center" wrapText="1"/>
    </xf>
    <xf numFmtId="171" fontId="13" fillId="0" borderId="141" xfId="29" applyFont="1" applyBorder="1" applyAlignment="1">
      <alignment horizontal="center" vertical="center"/>
    </xf>
    <xf numFmtId="171" fontId="13" fillId="0" borderId="146" xfId="29" applyFont="1" applyBorder="1" applyAlignment="1">
      <alignment horizontal="center" vertical="center"/>
    </xf>
    <xf numFmtId="0" fontId="60" fillId="0" borderId="186" xfId="0" applyFont="1" applyBorder="1" applyAlignment="1">
      <alignment horizontal="center" vertical="center"/>
    </xf>
    <xf numFmtId="0" fontId="60" fillId="0" borderId="178" xfId="0" applyFont="1" applyBorder="1" applyAlignment="1">
      <alignment horizontal="center" vertical="center"/>
    </xf>
    <xf numFmtId="5" fontId="22" fillId="0" borderId="144" xfId="37" applyNumberFormat="1" applyFont="1" applyBorder="1" applyAlignment="1">
      <alignment horizontal="center" vertical="center" wrapText="1"/>
    </xf>
    <xf numFmtId="0" fontId="14" fillId="0" borderId="237" xfId="0" applyFont="1" applyBorder="1" applyAlignment="1">
      <alignment horizontal="center"/>
    </xf>
    <xf numFmtId="5" fontId="13" fillId="0" borderId="144" xfId="37" applyNumberFormat="1" applyFont="1" applyBorder="1" applyAlignment="1">
      <alignment horizontal="center" vertical="center" wrapText="1"/>
    </xf>
    <xf numFmtId="0" fontId="0" fillId="0" borderId="0" xfId="0" applyAlignment="1">
      <alignment horizontal="center"/>
    </xf>
    <xf numFmtId="0" fontId="0" fillId="0" borderId="146" xfId="0" applyBorder="1" applyAlignment="1">
      <alignment horizontal="center"/>
    </xf>
    <xf numFmtId="0" fontId="0" fillId="0" borderId="237" xfId="0" applyBorder="1" applyAlignment="1">
      <alignment horizontal="center"/>
    </xf>
    <xf numFmtId="0" fontId="0" fillId="0" borderId="184" xfId="0" applyBorder="1" applyAlignment="1">
      <alignment horizontal="center"/>
    </xf>
    <xf numFmtId="0" fontId="28" fillId="15" borderId="175" xfId="0" applyFont="1" applyFill="1" applyBorder="1" applyAlignment="1" applyProtection="1">
      <alignment horizontal="center"/>
      <protection locked="0"/>
    </xf>
    <xf numFmtId="0" fontId="28" fillId="15" borderId="163" xfId="0" applyFont="1" applyFill="1" applyBorder="1" applyAlignment="1" applyProtection="1">
      <alignment horizontal="center"/>
      <protection locked="0"/>
    </xf>
    <xf numFmtId="0" fontId="28" fillId="15" borderId="164" xfId="0" applyFont="1" applyFill="1" applyBorder="1" applyAlignment="1" applyProtection="1">
      <alignment horizontal="center"/>
      <protection locked="0"/>
    </xf>
    <xf numFmtId="14" fontId="0" fillId="15" borderId="155" xfId="0" applyNumberFormat="1" applyFill="1" applyBorder="1" applyAlignment="1" applyProtection="1">
      <alignment horizontal="center"/>
      <protection locked="0"/>
    </xf>
    <xf numFmtId="0" fontId="69" fillId="0" borderId="136" xfId="0" applyFont="1" applyBorder="1" applyAlignment="1">
      <alignment horizontal="center" vertical="center" wrapText="1"/>
    </xf>
    <xf numFmtId="0" fontId="49" fillId="0" borderId="167" xfId="0" applyFont="1" applyBorder="1" applyAlignment="1">
      <alignment horizontal="center" vertical="center"/>
    </xf>
    <xf numFmtId="0" fontId="49" fillId="0" borderId="254" xfId="0" applyFont="1" applyBorder="1" applyAlignment="1">
      <alignment horizontal="center" vertical="center"/>
    </xf>
    <xf numFmtId="0" fontId="0" fillId="0" borderId="145" xfId="0" applyBorder="1" applyAlignment="1">
      <alignment horizontal="center" vertical="center" wrapText="1"/>
    </xf>
    <xf numFmtId="0" fontId="0" fillId="0" borderId="142" xfId="0" applyBorder="1" applyAlignment="1">
      <alignment horizontal="center" vertical="center" wrapText="1"/>
    </xf>
    <xf numFmtId="0" fontId="0" fillId="0" borderId="143" xfId="0" applyBorder="1" applyAlignment="1">
      <alignment horizontal="center" vertical="center" wrapText="1"/>
    </xf>
    <xf numFmtId="0" fontId="0" fillId="0" borderId="147" xfId="0" applyBorder="1" applyAlignment="1">
      <alignment horizontal="center" vertical="center" wrapText="1"/>
    </xf>
    <xf numFmtId="0" fontId="86" fillId="0" borderId="136" xfId="0" applyFont="1" applyBorder="1" applyAlignment="1">
      <alignment horizontal="center" vertical="center" wrapText="1"/>
    </xf>
    <xf numFmtId="0" fontId="0" fillId="0" borderId="166" xfId="0" applyBorder="1" applyAlignment="1">
      <alignment horizontal="center"/>
    </xf>
    <xf numFmtId="0" fontId="0" fillId="0" borderId="179" xfId="0" applyBorder="1" applyAlignment="1">
      <alignment horizontal="center"/>
    </xf>
    <xf numFmtId="0" fontId="0" fillId="0" borderId="180" xfId="0" applyBorder="1" applyAlignment="1">
      <alignment horizontal="center"/>
    </xf>
    <xf numFmtId="0" fontId="13" fillId="0" borderId="0" xfId="0" applyFont="1" applyAlignment="1">
      <alignment horizontal="left" vertical="top" textRotation="90" wrapText="1" shrinkToFit="1"/>
    </xf>
    <xf numFmtId="0" fontId="13" fillId="0" borderId="178" xfId="0" applyFont="1" applyBorder="1" applyAlignment="1">
      <alignment horizontal="left" vertical="top" textRotation="90" wrapText="1" shrinkToFit="1"/>
    </xf>
    <xf numFmtId="0" fontId="13" fillId="0" borderId="42" xfId="0" applyFont="1" applyBorder="1" applyAlignment="1">
      <alignment vertical="top" wrapText="1"/>
    </xf>
    <xf numFmtId="0" fontId="9" fillId="0" borderId="72" xfId="0" applyFont="1" applyBorder="1" applyAlignment="1">
      <alignment horizontal="center"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13" fillId="0" borderId="0" xfId="0" applyFont="1" applyAlignment="1">
      <alignment horizontal="center" vertical="top" wrapText="1"/>
    </xf>
    <xf numFmtId="0" fontId="13" fillId="0" borderId="42" xfId="0" applyFont="1" applyBorder="1" applyAlignment="1">
      <alignment horizontal="center" vertical="top" wrapText="1"/>
    </xf>
    <xf numFmtId="0" fontId="19" fillId="0" borderId="154"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155" xfId="0" applyFont="1" applyBorder="1" applyAlignment="1">
      <alignment horizontal="center" vertical="center" wrapText="1"/>
    </xf>
    <xf numFmtId="0" fontId="28" fillId="0" borderId="136" xfId="0" applyFont="1" applyBorder="1" applyAlignment="1">
      <alignment horizontal="center" vertical="center" textRotation="90" wrapText="1"/>
    </xf>
    <xf numFmtId="0" fontId="15" fillId="0" borderId="136" xfId="0" applyFont="1" applyBorder="1" applyAlignment="1">
      <alignment horizontal="center" vertical="center" textRotation="90" wrapText="1"/>
    </xf>
    <xf numFmtId="185" fontId="46" fillId="0" borderId="151" xfId="37" applyNumberFormat="1" applyBorder="1" applyAlignment="1">
      <alignment horizontal="center"/>
    </xf>
    <xf numFmtId="185" fontId="46" fillId="0" borderId="161" xfId="37" applyNumberFormat="1" applyBorder="1" applyAlignment="1">
      <alignment horizontal="center"/>
    </xf>
    <xf numFmtId="185" fontId="8" fillId="0" borderId="151" xfId="37" applyNumberFormat="1" applyFont="1" applyBorder="1" applyAlignment="1">
      <alignment horizontal="center"/>
    </xf>
    <xf numFmtId="185" fontId="8" fillId="0" borderId="161" xfId="37" applyNumberFormat="1" applyFont="1" applyBorder="1" applyAlignment="1">
      <alignment horizontal="center"/>
    </xf>
    <xf numFmtId="185" fontId="46" fillId="15" borderId="151" xfId="37" applyNumberFormat="1" applyFill="1" applyBorder="1" applyAlignment="1" applyProtection="1">
      <alignment horizontal="center"/>
      <protection locked="0"/>
    </xf>
    <xf numFmtId="185" fontId="46" fillId="15" borderId="161" xfId="37" applyNumberFormat="1" applyFill="1" applyBorder="1" applyAlignment="1" applyProtection="1">
      <alignment horizontal="center"/>
      <protection locked="0"/>
    </xf>
    <xf numFmtId="185" fontId="8" fillId="0" borderId="136" xfId="37" applyNumberFormat="1" applyFont="1" applyBorder="1" applyAlignment="1">
      <alignment horizontal="center"/>
    </xf>
    <xf numFmtId="185" fontId="46" fillId="0" borderId="136" xfId="37" applyNumberFormat="1" applyBorder="1" applyAlignment="1">
      <alignment horizontal="center"/>
    </xf>
    <xf numFmtId="185" fontId="8" fillId="0" borderId="0" xfId="20" applyNumberFormat="1" applyFont="1" applyAlignment="1">
      <alignment horizontal="center"/>
    </xf>
    <xf numFmtId="0" fontId="72" fillId="19" borderId="0" xfId="0" applyFont="1" applyFill="1" applyAlignment="1">
      <alignment horizontal="center"/>
    </xf>
    <xf numFmtId="0" fontId="22" fillId="0" borderId="0" xfId="20" applyFont="1" applyAlignment="1">
      <alignment horizontal="center"/>
    </xf>
    <xf numFmtId="0" fontId="13" fillId="0" borderId="6" xfId="0" applyFont="1" applyBorder="1" applyAlignment="1">
      <alignment horizontal="center" wrapText="1"/>
    </xf>
    <xf numFmtId="185" fontId="46" fillId="0" borderId="0" xfId="37" applyNumberFormat="1" applyAlignment="1">
      <alignment horizontal="center" vertical="center"/>
    </xf>
    <xf numFmtId="0" fontId="22" fillId="0" borderId="114" xfId="20" applyFont="1" applyBorder="1" applyAlignment="1">
      <alignment horizontal="center" wrapText="1"/>
    </xf>
    <xf numFmtId="0" fontId="22" fillId="0" borderId="178" xfId="20" applyFont="1" applyBorder="1" applyAlignment="1">
      <alignment horizontal="center" wrapText="1"/>
    </xf>
    <xf numFmtId="0" fontId="0" fillId="0" borderId="166" xfId="20" applyFont="1" applyBorder="1" applyAlignment="1">
      <alignment horizontal="center"/>
    </xf>
    <xf numFmtId="0" fontId="46" fillId="0" borderId="179" xfId="20" applyBorder="1" applyAlignment="1">
      <alignment horizontal="center"/>
    </xf>
    <xf numFmtId="0" fontId="46" fillId="0" borderId="180" xfId="20" applyBorder="1" applyAlignment="1">
      <alignment horizontal="center"/>
    </xf>
    <xf numFmtId="0" fontId="9" fillId="0" borderId="0" xfId="0" applyFont="1" applyAlignment="1">
      <alignment horizontal="left" vertical="top" textRotation="90" wrapText="1" shrinkToFit="1"/>
    </xf>
    <xf numFmtId="0" fontId="9" fillId="0" borderId="178" xfId="0" applyFont="1" applyBorder="1" applyAlignment="1">
      <alignment horizontal="left" vertical="top" textRotation="90" wrapText="1" shrinkToFit="1"/>
    </xf>
    <xf numFmtId="185" fontId="14" fillId="21" borderId="136" xfId="0" applyNumberFormat="1" applyFont="1" applyFill="1" applyBorder="1" applyAlignment="1" applyProtection="1">
      <alignment horizontal="center"/>
      <protection locked="0"/>
    </xf>
    <xf numFmtId="0" fontId="19" fillId="0" borderId="136" xfId="0" applyFont="1" applyBorder="1" applyAlignment="1">
      <alignment horizontal="center" vertical="center" wrapText="1"/>
    </xf>
    <xf numFmtId="0" fontId="0" fillId="0" borderId="0" xfId="0" applyAlignment="1">
      <alignment horizontal="center" vertical="top" wrapText="1"/>
    </xf>
    <xf numFmtId="0" fontId="96" fillId="0" borderId="136" xfId="0" applyFont="1" applyBorder="1" applyAlignment="1">
      <alignment horizontal="center" vertical="center" textRotation="90" wrapText="1"/>
    </xf>
    <xf numFmtId="0" fontId="0" fillId="0" borderId="136" xfId="0" applyBorder="1" applyAlignment="1">
      <alignment horizontal="center" vertical="center" textRotation="90" wrapText="1"/>
    </xf>
    <xf numFmtId="0" fontId="5" fillId="0" borderId="0" xfId="20" applyFont="1" applyAlignment="1">
      <alignment horizontal="center" vertical="center" textRotation="90" wrapText="1"/>
    </xf>
    <xf numFmtId="0" fontId="13" fillId="0" borderId="136" xfId="0" applyFont="1" applyBorder="1" applyAlignment="1">
      <alignment horizontal="left" vertical="top"/>
    </xf>
    <xf numFmtId="0" fontId="5" fillId="0" borderId="0" xfId="20" applyFont="1" applyAlignment="1">
      <alignment horizontal="center" vertical="center" textRotation="90"/>
    </xf>
    <xf numFmtId="0" fontId="20" fillId="0" borderId="136" xfId="0" applyFont="1" applyBorder="1" applyAlignment="1">
      <alignment horizontal="left" textRotation="90" wrapText="1"/>
    </xf>
    <xf numFmtId="0" fontId="20" fillId="0" borderId="0" xfId="0" applyFont="1" applyAlignment="1">
      <alignment horizontal="left" textRotation="90" wrapText="1"/>
    </xf>
    <xf numFmtId="0" fontId="20" fillId="0" borderId="178" xfId="0" applyFont="1" applyBorder="1" applyAlignment="1">
      <alignment horizontal="left" textRotation="90" wrapText="1"/>
    </xf>
    <xf numFmtId="0" fontId="5" fillId="0" borderId="137" xfId="0" applyFont="1" applyBorder="1" applyAlignment="1">
      <alignment horizontal="center" vertical="center"/>
    </xf>
    <xf numFmtId="0" fontId="5" fillId="0" borderId="168" xfId="0" applyFont="1" applyBorder="1" applyAlignment="1">
      <alignment horizontal="center" vertical="center"/>
    </xf>
    <xf numFmtId="0" fontId="5" fillId="0" borderId="138" xfId="0" applyFont="1" applyBorder="1"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208" xfId="0" applyFont="1" applyBorder="1" applyAlignment="1">
      <alignment horizontal="center" vertical="center"/>
    </xf>
    <xf numFmtId="175" fontId="5" fillId="0" borderId="166" xfId="37" applyNumberFormat="1" applyFont="1" applyFill="1" applyBorder="1" applyAlignment="1" applyProtection="1">
      <alignment horizontal="center"/>
    </xf>
    <xf numFmtId="175" fontId="5" fillId="0" borderId="180" xfId="37" applyNumberFormat="1" applyFont="1" applyFill="1" applyBorder="1" applyAlignment="1" applyProtection="1">
      <alignment horizontal="center"/>
    </xf>
    <xf numFmtId="169" fontId="0" fillId="0" borderId="139" xfId="0" applyNumberFormat="1" applyBorder="1" applyAlignment="1">
      <alignment horizontal="center"/>
    </xf>
    <xf numFmtId="169" fontId="0" fillId="0" borderId="145" xfId="0" applyNumberFormat="1" applyBorder="1" applyAlignment="1">
      <alignment horizontal="center"/>
    </xf>
    <xf numFmtId="169" fontId="0" fillId="0" borderId="141" xfId="0" applyNumberFormat="1" applyBorder="1" applyAlignment="1">
      <alignment horizontal="center"/>
    </xf>
    <xf numFmtId="169" fontId="0" fillId="0" borderId="146" xfId="0" applyNumberFormat="1" applyBorder="1" applyAlignment="1">
      <alignment horizontal="center"/>
    </xf>
    <xf numFmtId="169" fontId="8" fillId="0" borderId="166" xfId="0" applyNumberFormat="1" applyFont="1" applyBorder="1" applyAlignment="1">
      <alignment horizontal="center"/>
    </xf>
    <xf numFmtId="169" fontId="8" fillId="0" borderId="180" xfId="0" applyNumberFormat="1" applyFont="1" applyBorder="1" applyAlignment="1">
      <alignment horizontal="center"/>
    </xf>
    <xf numFmtId="1" fontId="0" fillId="0" borderId="141" xfId="0" applyNumberFormat="1" applyBorder="1" applyAlignment="1">
      <alignment horizontal="center"/>
    </xf>
    <xf numFmtId="1" fontId="0" fillId="0" borderId="146" xfId="0" applyNumberFormat="1" applyBorder="1" applyAlignment="1">
      <alignment horizontal="center"/>
    </xf>
    <xf numFmtId="0" fontId="0" fillId="0" borderId="141" xfId="0" applyBorder="1" applyAlignment="1">
      <alignment horizontal="center" vertical="center" wrapText="1"/>
    </xf>
    <xf numFmtId="175" fontId="5" fillId="0" borderId="142" xfId="37" applyNumberFormat="1" applyFont="1" applyFill="1" applyBorder="1" applyAlignment="1" applyProtection="1">
      <alignment horizontal="center"/>
    </xf>
    <xf numFmtId="175" fontId="5" fillId="0" borderId="147" xfId="37" applyNumberFormat="1" applyFont="1" applyFill="1" applyBorder="1" applyAlignment="1" applyProtection="1">
      <alignment horizontal="center"/>
    </xf>
    <xf numFmtId="0" fontId="8" fillId="0" borderId="0" xfId="0" applyFont="1" applyAlignment="1">
      <alignment horizontal="left"/>
    </xf>
    <xf numFmtId="0" fontId="5" fillId="3" borderId="2" xfId="0" applyFont="1" applyFill="1" applyBorder="1" applyAlignment="1">
      <alignment horizontal="right"/>
    </xf>
    <xf numFmtId="0" fontId="0" fillId="0" borderId="0" xfId="0" applyAlignment="1">
      <alignment horizontal="center" vertical="center"/>
    </xf>
    <xf numFmtId="0" fontId="8" fillId="0" borderId="151" xfId="0" applyFont="1" applyBorder="1" applyAlignment="1">
      <alignment horizontal="left" vertical="top"/>
    </xf>
    <xf numFmtId="0" fontId="8" fillId="0" borderId="161" xfId="0" applyFont="1" applyBorder="1" applyAlignment="1">
      <alignment horizontal="left" vertical="top"/>
    </xf>
    <xf numFmtId="0" fontId="14" fillId="0" borderId="137" xfId="0" applyFont="1" applyBorder="1" applyAlignment="1">
      <alignment horizontal="center" vertical="center"/>
    </xf>
    <xf numFmtId="0" fontId="14" fillId="0" borderId="168" xfId="0" applyFont="1" applyBorder="1" applyAlignment="1">
      <alignment horizontal="center" vertical="center"/>
    </xf>
    <xf numFmtId="0" fontId="14" fillId="0" borderId="138" xfId="0" applyFont="1" applyBorder="1" applyAlignment="1">
      <alignment horizontal="center" vertical="center"/>
    </xf>
    <xf numFmtId="169" fontId="8" fillId="0" borderId="141" xfId="37" applyFont="1" applyFill="1" applyBorder="1" applyAlignment="1" applyProtection="1">
      <alignment horizontal="center"/>
    </xf>
    <xf numFmtId="169" fontId="8" fillId="0" borderId="0" xfId="37" applyFont="1" applyFill="1" applyBorder="1" applyAlignment="1" applyProtection="1">
      <alignment horizontal="center"/>
    </xf>
    <xf numFmtId="0" fontId="8" fillId="21" borderId="0" xfId="0" applyFont="1" applyFill="1" applyAlignment="1">
      <alignment horizontal="left"/>
    </xf>
    <xf numFmtId="0" fontId="8" fillId="21" borderId="262" xfId="0" applyFont="1" applyFill="1" applyBorder="1" applyAlignment="1">
      <alignment horizontal="left"/>
    </xf>
    <xf numFmtId="183" fontId="3" fillId="0" borderId="189" xfId="37" applyNumberFormat="1" applyFont="1" applyBorder="1" applyAlignment="1">
      <alignment horizontal="center" vertical="center" wrapText="1"/>
    </xf>
    <xf numFmtId="183" fontId="3" fillId="0" borderId="190" xfId="37" applyNumberFormat="1" applyFont="1" applyBorder="1" applyAlignment="1">
      <alignment horizontal="center" vertical="center" wrapText="1"/>
    </xf>
    <xf numFmtId="0" fontId="22" fillId="0" borderId="139" xfId="0" applyFont="1" applyBorder="1" applyAlignment="1">
      <alignment horizontal="center" wrapText="1"/>
    </xf>
    <xf numFmtId="0" fontId="22" fillId="0" borderId="141" xfId="0" applyFont="1" applyBorder="1" applyAlignment="1">
      <alignment horizontal="center" wrapText="1"/>
    </xf>
    <xf numFmtId="0" fontId="5" fillId="3" borderId="24" xfId="0" applyFont="1" applyFill="1" applyBorder="1" applyAlignment="1">
      <alignment horizontal="right"/>
    </xf>
    <xf numFmtId="0" fontId="5" fillId="3" borderId="43" xfId="0" applyFont="1" applyFill="1" applyBorder="1" applyAlignment="1">
      <alignment horizontal="right"/>
    </xf>
    <xf numFmtId="0" fontId="5" fillId="3" borderId="200" xfId="0" applyFont="1" applyFill="1" applyBorder="1" applyAlignment="1">
      <alignment horizontal="right"/>
    </xf>
    <xf numFmtId="169" fontId="5" fillId="0" borderId="0" xfId="0" applyNumberFormat="1" applyFont="1" applyAlignment="1">
      <alignment horizontal="center" wrapText="1"/>
    </xf>
    <xf numFmtId="169" fontId="5" fillId="0" borderId="143" xfId="0" applyNumberFormat="1" applyFont="1" applyBorder="1" applyAlignment="1">
      <alignment horizontal="center" wrapText="1"/>
    </xf>
    <xf numFmtId="0" fontId="14" fillId="0" borderId="0" xfId="0" applyFont="1" applyAlignment="1">
      <alignment horizontal="center"/>
    </xf>
    <xf numFmtId="0" fontId="8" fillId="0" borderId="0" xfId="0" applyFont="1" applyAlignment="1">
      <alignment horizontal="center" vertical="center" wrapText="1"/>
    </xf>
    <xf numFmtId="0" fontId="8" fillId="0" borderId="143" xfId="0" applyFont="1" applyBorder="1" applyAlignment="1">
      <alignment horizontal="center" vertical="center" wrapText="1"/>
    </xf>
    <xf numFmtId="169" fontId="5" fillId="0" borderId="0" xfId="37" applyFont="1" applyFill="1" applyBorder="1" applyAlignment="1" applyProtection="1">
      <alignment horizontal="center"/>
    </xf>
    <xf numFmtId="169" fontId="0" fillId="0" borderId="136" xfId="0" applyNumberFormat="1" applyBorder="1" applyAlignment="1">
      <alignment horizontal="center" vertical="center"/>
    </xf>
    <xf numFmtId="0" fontId="0" fillId="0" borderId="136" xfId="0" applyBorder="1" applyAlignment="1">
      <alignment horizontal="center" vertical="center"/>
    </xf>
    <xf numFmtId="0" fontId="8" fillId="0" borderId="139" xfId="0" applyFont="1" applyBorder="1" applyAlignment="1">
      <alignment horizontal="left" vertical="top" wrapText="1"/>
    </xf>
    <xf numFmtId="0" fontId="8" fillId="0" borderId="145" xfId="0" applyFont="1" applyBorder="1" applyAlignment="1">
      <alignment horizontal="left" vertical="top" wrapText="1"/>
    </xf>
    <xf numFmtId="0" fontId="8" fillId="0" borderId="142" xfId="0" applyFont="1" applyBorder="1" applyAlignment="1">
      <alignment horizontal="left" vertical="top" wrapText="1"/>
    </xf>
    <xf numFmtId="0" fontId="8" fillId="0" borderId="147" xfId="0" applyFont="1" applyBorder="1" applyAlignment="1">
      <alignment horizontal="left" vertical="top" wrapText="1"/>
    </xf>
    <xf numFmtId="171" fontId="8" fillId="0" borderId="137" xfId="29" applyFont="1" applyFill="1" applyBorder="1" applyAlignment="1" applyProtection="1">
      <alignment horizontal="center" vertical="center"/>
    </xf>
    <xf numFmtId="171" fontId="8" fillId="0" borderId="138" xfId="29" applyFont="1" applyFill="1" applyBorder="1" applyAlignment="1" applyProtection="1">
      <alignment horizontal="center" vertical="center"/>
    </xf>
    <xf numFmtId="0" fontId="8" fillId="0" borderId="137" xfId="0" applyFont="1" applyBorder="1" applyAlignment="1">
      <alignment horizontal="center" vertical="center"/>
    </xf>
    <xf numFmtId="0" fontId="8" fillId="0" borderId="138" xfId="0" applyFont="1" applyBorder="1" applyAlignment="1">
      <alignment horizontal="center" vertical="center"/>
    </xf>
    <xf numFmtId="0" fontId="5" fillId="15" borderId="0" xfId="0" applyFont="1" applyFill="1" applyAlignment="1" applyProtection="1">
      <alignment horizontal="center"/>
      <protection locked="0"/>
    </xf>
    <xf numFmtId="0" fontId="5" fillId="15" borderId="193" xfId="0" applyFont="1" applyFill="1" applyBorder="1" applyAlignment="1" applyProtection="1">
      <alignment horizontal="center"/>
      <protection locked="0"/>
    </xf>
    <xf numFmtId="0" fontId="0" fillId="15" borderId="156" xfId="0" applyFill="1" applyBorder="1" applyAlignment="1" applyProtection="1">
      <alignment horizontal="center"/>
      <protection locked="0"/>
    </xf>
    <xf numFmtId="0" fontId="0" fillId="15" borderId="0" xfId="0" applyFill="1" applyAlignment="1" applyProtection="1">
      <alignment horizontal="center"/>
      <protection locked="0"/>
    </xf>
    <xf numFmtId="0" fontId="9" fillId="15" borderId="151" xfId="0" applyFont="1" applyFill="1" applyBorder="1" applyAlignment="1" applyProtection="1">
      <alignment horizontal="left"/>
      <protection locked="0"/>
    </xf>
    <xf numFmtId="0" fontId="9" fillId="15" borderId="191" xfId="0" applyFont="1" applyFill="1" applyBorder="1" applyAlignment="1" applyProtection="1">
      <alignment horizontal="left"/>
      <protection locked="0"/>
    </xf>
    <xf numFmtId="0" fontId="9" fillId="15" borderId="161" xfId="0" applyFont="1" applyFill="1" applyBorder="1" applyAlignment="1" applyProtection="1">
      <alignment horizontal="left"/>
      <protection locked="0"/>
    </xf>
    <xf numFmtId="0" fontId="13" fillId="0" borderId="0" xfId="0" applyFont="1" applyAlignment="1">
      <alignment horizontal="center" wrapText="1"/>
    </xf>
    <xf numFmtId="0" fontId="13" fillId="0" borderId="143" xfId="0" applyFont="1" applyBorder="1" applyAlignment="1">
      <alignment horizontal="center" wrapText="1"/>
    </xf>
    <xf numFmtId="0" fontId="0" fillId="15" borderId="136" xfId="0" applyFill="1" applyBorder="1" applyAlignment="1" applyProtection="1">
      <alignment horizontal="center"/>
      <protection locked="0"/>
    </xf>
    <xf numFmtId="0" fontId="7" fillId="15" borderId="0" xfId="0" applyFont="1" applyFill="1" applyAlignment="1" applyProtection="1">
      <alignment horizontal="left" vertical="center"/>
      <protection locked="0"/>
    </xf>
    <xf numFmtId="0" fontId="22" fillId="0" borderId="155" xfId="25" applyFont="1" applyBorder="1" applyAlignment="1">
      <alignment horizontal="left" wrapText="1"/>
    </xf>
    <xf numFmtId="0" fontId="22" fillId="0" borderId="136" xfId="25" applyFont="1" applyBorder="1" applyAlignment="1">
      <alignment horizontal="left" wrapText="1"/>
    </xf>
    <xf numFmtId="0" fontId="7" fillId="0" borderId="136" xfId="25" applyFont="1" applyBorder="1" applyAlignment="1">
      <alignment horizontal="left" vertical="center" wrapText="1"/>
    </xf>
    <xf numFmtId="0" fontId="67" fillId="0" borderId="139" xfId="25" applyFont="1" applyBorder="1" applyAlignment="1">
      <alignment horizontal="center" wrapText="1"/>
    </xf>
    <xf numFmtId="0" fontId="67" fillId="0" borderId="145" xfId="25" applyFont="1" applyBorder="1" applyAlignment="1">
      <alignment horizontal="center" wrapText="1"/>
    </xf>
    <xf numFmtId="0" fontId="67" fillId="0" borderId="141" xfId="25" applyFont="1" applyBorder="1" applyAlignment="1">
      <alignment horizontal="center" wrapText="1"/>
    </xf>
    <xf numFmtId="0" fontId="67" fillId="0" borderId="146" xfId="25" applyFont="1" applyBorder="1" applyAlignment="1">
      <alignment horizontal="center" wrapText="1"/>
    </xf>
    <xf numFmtId="0" fontId="67" fillId="0" borderId="142" xfId="25" applyFont="1" applyBorder="1" applyAlignment="1">
      <alignment horizontal="center" wrapText="1"/>
    </xf>
    <xf numFmtId="0" fontId="67" fillId="0" borderId="147" xfId="25" applyFont="1" applyBorder="1" applyAlignment="1">
      <alignment horizontal="center" wrapText="1"/>
    </xf>
    <xf numFmtId="0" fontId="68" fillId="0" borderId="139" xfId="25" applyFont="1" applyBorder="1" applyAlignment="1">
      <alignment horizontal="center" vertical="center" wrapText="1"/>
    </xf>
    <xf numFmtId="0" fontId="68" fillId="0" borderId="145" xfId="25" applyFont="1" applyBorder="1" applyAlignment="1">
      <alignment horizontal="center" vertical="center" wrapText="1"/>
    </xf>
    <xf numFmtId="0" fontId="68" fillId="0" borderId="141" xfId="25" applyFont="1" applyBorder="1" applyAlignment="1">
      <alignment horizontal="center" vertical="center" wrapText="1"/>
    </xf>
    <xf numFmtId="0" fontId="68" fillId="0" borderId="146" xfId="25" applyFont="1" applyBorder="1" applyAlignment="1">
      <alignment horizontal="center" vertical="center" wrapText="1"/>
    </xf>
    <xf numFmtId="0" fontId="8" fillId="0" borderId="0" xfId="25" applyFont="1" applyAlignment="1">
      <alignment horizontal="center" wrapText="1"/>
    </xf>
    <xf numFmtId="0" fontId="8" fillId="0" borderId="178" xfId="25" applyFont="1" applyBorder="1" applyAlignment="1">
      <alignment horizontal="center" wrapText="1"/>
    </xf>
    <xf numFmtId="0" fontId="22" fillId="0" borderId="0" xfId="25" applyFont="1" applyAlignment="1">
      <alignment horizontal="left" wrapText="1"/>
    </xf>
    <xf numFmtId="0" fontId="22" fillId="0" borderId="178" xfId="25" applyFont="1" applyBorder="1" applyAlignment="1">
      <alignment horizontal="left" wrapText="1"/>
    </xf>
    <xf numFmtId="0" fontId="8" fillId="15" borderId="154" xfId="25" applyFont="1" applyFill="1" applyBorder="1" applyAlignment="1" applyProtection="1">
      <alignment horizontal="center"/>
      <protection locked="0"/>
    </xf>
    <xf numFmtId="0" fontId="8" fillId="15" borderId="136" xfId="25" applyFont="1" applyFill="1" applyBorder="1" applyAlignment="1" applyProtection="1">
      <alignment horizontal="center"/>
      <protection locked="0"/>
    </xf>
    <xf numFmtId="0" fontId="7" fillId="0" borderId="136" xfId="25" applyFont="1" applyBorder="1" applyAlignment="1">
      <alignment horizontal="left" wrapText="1"/>
    </xf>
    <xf numFmtId="0" fontId="7" fillId="0" borderId="0" xfId="25" applyFont="1" applyAlignment="1">
      <alignment horizontal="left" wrapText="1"/>
    </xf>
    <xf numFmtId="0" fontId="7" fillId="0" borderId="178" xfId="25" applyFont="1" applyBorder="1" applyAlignment="1">
      <alignment horizontal="left" wrapText="1"/>
    </xf>
    <xf numFmtId="0" fontId="22" fillId="0" borderId="0" xfId="25" applyFont="1" applyAlignment="1" applyProtection="1">
      <alignment horizontal="left" wrapText="1"/>
      <protection locked="0"/>
    </xf>
    <xf numFmtId="0" fontId="22" fillId="0" borderId="178" xfId="25" applyFont="1" applyBorder="1" applyAlignment="1" applyProtection="1">
      <alignment horizontal="left" wrapText="1"/>
      <protection locked="0"/>
    </xf>
    <xf numFmtId="0" fontId="22" fillId="0" borderId="0" xfId="25" applyFont="1" applyAlignment="1" applyProtection="1">
      <alignment horizontal="center" wrapText="1"/>
      <protection locked="0"/>
    </xf>
    <xf numFmtId="0" fontId="22" fillId="0" borderId="178" xfId="25" applyFont="1" applyBorder="1" applyAlignment="1" applyProtection="1">
      <alignment horizontal="center" wrapText="1"/>
      <protection locked="0"/>
    </xf>
    <xf numFmtId="0" fontId="22" fillId="0" borderId="0" xfId="25" applyFont="1" applyAlignment="1">
      <alignment horizontal="center" wrapText="1"/>
    </xf>
    <xf numFmtId="0" fontId="22" fillId="0" borderId="178" xfId="25" applyFont="1" applyBorder="1" applyAlignment="1">
      <alignment horizontal="center" wrapText="1"/>
    </xf>
    <xf numFmtId="0" fontId="7" fillId="0" borderId="0" xfId="20" applyFont="1" applyAlignment="1">
      <alignment horizontal="center"/>
    </xf>
    <xf numFmtId="0" fontId="13" fillId="31" borderId="166" xfId="20" applyFont="1" applyFill="1" applyBorder="1" applyAlignment="1">
      <alignment horizontal="center" vertical="center"/>
    </xf>
    <xf numFmtId="0" fontId="13" fillId="31" borderId="179" xfId="20" applyFont="1" applyFill="1" applyBorder="1" applyAlignment="1">
      <alignment horizontal="center" vertical="center"/>
    </xf>
    <xf numFmtId="0" fontId="13" fillId="31" borderId="180" xfId="20" applyFont="1" applyFill="1" applyBorder="1" applyAlignment="1">
      <alignment horizontal="center" vertical="center"/>
    </xf>
    <xf numFmtId="0" fontId="8" fillId="0" borderId="254" xfId="20" applyFont="1" applyBorder="1" applyAlignment="1">
      <alignment horizontal="center"/>
    </xf>
    <xf numFmtId="0" fontId="8" fillId="0" borderId="140" xfId="20" applyFont="1" applyBorder="1" applyAlignment="1">
      <alignment horizontal="center"/>
    </xf>
    <xf numFmtId="0" fontId="8" fillId="0" borderId="145" xfId="20" applyFont="1" applyBorder="1" applyAlignment="1">
      <alignment horizontal="center"/>
    </xf>
    <xf numFmtId="0" fontId="5" fillId="11" borderId="4" xfId="20" applyFont="1" applyFill="1" applyBorder="1" applyAlignment="1">
      <alignment horizontal="center" wrapText="1"/>
    </xf>
    <xf numFmtId="0" fontId="0" fillId="0" borderId="14" xfId="0" applyBorder="1" applyAlignment="1">
      <alignment horizontal="center" wrapText="1"/>
    </xf>
    <xf numFmtId="0" fontId="0" fillId="0" borderId="0" xfId="0" applyAlignment="1">
      <alignment horizontal="center" wrapText="1"/>
    </xf>
    <xf numFmtId="0" fontId="0" fillId="0" borderId="4" xfId="20" applyFont="1" applyBorder="1" applyAlignment="1">
      <alignment horizontal="center"/>
    </xf>
    <xf numFmtId="0" fontId="13" fillId="0" borderId="72" xfId="0" applyFont="1" applyBorder="1" applyAlignment="1">
      <alignment horizontal="center" wrapText="1"/>
    </xf>
    <xf numFmtId="0" fontId="0" fillId="0" borderId="166" xfId="0" applyBorder="1" applyAlignment="1">
      <alignment horizontal="center" vertical="center"/>
    </xf>
    <xf numFmtId="0" fontId="0" fillId="0" borderId="180" xfId="0" applyBorder="1" applyAlignment="1">
      <alignment horizontal="center" vertical="center"/>
    </xf>
    <xf numFmtId="169" fontId="5" fillId="0" borderId="137" xfId="0" applyNumberFormat="1" applyFont="1" applyBorder="1" applyAlignment="1">
      <alignment horizontal="center" vertical="center"/>
    </xf>
    <xf numFmtId="169" fontId="5" fillId="0" borderId="138" xfId="0" applyNumberFormat="1" applyFont="1" applyBorder="1" applyAlignment="1">
      <alignment horizontal="center" vertical="center"/>
    </xf>
    <xf numFmtId="169" fontId="0" fillId="0" borderId="0" xfId="0" applyNumberFormat="1" applyAlignment="1">
      <alignment horizontal="center" vertical="center"/>
    </xf>
    <xf numFmtId="0" fontId="9" fillId="0" borderId="14" xfId="0" applyFont="1" applyBorder="1" applyAlignment="1">
      <alignment horizontal="center" wrapText="1"/>
    </xf>
    <xf numFmtId="0" fontId="9" fillId="0" borderId="0" xfId="0" applyFont="1" applyAlignment="1">
      <alignment horizontal="center" wrapText="1"/>
    </xf>
    <xf numFmtId="2" fontId="0" fillId="0" borderId="14" xfId="0" applyNumberFormat="1" applyBorder="1" applyAlignment="1">
      <alignment horizontal="center" wrapText="1"/>
    </xf>
    <xf numFmtId="2" fontId="0" fillId="0" borderId="0" xfId="0" applyNumberFormat="1" applyAlignment="1">
      <alignment horizontal="center" wrapText="1"/>
    </xf>
    <xf numFmtId="0" fontId="8" fillId="0" borderId="166" xfId="0" applyFont="1" applyBorder="1" applyAlignment="1">
      <alignment horizontal="center"/>
    </xf>
    <xf numFmtId="0" fontId="8" fillId="0" borderId="180" xfId="0" applyFont="1" applyBorder="1" applyAlignment="1">
      <alignment horizontal="center"/>
    </xf>
    <xf numFmtId="0" fontId="8" fillId="0" borderId="0" xfId="0" applyFont="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1" xfId="0" applyFont="1" applyBorder="1" applyAlignment="1">
      <alignment horizontal="center"/>
    </xf>
    <xf numFmtId="0" fontId="60" fillId="0" borderId="0" xfId="0" applyFont="1" applyAlignment="1">
      <alignment horizontal="center" wrapText="1"/>
    </xf>
    <xf numFmtId="0" fontId="13" fillId="0" borderId="178" xfId="0" applyFont="1" applyBorder="1" applyAlignment="1">
      <alignment horizontal="center" wrapText="1"/>
    </xf>
    <xf numFmtId="0" fontId="37" fillId="0" borderId="0" xfId="0" applyFont="1" applyAlignment="1">
      <alignment horizontal="center"/>
    </xf>
    <xf numFmtId="0" fontId="8" fillId="0" borderId="0" xfId="0" applyFont="1" applyAlignment="1">
      <alignment horizontal="center" vertical="center"/>
    </xf>
    <xf numFmtId="0" fontId="0" fillId="2" borderId="2" xfId="22" applyFont="1" applyFill="1" applyBorder="1" applyAlignment="1" applyProtection="1">
      <alignment horizontal="left" vertical="center"/>
      <protection locked="0"/>
    </xf>
    <xf numFmtId="0" fontId="46" fillId="2" borderId="2" xfId="22" applyFill="1" applyBorder="1" applyAlignment="1" applyProtection="1">
      <alignment horizontal="left" vertical="center"/>
      <protection locked="0"/>
    </xf>
    <xf numFmtId="0" fontId="46" fillId="2" borderId="24" xfId="22" applyFill="1" applyBorder="1" applyAlignment="1" applyProtection="1">
      <alignment horizontal="left" vertical="center"/>
      <protection locked="0"/>
    </xf>
    <xf numFmtId="0" fontId="43" fillId="0" borderId="118" xfId="22" applyFont="1" applyBorder="1" applyAlignment="1">
      <alignment horizontal="center" vertical="top" textRotation="90" wrapText="1"/>
    </xf>
    <xf numFmtId="0" fontId="22" fillId="0" borderId="0" xfId="22" applyFont="1" applyAlignment="1">
      <alignment horizontal="left" wrapText="1"/>
    </xf>
    <xf numFmtId="0" fontId="0" fillId="2" borderId="2" xfId="22" applyFont="1" applyFill="1" applyBorder="1" applyAlignment="1" applyProtection="1">
      <alignment horizontal="center"/>
      <protection locked="0"/>
    </xf>
    <xf numFmtId="0" fontId="0" fillId="2" borderId="24" xfId="22" applyFont="1" applyFill="1" applyBorder="1" applyAlignment="1" applyProtection="1">
      <alignment horizontal="center"/>
      <protection locked="0"/>
    </xf>
    <xf numFmtId="0" fontId="0" fillId="3" borderId="2" xfId="22" applyFont="1" applyFill="1" applyBorder="1" applyAlignment="1" applyProtection="1">
      <alignment horizontal="center"/>
      <protection locked="0"/>
    </xf>
    <xf numFmtId="0" fontId="0" fillId="3" borderId="24" xfId="22" applyFont="1" applyFill="1" applyBorder="1" applyAlignment="1" applyProtection="1">
      <alignment horizontal="center"/>
      <protection locked="0"/>
    </xf>
    <xf numFmtId="0" fontId="46" fillId="0" borderId="0" xfId="22" applyAlignment="1">
      <alignment horizontal="center"/>
    </xf>
    <xf numFmtId="0" fontId="0" fillId="2" borderId="24" xfId="22" applyFont="1" applyFill="1" applyBorder="1" applyAlignment="1" applyProtection="1">
      <alignment horizontal="left" vertical="center"/>
      <protection locked="0"/>
    </xf>
    <xf numFmtId="178" fontId="46" fillId="0" borderId="122" xfId="22" applyNumberFormat="1" applyBorder="1" applyAlignment="1">
      <alignment horizontal="center"/>
    </xf>
    <xf numFmtId="178" fontId="46" fillId="0" borderId="124" xfId="22" applyNumberFormat="1" applyBorder="1" applyAlignment="1">
      <alignment horizontal="center"/>
    </xf>
    <xf numFmtId="185" fontId="46" fillId="0" borderId="145" xfId="37" applyNumberFormat="1" applyBorder="1" applyAlignment="1">
      <alignment vertical="center"/>
    </xf>
    <xf numFmtId="185" fontId="46" fillId="0" borderId="146" xfId="37" applyNumberFormat="1" applyBorder="1" applyAlignment="1">
      <alignment vertical="center"/>
    </xf>
    <xf numFmtId="185" fontId="46" fillId="0" borderId="147" xfId="37" applyNumberFormat="1" applyBorder="1" applyAlignment="1">
      <alignment vertical="center"/>
    </xf>
    <xf numFmtId="0" fontId="13" fillId="2" borderId="2" xfId="22" applyFont="1" applyFill="1" applyBorder="1" applyAlignment="1" applyProtection="1">
      <alignment horizontal="center"/>
      <protection locked="0"/>
    </xf>
    <xf numFmtId="0" fontId="0" fillId="3" borderId="122" xfId="22" applyFont="1" applyFill="1" applyBorder="1" applyAlignment="1">
      <alignment horizontal="center"/>
    </xf>
    <xf numFmtId="0" fontId="15" fillId="2" borderId="2" xfId="22" applyFont="1" applyFill="1" applyBorder="1" applyAlignment="1" applyProtection="1">
      <alignment horizontal="center"/>
      <protection locked="0"/>
    </xf>
    <xf numFmtId="0" fontId="13" fillId="0" borderId="0" xfId="22" applyFont="1" applyAlignment="1">
      <alignment horizontal="left"/>
    </xf>
    <xf numFmtId="0" fontId="13" fillId="3" borderId="2" xfId="22" applyFont="1" applyFill="1" applyBorder="1" applyAlignment="1">
      <alignment horizontal="center"/>
    </xf>
    <xf numFmtId="0" fontId="22" fillId="0" borderId="0" xfId="22" applyFont="1" applyAlignment="1">
      <alignment horizontal="left"/>
    </xf>
    <xf numFmtId="169" fontId="46" fillId="0" borderId="145" xfId="37" applyBorder="1" applyAlignment="1">
      <alignment vertical="center"/>
    </xf>
    <xf numFmtId="169" fontId="46" fillId="0" borderId="146" xfId="37" applyBorder="1" applyAlignment="1">
      <alignment vertical="center"/>
    </xf>
    <xf numFmtId="169" fontId="46" fillId="0" borderId="147" xfId="37" applyBorder="1" applyAlignment="1">
      <alignment vertical="center"/>
    </xf>
    <xf numFmtId="185" fontId="0" fillId="0" borderId="141" xfId="0" applyNumberFormat="1" applyBorder="1" applyAlignment="1">
      <alignment horizontal="center" vertical="center"/>
    </xf>
    <xf numFmtId="185" fontId="0" fillId="0" borderId="0" xfId="0" applyNumberFormat="1" applyAlignment="1">
      <alignment horizontal="center" vertical="center"/>
    </xf>
    <xf numFmtId="185" fontId="0" fillId="0" borderId="146" xfId="0" applyNumberFormat="1" applyBorder="1" applyAlignment="1">
      <alignment horizontal="center" vertical="center"/>
    </xf>
    <xf numFmtId="185" fontId="0" fillId="0" borderId="142" xfId="0" applyNumberFormat="1" applyBorder="1" applyAlignment="1">
      <alignment horizontal="center" vertical="center"/>
    </xf>
    <xf numFmtId="185" fontId="0" fillId="0" borderId="143" xfId="0" applyNumberFormat="1" applyBorder="1" applyAlignment="1">
      <alignment horizontal="center" vertical="center"/>
    </xf>
    <xf numFmtId="185" fontId="0" fillId="0" borderId="147" xfId="0" applyNumberFormat="1" applyBorder="1" applyAlignment="1">
      <alignment horizontal="center" vertical="center"/>
    </xf>
    <xf numFmtId="0" fontId="0" fillId="0" borderId="179" xfId="0" applyBorder="1" applyAlignment="1">
      <alignment horizontal="center" vertical="center"/>
    </xf>
    <xf numFmtId="185" fontId="0" fillId="0" borderId="139" xfId="0" applyNumberFormat="1" applyBorder="1" applyAlignment="1">
      <alignment horizontal="center" vertical="center"/>
    </xf>
    <xf numFmtId="185" fontId="0" fillId="0" borderId="140" xfId="0" applyNumberFormat="1" applyBorder="1" applyAlignment="1">
      <alignment horizontal="center" vertical="center"/>
    </xf>
    <xf numFmtId="185" fontId="0" fillId="0" borderId="145" xfId="0" applyNumberFormat="1" applyBorder="1" applyAlignment="1">
      <alignment horizontal="center" vertical="center"/>
    </xf>
    <xf numFmtId="185" fontId="46" fillId="0" borderId="140" xfId="37" applyNumberFormat="1" applyBorder="1" applyAlignment="1">
      <alignment horizontal="center" vertical="center"/>
    </xf>
    <xf numFmtId="0" fontId="5" fillId="11" borderId="153" xfId="20" applyFont="1" applyFill="1" applyBorder="1" applyAlignment="1">
      <alignment horizontal="center" wrapText="1"/>
    </xf>
    <xf numFmtId="0" fontId="5" fillId="11" borderId="72" xfId="20" applyFont="1" applyFill="1" applyBorder="1" applyAlignment="1">
      <alignment horizontal="center" wrapText="1"/>
    </xf>
    <xf numFmtId="0" fontId="5" fillId="11" borderId="41" xfId="20" applyFont="1" applyFill="1" applyBorder="1" applyAlignment="1">
      <alignment horizontal="center" wrapText="1"/>
    </xf>
    <xf numFmtId="169" fontId="0" fillId="16" borderId="136" xfId="37" applyFont="1" applyFill="1" applyBorder="1" applyAlignment="1" applyProtection="1">
      <alignment horizontal="center" vertical="center"/>
    </xf>
    <xf numFmtId="171" fontId="46" fillId="2" borderId="154" xfId="29" applyFill="1" applyBorder="1" applyAlignment="1" applyProtection="1">
      <alignment horizontal="center" vertical="center"/>
      <protection locked="0"/>
    </xf>
    <xf numFmtId="171" fontId="46" fillId="2" borderId="155" xfId="29" applyFill="1" applyBorder="1" applyAlignment="1" applyProtection="1">
      <alignment horizontal="center" vertical="center"/>
      <protection locked="0"/>
    </xf>
    <xf numFmtId="190" fontId="0" fillId="26" borderId="139" xfId="0" applyNumberFormat="1" applyFill="1" applyBorder="1" applyAlignment="1">
      <alignment horizontal="center" vertical="center" shrinkToFit="1"/>
    </xf>
    <xf numFmtId="190" fontId="0" fillId="26" borderId="140" xfId="0" applyNumberFormat="1" applyFill="1" applyBorder="1" applyAlignment="1">
      <alignment horizontal="center" vertical="center" shrinkToFit="1"/>
    </xf>
    <xf numFmtId="0" fontId="22" fillId="11" borderId="154" xfId="0" applyFont="1" applyFill="1" applyBorder="1" applyAlignment="1">
      <alignment horizontal="left" vertical="center" wrapText="1"/>
    </xf>
    <xf numFmtId="0" fontId="0" fillId="0" borderId="155" xfId="0" applyBorder="1" applyAlignment="1">
      <alignment vertical="center" wrapText="1"/>
    </xf>
    <xf numFmtId="44" fontId="0" fillId="16" borderId="136" xfId="37" applyNumberFormat="1" applyFont="1" applyFill="1" applyBorder="1" applyAlignment="1" applyProtection="1">
      <alignment horizontal="center" vertical="center"/>
    </xf>
    <xf numFmtId="0" fontId="0" fillId="15" borderId="143" xfId="0" applyFill="1" applyBorder="1" applyAlignment="1" applyProtection="1">
      <alignment horizontal="left"/>
      <protection locked="0"/>
    </xf>
    <xf numFmtId="0" fontId="5" fillId="0" borderId="0" xfId="0" applyFont="1" applyAlignment="1">
      <alignment horizontal="center" wrapText="1"/>
    </xf>
    <xf numFmtId="170" fontId="8" fillId="2" borderId="136" xfId="29" applyNumberFormat="1" applyFont="1" applyFill="1" applyBorder="1" applyAlignment="1" applyProtection="1">
      <alignment horizontal="center"/>
      <protection locked="0"/>
    </xf>
    <xf numFmtId="178" fontId="8" fillId="2" borderId="151" xfId="22" applyNumberFormat="1" applyFont="1" applyFill="1" applyBorder="1" applyAlignment="1" applyProtection="1">
      <alignment horizontal="center"/>
      <protection locked="0"/>
    </xf>
    <xf numFmtId="178" fontId="8" fillId="2" borderId="161" xfId="22" applyNumberFormat="1" applyFont="1" applyFill="1" applyBorder="1" applyAlignment="1" applyProtection="1">
      <alignment horizontal="center"/>
      <protection locked="0"/>
    </xf>
    <xf numFmtId="44" fontId="3" fillId="0" borderId="136" xfId="68" applyFont="1" applyBorder="1" applyAlignment="1">
      <alignment horizontal="center" vertical="center"/>
    </xf>
    <xf numFmtId="0" fontId="2" fillId="15" borderId="151" xfId="65" applyFill="1" applyBorder="1" applyAlignment="1" applyProtection="1">
      <alignment horizontal="center"/>
      <protection locked="0"/>
    </xf>
    <xf numFmtId="0" fontId="2" fillId="15" borderId="308" xfId="65" applyFill="1" applyBorder="1" applyAlignment="1" applyProtection="1">
      <alignment horizontal="center"/>
      <protection locked="0"/>
    </xf>
    <xf numFmtId="0" fontId="2" fillId="15" borderId="161" xfId="65" applyFill="1" applyBorder="1" applyAlignment="1" applyProtection="1">
      <alignment horizontal="center"/>
      <protection locked="0"/>
    </xf>
    <xf numFmtId="0" fontId="8" fillId="0" borderId="143" xfId="65" applyFont="1" applyBorder="1" applyAlignment="1">
      <alignment horizontal="left"/>
    </xf>
    <xf numFmtId="169" fontId="2" fillId="0" borderId="218" xfId="66" applyBorder="1" applyAlignment="1">
      <alignment horizontal="center" vertical="center"/>
    </xf>
    <xf numFmtId="169" fontId="2" fillId="0" borderId="255" xfId="66" applyBorder="1" applyAlignment="1">
      <alignment horizontal="center" vertical="center"/>
    </xf>
    <xf numFmtId="169" fontId="2" fillId="0" borderId="162" xfId="66" applyBorder="1" applyAlignment="1">
      <alignment horizontal="center" vertical="center"/>
    </xf>
    <xf numFmtId="170" fontId="2" fillId="0" borderId="310" xfId="54" applyNumberFormat="1" applyBorder="1" applyAlignment="1">
      <alignment horizontal="center" vertical="center"/>
    </xf>
    <xf numFmtId="170" fontId="2" fillId="0" borderId="256" xfId="54" applyNumberFormat="1" applyBorder="1" applyAlignment="1">
      <alignment horizontal="center" vertical="center"/>
    </xf>
    <xf numFmtId="170" fontId="2" fillId="0" borderId="257" xfId="54" applyNumberFormat="1" applyBorder="1" applyAlignment="1">
      <alignment horizontal="center" vertical="center"/>
    </xf>
    <xf numFmtId="0" fontId="8" fillId="0" borderId="181" xfId="65" applyFont="1" applyBorder="1" applyAlignment="1">
      <alignment horizontal="center" wrapText="1"/>
    </xf>
    <xf numFmtId="0" fontId="8" fillId="0" borderId="313" xfId="65" applyFont="1" applyBorder="1" applyAlignment="1">
      <alignment horizontal="center" wrapText="1"/>
    </xf>
    <xf numFmtId="44" fontId="5" fillId="0" borderId="136" xfId="68" applyFont="1" applyBorder="1" applyAlignment="1">
      <alignment horizontal="center" vertical="center"/>
    </xf>
    <xf numFmtId="194" fontId="3" fillId="15" borderId="136" xfId="56" applyNumberFormat="1" applyFont="1" applyFill="1" applyBorder="1" applyAlignment="1" applyProtection="1">
      <alignment horizontal="center" vertical="center"/>
      <protection locked="0"/>
    </xf>
    <xf numFmtId="44" fontId="3" fillId="21" borderId="151" xfId="68" applyFont="1" applyFill="1" applyBorder="1" applyAlignment="1" applyProtection="1">
      <alignment horizontal="center" vertical="center"/>
      <protection locked="0"/>
    </xf>
    <xf numFmtId="44" fontId="3" fillId="21" borderId="308" xfId="68" applyFont="1" applyFill="1" applyBorder="1" applyAlignment="1" applyProtection="1">
      <alignment horizontal="center" vertical="center"/>
      <protection locked="0"/>
    </xf>
    <xf numFmtId="44" fontId="3" fillId="21" borderId="161" xfId="68" applyFont="1" applyFill="1" applyBorder="1" applyAlignment="1" applyProtection="1">
      <alignment horizontal="center" vertical="center"/>
      <protection locked="0"/>
    </xf>
    <xf numFmtId="194" fontId="3" fillId="15" borderId="151" xfId="56" applyNumberFormat="1" applyFont="1" applyFill="1" applyBorder="1" applyAlignment="1" applyProtection="1">
      <alignment horizontal="center" vertical="center"/>
      <protection locked="0"/>
    </xf>
    <xf numFmtId="194" fontId="3" fillId="15" borderId="308" xfId="56" applyNumberFormat="1" applyFont="1" applyFill="1" applyBorder="1" applyAlignment="1" applyProtection="1">
      <alignment horizontal="center" vertical="center"/>
      <protection locked="0"/>
    </xf>
    <xf numFmtId="194" fontId="3" fillId="15" borderId="161" xfId="56" applyNumberFormat="1" applyFont="1" applyFill="1" applyBorder="1" applyAlignment="1" applyProtection="1">
      <alignment horizontal="center" vertical="center"/>
      <protection locked="0"/>
    </xf>
    <xf numFmtId="44" fontId="3" fillId="0" borderId="308" xfId="65" applyNumberFormat="1" applyFont="1" applyBorder="1" applyAlignment="1">
      <alignment horizontal="center"/>
    </xf>
    <xf numFmtId="0" fontId="3" fillId="0" borderId="308" xfId="65" applyFont="1" applyBorder="1" applyAlignment="1">
      <alignment horizontal="center"/>
    </xf>
    <xf numFmtId="0" fontId="5" fillId="3" borderId="157" xfId="0" applyFont="1" applyFill="1" applyBorder="1" applyAlignment="1">
      <alignment horizontal="center"/>
    </xf>
    <xf numFmtId="0" fontId="5" fillId="3" borderId="158" xfId="0" applyFont="1" applyFill="1" applyBorder="1" applyAlignment="1">
      <alignment horizontal="center"/>
    </xf>
    <xf numFmtId="0" fontId="5" fillId="3" borderId="159" xfId="0" applyFont="1" applyFill="1" applyBorder="1" applyAlignment="1">
      <alignment horizontal="center"/>
    </xf>
    <xf numFmtId="0" fontId="0" fillId="2" borderId="160" xfId="0" applyFill="1" applyBorder="1" applyAlignment="1" applyProtection="1">
      <alignment horizontal="center" vertical="top"/>
      <protection locked="0"/>
    </xf>
    <xf numFmtId="0" fontId="0" fillId="2" borderId="51" xfId="0" applyFill="1" applyBorder="1" applyAlignment="1" applyProtection="1">
      <alignment horizontal="center" vertical="top"/>
      <protection locked="0"/>
    </xf>
    <xf numFmtId="0" fontId="0" fillId="2" borderId="4" xfId="0" applyFill="1" applyBorder="1" applyAlignment="1" applyProtection="1">
      <alignment horizontal="center" vertical="top"/>
      <protection locked="0"/>
    </xf>
    <xf numFmtId="0" fontId="0" fillId="2" borderId="41" xfId="0" applyFill="1" applyBorder="1" applyAlignment="1" applyProtection="1">
      <alignment horizontal="center" vertical="top"/>
      <protection locked="0"/>
    </xf>
    <xf numFmtId="0" fontId="0" fillId="2" borderId="51" xfId="0" applyFill="1" applyBorder="1" applyAlignment="1" applyProtection="1">
      <alignment horizontal="center" vertical="top" wrapText="1"/>
      <protection locked="0"/>
    </xf>
    <xf numFmtId="0" fontId="13" fillId="2" borderId="153" xfId="0" applyFont="1" applyFill="1" applyBorder="1" applyAlignment="1" applyProtection="1">
      <alignment horizontal="center" vertical="top"/>
      <protection locked="0"/>
    </xf>
    <xf numFmtId="0" fontId="0" fillId="2" borderId="4" xfId="0" applyFill="1" applyBorder="1" applyAlignment="1" applyProtection="1">
      <alignment horizontal="left"/>
      <protection locked="0"/>
    </xf>
    <xf numFmtId="0" fontId="0" fillId="2" borderId="0" xfId="0" applyFill="1" applyAlignment="1" applyProtection="1">
      <alignment horizontal="center"/>
      <protection locked="0"/>
    </xf>
    <xf numFmtId="0" fontId="0" fillId="0" borderId="72" xfId="0" applyBorder="1" applyAlignment="1">
      <alignment horizontal="center"/>
    </xf>
    <xf numFmtId="0" fontId="13" fillId="2" borderId="4" xfId="0" applyFont="1" applyFill="1" applyBorder="1" applyAlignment="1" applyProtection="1">
      <alignment horizontal="left"/>
      <protection locked="0"/>
    </xf>
  </cellXfs>
  <cellStyles count="69">
    <cellStyle name="BLANZERO" xfId="1" xr:uid="{00000000-0005-0000-0000-000000000000}"/>
    <cellStyle name="COMMA" xfId="2" xr:uid="{00000000-0005-0000-0000-000001000000}"/>
    <cellStyle name="CURRENCY" xfId="3" xr:uid="{00000000-0005-0000-0000-000002000000}"/>
    <cellStyle name="DATE" xfId="4" xr:uid="{00000000-0005-0000-0000-000003000000}"/>
    <cellStyle name="Erotin 2" xfId="6" xr:uid="{00000000-0005-0000-0000-000004000000}"/>
    <cellStyle name="Erotin 3" xfId="7" xr:uid="{00000000-0005-0000-0000-000005000000}"/>
    <cellStyle name="Erotin 4" xfId="8" xr:uid="{00000000-0005-0000-0000-000006000000}"/>
    <cellStyle name="Erotin 5" xfId="45" xr:uid="{00000000-0005-0000-0000-000007000000}"/>
    <cellStyle name="Euro" xfId="9" xr:uid="{00000000-0005-0000-0000-000008000000}"/>
    <cellStyle name="Euro 2" xfId="10" xr:uid="{00000000-0005-0000-0000-000009000000}"/>
    <cellStyle name="Euro 3" xfId="11" xr:uid="{00000000-0005-0000-0000-00000A000000}"/>
    <cellStyle name="Euro 4" xfId="12" xr:uid="{00000000-0005-0000-0000-00000B000000}"/>
    <cellStyle name="Euro 4 2" xfId="59" xr:uid="{00000000-0005-0000-0000-00000C000000}"/>
    <cellStyle name="Euro 5" xfId="13" xr:uid="{00000000-0005-0000-0000-00000D000000}"/>
    <cellStyle name="Euro 6" xfId="14" xr:uid="{00000000-0005-0000-0000-00000E000000}"/>
    <cellStyle name="Euro 7" xfId="43" xr:uid="{00000000-0005-0000-0000-00000F000000}"/>
    <cellStyle name="FIXED" xfId="15" xr:uid="{00000000-0005-0000-0000-000010000000}"/>
    <cellStyle name="HEADING1" xfId="16" xr:uid="{00000000-0005-0000-0000-000011000000}"/>
    <cellStyle name="HEADING2" xfId="17" xr:uid="{00000000-0005-0000-0000-000012000000}"/>
    <cellStyle name="Hyperlinkki" xfId="18" builtinId="8"/>
    <cellStyle name="Hyperlinkki 2" xfId="19" xr:uid="{00000000-0005-0000-0000-000014000000}"/>
    <cellStyle name="Hyperlinkki 3" xfId="44" xr:uid="{00000000-0005-0000-0000-000015000000}"/>
    <cellStyle name="Hyperlinkki 4" xfId="57" xr:uid="{00000000-0005-0000-0000-000016000000}"/>
    <cellStyle name="Normaali" xfId="0" builtinId="0"/>
    <cellStyle name="Normaali 2" xfId="20" xr:uid="{00000000-0005-0000-0000-000018000000}"/>
    <cellStyle name="Normaali 2 2" xfId="21" xr:uid="{00000000-0005-0000-0000-000019000000}"/>
    <cellStyle name="Normaali 2 2 2" xfId="65" xr:uid="{D48238AD-67FF-44DE-B016-EF38AA374821}"/>
    <cellStyle name="Normaali 2 3" xfId="52" xr:uid="{00000000-0005-0000-0000-00001A000000}"/>
    <cellStyle name="Normaali 3" xfId="22" xr:uid="{00000000-0005-0000-0000-00001B000000}"/>
    <cellStyle name="Normaali 3 2" xfId="23" xr:uid="{00000000-0005-0000-0000-00001C000000}"/>
    <cellStyle name="Normaali 4" xfId="24" xr:uid="{00000000-0005-0000-0000-00001D000000}"/>
    <cellStyle name="Normaali 5" xfId="25" xr:uid="{00000000-0005-0000-0000-00001E000000}"/>
    <cellStyle name="Normaali 6" xfId="63" xr:uid="{00000000-0005-0000-0000-00001F000000}"/>
    <cellStyle name="normal" xfId="26" xr:uid="{00000000-0005-0000-0000-000020000000}"/>
    <cellStyle name="PERCENT" xfId="27" xr:uid="{00000000-0005-0000-0000-000021000000}"/>
    <cellStyle name="Pilkku" xfId="5" builtinId="3"/>
    <cellStyle name="Pilkku 2" xfId="28" xr:uid="{00000000-0005-0000-0000-000023000000}"/>
    <cellStyle name="Pilkku 2 2" xfId="61" xr:uid="{00000000-0005-0000-0000-000024000000}"/>
    <cellStyle name="Pilkku 3" xfId="58" xr:uid="{00000000-0005-0000-0000-000025000000}"/>
    <cellStyle name="Prosentti 2" xfId="30" xr:uid="{00000000-0005-0000-0000-000026000000}"/>
    <cellStyle name="Prosentti 2 2" xfId="54" xr:uid="{00000000-0005-0000-0000-000027000000}"/>
    <cellStyle name="Prosentti 3" xfId="31" xr:uid="{00000000-0005-0000-0000-000028000000}"/>
    <cellStyle name="Prosentti 3 2" xfId="32" xr:uid="{00000000-0005-0000-0000-000029000000}"/>
    <cellStyle name="Prosentti 3 3" xfId="33" xr:uid="{00000000-0005-0000-0000-00002A000000}"/>
    <cellStyle name="Prosentti 4" xfId="34" xr:uid="{00000000-0005-0000-0000-00002B000000}"/>
    <cellStyle name="Prosentti 5" xfId="47" xr:uid="{00000000-0005-0000-0000-00002C000000}"/>
    <cellStyle name="Prosentti 6" xfId="51" xr:uid="{00000000-0005-0000-0000-00002D000000}"/>
    <cellStyle name="Prosentti_Investointilaskelmat" xfId="48" xr:uid="{00000000-0005-0000-0000-00002E000000}"/>
    <cellStyle name="Prosenttia" xfId="29" builtinId="5"/>
    <cellStyle name="Prosenttia 2" xfId="35" xr:uid="{00000000-0005-0000-0000-000030000000}"/>
    <cellStyle name="Prosenttia 3" xfId="55" xr:uid="{00000000-0005-0000-0000-000031000000}"/>
    <cellStyle name="Prosenttia 4" xfId="64" xr:uid="{00000000-0005-0000-0000-000032000000}"/>
    <cellStyle name="Prosenttia 5" xfId="67" xr:uid="{79CC19BF-D9A5-4DBA-ADAE-1CAD7CC1581D}"/>
    <cellStyle name="Pyör. valuutta_Investointilaskelmat" xfId="49" xr:uid="{00000000-0005-0000-0000-000033000000}"/>
    <cellStyle name="TOTAL" xfId="36" xr:uid="{00000000-0005-0000-0000-000034000000}"/>
    <cellStyle name="Valuutta" xfId="37" builtinId="4"/>
    <cellStyle name="Valuutta 2" xfId="38" xr:uid="{00000000-0005-0000-0000-000036000000}"/>
    <cellStyle name="Valuutta 2 2" xfId="53" xr:uid="{00000000-0005-0000-0000-000037000000}"/>
    <cellStyle name="Valuutta 2 3" xfId="66" xr:uid="{E63BCF01-9564-4304-8691-13A51BC15F03}"/>
    <cellStyle name="Valuutta 3" xfId="39" xr:uid="{00000000-0005-0000-0000-000038000000}"/>
    <cellStyle name="Valuutta 3 2" xfId="40" xr:uid="{00000000-0005-0000-0000-000039000000}"/>
    <cellStyle name="Valuutta 3 3" xfId="60" xr:uid="{00000000-0005-0000-0000-00003A000000}"/>
    <cellStyle name="Valuutta 4" xfId="41" xr:uid="{00000000-0005-0000-0000-00003B000000}"/>
    <cellStyle name="Valuutta 5" xfId="42" xr:uid="{00000000-0005-0000-0000-00003C000000}"/>
    <cellStyle name="Valuutta 5 2" xfId="68" xr:uid="{A4FFBD5A-A7C6-46C2-8A93-F0DC4B0EA808}"/>
    <cellStyle name="Valuutta 6" xfId="46" xr:uid="{00000000-0005-0000-0000-00003D000000}"/>
    <cellStyle name="Valuutta 7" xfId="50" xr:uid="{00000000-0005-0000-0000-00003E000000}"/>
    <cellStyle name="Valuutta 8" xfId="56" xr:uid="{00000000-0005-0000-0000-00003F000000}"/>
    <cellStyle name="Valuutta 9" xfId="62" xr:uid="{00000000-0005-0000-0000-000040000000}"/>
  </cellStyles>
  <dxfs count="71">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ont>
        <color rgb="FF9C0006"/>
      </font>
      <fill>
        <patternFill>
          <bgColor rgb="FFFFC7CE"/>
        </patternFill>
      </fill>
    </dxf>
    <dxf>
      <font>
        <b/>
        <i val="0"/>
        <strike val="0"/>
        <condense val="0"/>
        <extend val="0"/>
        <color indexed="8"/>
      </font>
      <fill>
        <patternFill patternType="solid">
          <fgColor indexed="60"/>
          <bgColor indexed="10"/>
        </patternFill>
      </fill>
    </dxf>
    <dxf>
      <fill>
        <gradientFill degree="135">
          <stop position="0">
            <color theme="9" tint="-0.25098422193060094"/>
          </stop>
          <stop position="1">
            <color rgb="FFFF0000"/>
          </stop>
        </gradientFill>
      </fill>
    </dxf>
    <dxf>
      <fill>
        <gradientFill degree="135">
          <stop position="0">
            <color theme="9" tint="-0.25098422193060094"/>
          </stop>
          <stop position="1">
            <color rgb="FFFF0000"/>
          </stop>
        </gradientFill>
      </fill>
    </dxf>
    <dxf>
      <font>
        <b/>
        <i val="0"/>
        <strike val="0"/>
        <condense val="0"/>
        <extend val="0"/>
        <color indexed="8"/>
      </font>
      <fill>
        <patternFill patternType="solid">
          <fgColor indexed="60"/>
          <bgColor indexed="10"/>
        </patternFill>
      </fill>
    </dxf>
    <dxf>
      <font>
        <b val="0"/>
        <condense val="0"/>
        <extend val="0"/>
        <color indexed="20"/>
      </font>
    </dxf>
    <dxf>
      <font>
        <b val="0"/>
        <condense val="0"/>
        <extend val="0"/>
        <color indexed="20"/>
      </font>
    </dxf>
    <dxf>
      <font>
        <b val="0"/>
        <condense val="0"/>
        <extend val="0"/>
        <color indexed="20"/>
      </font>
    </dxf>
    <dxf>
      <font>
        <b val="0"/>
        <condense val="0"/>
        <extend val="0"/>
        <color indexed="20"/>
      </font>
    </dxf>
    <dxf>
      <fill>
        <gradientFill degree="135">
          <stop position="0">
            <color theme="0"/>
          </stop>
          <stop position="1">
            <color rgb="FFFF0000"/>
          </stop>
        </gradientFill>
      </fill>
    </dxf>
    <dxf>
      <font>
        <color rgb="FF9C0006"/>
      </font>
      <fill>
        <gradientFill>
          <stop position="0">
            <color theme="0"/>
          </stop>
          <stop position="1">
            <color rgb="FFFF0000"/>
          </stop>
        </gradientFill>
      </fill>
    </dxf>
    <dxf>
      <fill>
        <patternFill>
          <bgColor rgb="FFFF0000"/>
        </patternFill>
      </fill>
    </dxf>
    <dxf>
      <font>
        <color rgb="FF9C0006"/>
      </font>
      <fill>
        <gradientFill degree="45">
          <stop position="0">
            <color theme="0"/>
          </stop>
          <stop position="1">
            <color rgb="FFFF0000"/>
          </stop>
        </gradientFill>
      </fill>
    </dxf>
    <dxf>
      <fill>
        <gradientFill degree="135">
          <stop position="0">
            <color theme="0"/>
          </stop>
          <stop position="1">
            <color rgb="FFFF0000"/>
          </stop>
        </gradientFill>
      </fill>
    </dxf>
    <dxf>
      <fill>
        <patternFill>
          <bgColor rgb="FFFF0000"/>
        </patternFill>
      </fill>
    </dxf>
    <dxf>
      <fill>
        <gradientFill degree="135">
          <stop position="0">
            <color theme="0"/>
          </stop>
          <stop position="1">
            <color rgb="FFFF0000"/>
          </stop>
        </gradientFill>
      </fill>
    </dxf>
    <dxf>
      <fill>
        <patternFill>
          <bgColor rgb="FFFF0000"/>
        </patternFill>
      </fill>
    </dxf>
    <dxf>
      <font>
        <b val="0"/>
        <i/>
        <condense val="0"/>
        <extend val="0"/>
        <u val="double"/>
      </font>
      <fill>
        <patternFill patternType="solid">
          <fgColor indexed="60"/>
          <bgColor indexed="1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E9-408F-8406-8888DB6477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F2F9-4A30-B33F-BD1870F268B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i-FI"/>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(Taimilaskuri!$S$12,Taimilaskuri!$R$12)</c:f>
              <c:strCache>
                <c:ptCount val="2"/>
                <c:pt idx="0">
                  <c:v>Penkkien viemä ala %</c:v>
                </c:pt>
                <c:pt idx="1">
                  <c:v>Käytäväala %</c:v>
                </c:pt>
              </c:strCache>
            </c:strRef>
          </c:cat>
          <c:val>
            <c:numRef>
              <c:f>(Taimilaskuri!$S$13,Taimilaskuri!$R$13)</c:f>
              <c:numCache>
                <c:formatCode>0%</c:formatCode>
                <c:ptCount val="2"/>
                <c:pt idx="0">
                  <c:v>0</c:v>
                </c:pt>
                <c:pt idx="1">
                  <c:v>1</c:v>
                </c:pt>
              </c:numCache>
            </c:numRef>
          </c:val>
          <c:extLst>
            <c:ext xmlns:c16="http://schemas.microsoft.com/office/drawing/2014/chart" uri="{C3380CC4-5D6E-409C-BE32-E72D297353CC}">
              <c16:uniqueId val="{00000000-F2F9-4A30-B33F-BD1870F268B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Budjetti tilikaudelle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8682433546794086E-2"/>
          <c:y val="8.1673540951293727E-2"/>
          <c:w val="0.89210279540300186"/>
          <c:h val="0.60586084444649735"/>
        </c:manualLayout>
      </c:layout>
      <c:lineChart>
        <c:grouping val="stacked"/>
        <c:varyColors val="0"/>
        <c:ser>
          <c:idx val="0"/>
          <c:order val="0"/>
          <c:tx>
            <c:strRef>
              <c:f>Grafiikka!$A$56</c:f>
              <c:strCache>
                <c:ptCount val="1"/>
                <c:pt idx="0">
                  <c:v>Tulot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Grafiikka!$B$55:$M$55</c:f>
              <c:strCache>
                <c:ptCount val="10"/>
                <c:pt idx="0">
                  <c:v>1. neljännes</c:v>
                </c:pt>
                <c:pt idx="3">
                  <c:v>2. neljännes</c:v>
                </c:pt>
                <c:pt idx="6">
                  <c:v>3. neljännes</c:v>
                </c:pt>
                <c:pt idx="9">
                  <c:v>4. neljännes</c:v>
                </c:pt>
              </c:strCache>
            </c:strRef>
          </c:cat>
          <c:val>
            <c:numRef>
              <c:f>Grafiikka!$B$56:$M$56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0-14BE-4818-9F1A-9B48B11E7645}"/>
            </c:ext>
          </c:extLst>
        </c:ser>
        <c:ser>
          <c:idx val="1"/>
          <c:order val="1"/>
          <c:tx>
            <c:strRef>
              <c:f>Grafiikka!$A$57</c:f>
              <c:strCache>
                <c:ptCount val="1"/>
                <c:pt idx="0">
                  <c:v>Ostot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Grafiikka!$B$55:$M$55</c:f>
              <c:strCache>
                <c:ptCount val="10"/>
                <c:pt idx="0">
                  <c:v>1. neljännes</c:v>
                </c:pt>
                <c:pt idx="3">
                  <c:v>2. neljännes</c:v>
                </c:pt>
                <c:pt idx="6">
                  <c:v>3. neljännes</c:v>
                </c:pt>
                <c:pt idx="9">
                  <c:v>4. neljännes</c:v>
                </c:pt>
              </c:strCache>
            </c:strRef>
          </c:cat>
          <c:val>
            <c:numRef>
              <c:f>Grafiikka!$B$57:$M$57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1-14BE-4818-9F1A-9B48B11E7645}"/>
            </c:ext>
          </c:extLst>
        </c:ser>
        <c:ser>
          <c:idx val="2"/>
          <c:order val="2"/>
          <c:tx>
            <c:strRef>
              <c:f>Grafiikka!$A$58</c:f>
              <c:strCache>
                <c:ptCount val="1"/>
                <c:pt idx="0">
                  <c:v>Metsätulot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Grafiikka!$B$55:$M$55</c:f>
              <c:strCache>
                <c:ptCount val="10"/>
                <c:pt idx="0">
                  <c:v>1. neljännes</c:v>
                </c:pt>
                <c:pt idx="3">
                  <c:v>2. neljännes</c:v>
                </c:pt>
                <c:pt idx="6">
                  <c:v>3. neljännes</c:v>
                </c:pt>
                <c:pt idx="9">
                  <c:v>4. neljännes</c:v>
                </c:pt>
              </c:strCache>
            </c:strRef>
          </c:cat>
          <c:val>
            <c:numRef>
              <c:f>Grafiikka!$B$58:$M$58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2-14BE-4818-9F1A-9B48B11E7645}"/>
            </c:ext>
          </c:extLst>
        </c:ser>
        <c:ser>
          <c:idx val="3"/>
          <c:order val="3"/>
          <c:tx>
            <c:strRef>
              <c:f>Grafiikka!$A$59</c:f>
              <c:strCache>
                <c:ptCount val="1"/>
                <c:pt idx="0">
                  <c:v>Metsämenot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Grafiikka!$B$55:$M$55</c:f>
              <c:strCache>
                <c:ptCount val="10"/>
                <c:pt idx="0">
                  <c:v>1. neljännes</c:v>
                </c:pt>
                <c:pt idx="3">
                  <c:v>2. neljännes</c:v>
                </c:pt>
                <c:pt idx="6">
                  <c:v>3. neljännes</c:v>
                </c:pt>
                <c:pt idx="9">
                  <c:v>4. neljännes</c:v>
                </c:pt>
              </c:strCache>
            </c:strRef>
          </c:cat>
          <c:val>
            <c:numRef>
              <c:f>Grafiikka!$B$59:$M$59</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3-14BE-4818-9F1A-9B48B11E7645}"/>
            </c:ext>
          </c:extLst>
        </c:ser>
        <c:ser>
          <c:idx val="7"/>
          <c:order val="7"/>
          <c:tx>
            <c:strRef>
              <c:f>Grafiikka!$A$63</c:f>
              <c:strCache>
                <c:ptCount val="1"/>
                <c:pt idx="0">
                  <c:v>Investoinnit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Grafiikka!$B$63:$M$63</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4-14BE-4818-9F1A-9B48B11E7645}"/>
            </c:ext>
          </c:extLst>
        </c:ser>
        <c:ser>
          <c:idx val="8"/>
          <c:order val="8"/>
          <c:tx>
            <c:strRef>
              <c:f>Grafiikka!$A$64</c:f>
              <c:strCache>
                <c:ptCount val="1"/>
                <c:pt idx="0">
                  <c:v>Lainojen hoito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Grafiikka!$B$64:$M$64</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5-14BE-4818-9F1A-9B48B11E7645}"/>
            </c:ext>
          </c:extLst>
        </c:ser>
        <c:ser>
          <c:idx val="9"/>
          <c:order val="9"/>
          <c:tx>
            <c:strRef>
              <c:f>Grafiikka!$A$65</c:f>
              <c:strCache>
                <c:ptCount val="1"/>
                <c:pt idx="0">
                  <c:v>Verot</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Grafiikka!$B$65:$M$65</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6-14BE-4818-9F1A-9B48B11E7645}"/>
            </c:ext>
          </c:extLst>
        </c:ser>
        <c:ser>
          <c:idx val="10"/>
          <c:order val="10"/>
          <c:tx>
            <c:strRef>
              <c:f>Grafiikka!$A$66</c:f>
              <c:strCache>
                <c:ptCount val="1"/>
                <c:pt idx="0">
                  <c:v>Alv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Grafiikka!$B$66:$M$66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7-14BE-4818-9F1A-9B48B11E7645}"/>
            </c:ext>
          </c:extLst>
        </c:ser>
        <c:ser>
          <c:idx val="11"/>
          <c:order val="11"/>
          <c:tx>
            <c:strRef>
              <c:f>Grafiikka!$A$67</c:f>
              <c:strCache>
                <c:ptCount val="1"/>
                <c:pt idx="0">
                  <c:v>Yksityisotot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Grafiikka!$B$67:$M$67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8-14BE-4818-9F1A-9B48B11E7645}"/>
            </c:ext>
          </c:extLst>
        </c:ser>
        <c:ser>
          <c:idx val="12"/>
          <c:order val="12"/>
          <c:tx>
            <c:strRef>
              <c:f>Grafiikka!$A$68</c:f>
              <c:strCache>
                <c:ptCount val="1"/>
                <c:pt idx="0">
                  <c:v>Muut menot</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Grafiikka!$B$68:$M$68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9-14BE-4818-9F1A-9B48B11E7645}"/>
            </c:ext>
          </c:extLst>
        </c:ser>
        <c:ser>
          <c:idx val="13"/>
          <c:order val="13"/>
          <c:tx>
            <c:strRef>
              <c:f>Grafiikka!$A$69</c:f>
              <c:strCache>
                <c:ptCount val="1"/>
                <c:pt idx="0">
                  <c:v>Kassa</c:v>
                </c:pt>
              </c:strCache>
            </c:strRef>
          </c:tx>
          <c:spPr>
            <a:ln w="41275" cap="rnd">
              <a:solidFill>
                <a:srgbClr val="FF0000"/>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spPr>
              <a:noFill/>
              <a:ln cap="rnd">
                <a:solidFill>
                  <a:srgbClr val="FF0000"/>
                </a:solidFill>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Grafiikka!$B$70:$M$70</c:f>
              <c:numCache>
                <c:formatCode>_-* #\ ##0" €"_-;\-* #\ ##0" €"_-;_-*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14BE-4818-9F1A-9B48B11E7645}"/>
            </c:ext>
          </c:extLst>
        </c:ser>
        <c:dLbls>
          <c:showLegendKey val="0"/>
          <c:showVal val="0"/>
          <c:showCatName val="0"/>
          <c:showSerName val="0"/>
          <c:showPercent val="0"/>
          <c:showBubbleSize val="0"/>
        </c:dLbls>
        <c:marker val="1"/>
        <c:smooth val="0"/>
        <c:axId val="413003896"/>
        <c:axId val="413000368"/>
        <c:extLst>
          <c:ext xmlns:c15="http://schemas.microsoft.com/office/drawing/2012/chart" uri="{02D57815-91ED-43cb-92C2-25804820EDAC}">
            <c15:filteredLineSeries>
              <c15:ser>
                <c:idx val="4"/>
                <c:order val="4"/>
                <c:tx>
                  <c:strRef>
                    <c:extLst>
                      <c:ext uri="{02D57815-91ED-43cb-92C2-25804820EDAC}">
                        <c15:formulaRef>
                          <c15:sqref>Grafiikka!$A$60</c15:sqref>
                        </c15:formulaRef>
                      </c:ext>
                    </c:extLst>
                    <c:strCache>
                      <c:ptCount val="1"/>
                      <c:pt idx="0">
                        <c:v>Muun yritystoiminnan tulot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c:ext uri="{02D57815-91ED-43cb-92C2-25804820EDAC}">
                        <c15:formulaRef>
                          <c15:sqref>Grafiikka!$B$60:$M$60</c15:sqref>
                        </c15:formulaRef>
                      </c:ext>
                    </c:extLst>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B-14BE-4818-9F1A-9B48B11E764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Grafiikka!$A$61</c15:sqref>
                        </c15:formulaRef>
                      </c:ext>
                    </c:extLst>
                    <c:strCache>
                      <c:ptCount val="1"/>
                      <c:pt idx="0">
                        <c:v>Muun yritystoiminnan menot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Grafiikka!$B$61:$M$61</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C-14BE-4818-9F1A-9B48B11E764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Grafiikka!$A$62</c15:sqref>
                        </c15:formulaRef>
                      </c:ext>
                    </c:extLst>
                    <c:strCache>
                      <c:ptCount val="1"/>
                      <c:pt idx="0">
                        <c:v>Muut tulot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Grafiikka!$B$62:$M$62</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D-14BE-4818-9F1A-9B48B11E7645}"/>
                  </c:ext>
                </c:extLst>
              </c15:ser>
            </c15:filteredLineSeries>
          </c:ext>
        </c:extLst>
      </c:lineChart>
      <c:catAx>
        <c:axId val="413003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i-FI"/>
                  <a:t>Vuosikertym'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0368"/>
        <c:crosses val="autoZero"/>
        <c:auto val="1"/>
        <c:lblAlgn val="ctr"/>
        <c:lblOffset val="100"/>
        <c:noMultiLvlLbl val="0"/>
      </c:catAx>
      <c:valAx>
        <c:axId val="413000368"/>
        <c:scaling>
          <c:orientation val="minMax"/>
        </c:scaling>
        <c:delete val="0"/>
        <c:axPos val="l"/>
        <c:majorGridlines>
          <c:spPr>
            <a:ln w="9525" cap="flat" cmpd="sng" algn="ctr">
              <a:solidFill>
                <a:schemeClr val="tx1">
                  <a:lumMod val="15000"/>
                  <a:lumOff val="85000"/>
                </a:schemeClr>
              </a:solidFill>
              <a:round/>
            </a:ln>
            <a:effectLst/>
          </c:spPr>
        </c:majorGridlines>
        <c:numFmt formatCode="_-* #\ ##0&quot; €&quot;_-;\-* #\ ##0&quot; €&quot;_-;_-* \-??&quot; €&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3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8</xdr:col>
      <xdr:colOff>19050</xdr:colOff>
      <xdr:row>27</xdr:row>
      <xdr:rowOff>9525</xdr:rowOff>
    </xdr:from>
    <xdr:to>
      <xdr:col>15</xdr:col>
      <xdr:colOff>276225</xdr:colOff>
      <xdr:row>37</xdr:row>
      <xdr:rowOff>142875</xdr:rowOff>
    </xdr:to>
    <xdr:pic>
      <xdr:nvPicPr>
        <xdr:cNvPr id="2065" name="Kuva 2">
          <a:extLst>
            <a:ext uri="{FF2B5EF4-FFF2-40B4-BE49-F238E27FC236}">
              <a16:creationId xmlns:a16="http://schemas.microsoft.com/office/drawing/2014/main" id="{00000000-0008-0000-02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0" y="3733800"/>
          <a:ext cx="4562475" cy="1695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31750</xdr:colOff>
      <xdr:row>57</xdr:row>
      <xdr:rowOff>21167</xdr:rowOff>
    </xdr:from>
    <xdr:to>
      <xdr:col>29</xdr:col>
      <xdr:colOff>298450</xdr:colOff>
      <xdr:row>68</xdr:row>
      <xdr:rowOff>14817</xdr:rowOff>
    </xdr:to>
    <xdr:sp macro="" textlink="">
      <xdr:nvSpPr>
        <xdr:cNvPr id="3" name="Tekstiruutu 2">
          <a:extLst>
            <a:ext uri="{FF2B5EF4-FFF2-40B4-BE49-F238E27FC236}">
              <a16:creationId xmlns:a16="http://schemas.microsoft.com/office/drawing/2014/main" id="{00000000-0008-0000-2000-000003000000}"/>
            </a:ext>
          </a:extLst>
        </xdr:cNvPr>
        <xdr:cNvSpPr txBox="1"/>
      </xdr:nvSpPr>
      <xdr:spPr>
        <a:xfrm>
          <a:off x="11440583" y="16679334"/>
          <a:ext cx="8183034" cy="173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i="0" u="none" strike="noStrike">
              <a:solidFill>
                <a:schemeClr val="dk1"/>
              </a:solidFill>
              <a:effectLst/>
              <a:latin typeface="+mn-lt"/>
              <a:ea typeface="+mn-ea"/>
              <a:cs typeface="+mn-cs"/>
            </a:rPr>
            <a:t>ESIMERKKI yhden</a:t>
          </a:r>
          <a:r>
            <a:rPr lang="fi-FI" sz="1100" b="0" i="0" u="none" strike="noStrike" baseline="0">
              <a:solidFill>
                <a:schemeClr val="dk1"/>
              </a:solidFill>
              <a:effectLst/>
              <a:latin typeface="+mn-lt"/>
              <a:ea typeface="+mn-ea"/>
              <a:cs typeface="+mn-cs"/>
            </a:rPr>
            <a:t> kokonais</a:t>
          </a:r>
          <a:r>
            <a:rPr lang="fi-FI" sz="1100" b="0" i="0" u="none" strike="noStrike">
              <a:solidFill>
                <a:schemeClr val="dk1"/>
              </a:solidFill>
              <a:effectLst/>
              <a:latin typeface="+mn-lt"/>
              <a:ea typeface="+mn-ea"/>
              <a:cs typeface="+mn-cs"/>
            </a:rPr>
            <a:t>kertoimen</a:t>
          </a:r>
          <a:r>
            <a:rPr lang="fi-FI" sz="1100" b="0" i="0" u="none" strike="noStrike" baseline="0">
              <a:solidFill>
                <a:schemeClr val="dk1"/>
              </a:solidFill>
              <a:effectLst/>
              <a:latin typeface="+mn-lt"/>
              <a:ea typeface="+mn-ea"/>
              <a:cs typeface="+mn-cs"/>
            </a:rPr>
            <a:t> laskennasta:</a:t>
          </a:r>
          <a:endParaRPr lang="fi-FI" sz="1100" b="0" i="0" u="none" strike="noStrike">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Myytävien tuotteiden hankintakulut tilikauden aikana</a:t>
          </a:r>
          <a:r>
            <a:rPr lang="fi-FI"/>
            <a:t> </a:t>
          </a:r>
          <a:r>
            <a:rPr lang="fi-FI" sz="1100" b="1" i="0" u="none" strike="noStrike">
              <a:solidFill>
                <a:schemeClr val="dk1"/>
              </a:solidFill>
              <a:effectLst/>
              <a:latin typeface="+mn-lt"/>
              <a:ea typeface="+mn-ea"/>
              <a:cs typeface="+mn-cs"/>
            </a:rPr>
            <a:t>            	28 500,00 € </a:t>
          </a:r>
          <a:br>
            <a:rPr lang="fi-FI" sz="1100" b="1" i="0" u="none" strike="noStrike">
              <a:solidFill>
                <a:schemeClr val="dk1"/>
              </a:solidFill>
              <a:effectLst/>
              <a:latin typeface="+mn-lt"/>
              <a:ea typeface="+mn-ea"/>
              <a:cs typeface="+mn-cs"/>
            </a:rPr>
          </a:br>
          <a:r>
            <a:rPr lang="fi-FI" sz="1100" b="0" i="0" u="none" strike="noStrike">
              <a:solidFill>
                <a:schemeClr val="dk1"/>
              </a:solidFill>
              <a:effectLst/>
              <a:latin typeface="+mn-lt"/>
              <a:ea typeface="+mn-ea"/>
              <a:cs typeface="+mn-cs"/>
            </a:rPr>
            <a:t>Muut muuttuvat kustannukset</a:t>
          </a:r>
          <a:r>
            <a:rPr lang="fi-FI"/>
            <a:t> </a:t>
          </a:r>
          <a:r>
            <a:rPr lang="fi-FI" sz="1100" b="0" i="0" u="none" strike="noStrike">
              <a:solidFill>
                <a:schemeClr val="dk1"/>
              </a:solidFill>
              <a:effectLst/>
              <a:latin typeface="+mn-lt"/>
              <a:ea typeface="+mn-ea"/>
              <a:cs typeface="+mn-cs"/>
            </a:rPr>
            <a:t>              		1 700,00 € </a:t>
          </a:r>
        </a:p>
        <a:p>
          <a:r>
            <a:rPr lang="fi-FI" sz="1100" b="0" i="0" u="none" strike="noStrike">
              <a:solidFill>
                <a:schemeClr val="dk1"/>
              </a:solidFill>
              <a:effectLst/>
              <a:latin typeface="+mn-lt"/>
              <a:ea typeface="+mn-ea"/>
              <a:cs typeface="+mn-cs"/>
            </a:rPr>
            <a:t>Kiinteät kustannukset ilman voittotavoitetta</a:t>
          </a:r>
          <a:r>
            <a:rPr lang="fi-FI"/>
            <a:t> </a:t>
          </a:r>
          <a:r>
            <a:rPr lang="fi-FI" sz="1100" b="0" i="0" u="none" strike="noStrike">
              <a:solidFill>
                <a:schemeClr val="dk1"/>
              </a:solidFill>
              <a:effectLst/>
              <a:latin typeface="+mn-lt"/>
              <a:ea typeface="+mn-ea"/>
              <a:cs typeface="+mn-cs"/>
            </a:rPr>
            <a:t>            	33 474,00 € </a:t>
          </a:r>
        </a:p>
        <a:p>
          <a:r>
            <a:rPr lang="fi-FI" sz="1100" b="0" i="0" u="none" strike="noStrike">
              <a:solidFill>
                <a:schemeClr val="dk1"/>
              </a:solidFill>
              <a:effectLst/>
              <a:latin typeface="+mn-lt"/>
              <a:ea typeface="+mn-ea"/>
              <a:cs typeface="+mn-cs"/>
            </a:rPr>
            <a:t>Voittotavoite</a:t>
          </a:r>
          <a:r>
            <a:rPr lang="fi-FI"/>
            <a:t> </a:t>
          </a:r>
          <a:r>
            <a:rPr lang="fi-FI" sz="1100" b="0" i="0" u="none" strike="noStrike">
              <a:solidFill>
                <a:schemeClr val="dk1"/>
              </a:solidFill>
              <a:effectLst/>
              <a:latin typeface="+mn-lt"/>
              <a:ea typeface="+mn-ea"/>
              <a:cs typeface="+mn-cs"/>
            </a:rPr>
            <a:t>              			5 000,00 € </a:t>
          </a:r>
        </a:p>
        <a:p>
          <a:r>
            <a:rPr lang="fi-FI" sz="1100" b="0" i="0" u="none" strike="noStrike">
              <a:solidFill>
                <a:schemeClr val="dk1"/>
              </a:solidFill>
              <a:effectLst/>
              <a:latin typeface="+mn-lt"/>
              <a:ea typeface="+mn-ea"/>
              <a:cs typeface="+mn-cs"/>
            </a:rPr>
            <a:t>YHTEENSÄ			</a:t>
          </a:r>
          <a:r>
            <a:rPr lang="fi-FI"/>
            <a:t> </a:t>
          </a:r>
          <a:r>
            <a:rPr lang="fi-FI" sz="1100" b="0" i="0" u="none" strike="noStrike">
              <a:solidFill>
                <a:schemeClr val="dk1"/>
              </a:solidFill>
              <a:effectLst/>
              <a:latin typeface="+mn-lt"/>
              <a:ea typeface="+mn-ea"/>
              <a:cs typeface="+mn-cs"/>
            </a:rPr>
            <a:t>            	68 674,00 € </a:t>
          </a:r>
        </a:p>
        <a:p>
          <a:r>
            <a:rPr lang="fi-FI" sz="1100" b="0" i="0" u="none" strike="noStrike">
              <a:solidFill>
                <a:schemeClr val="dk1"/>
              </a:solidFill>
              <a:effectLst/>
              <a:latin typeface="+mn-lt"/>
              <a:ea typeface="+mn-ea"/>
              <a:cs typeface="+mn-cs"/>
            </a:rPr>
            <a:t>Hinnoittelukertoimen perustana on hankintakulut</a:t>
          </a:r>
          <a:r>
            <a:rPr lang="fi-FI"/>
            <a:t> </a:t>
          </a:r>
          <a:r>
            <a:rPr lang="fi-FI" sz="1100" b="0" i="0" u="none" strike="noStrike">
              <a:solidFill>
                <a:schemeClr val="dk1"/>
              </a:solidFill>
              <a:effectLst/>
              <a:latin typeface="+mn-lt"/>
              <a:ea typeface="+mn-ea"/>
              <a:cs typeface="+mn-cs"/>
            </a:rPr>
            <a:t>           	 28 500,00 € </a:t>
          </a:r>
        </a:p>
        <a:p>
          <a:r>
            <a:rPr lang="fi-FI" sz="1100" b="0" i="0" u="none" strike="noStrike">
              <a:solidFill>
                <a:schemeClr val="dk1"/>
              </a:solidFill>
              <a:effectLst/>
              <a:latin typeface="+mn-lt"/>
              <a:ea typeface="+mn-ea"/>
              <a:cs typeface="+mn-cs"/>
            </a:rPr>
            <a:t>jolloin kerroin on oltava vähintään--&gt;</a:t>
          </a:r>
          <a:r>
            <a:rPr lang="fi-FI"/>
            <a:t> </a:t>
          </a:r>
          <a:r>
            <a:rPr lang="fi-FI" sz="1100" b="1" i="0" u="none" strike="noStrike">
              <a:solidFill>
                <a:schemeClr val="dk1"/>
              </a:solidFill>
              <a:effectLst/>
              <a:latin typeface="+mn-lt"/>
              <a:ea typeface="+mn-ea"/>
              <a:cs typeface="+mn-cs"/>
            </a:rPr>
            <a:t>2,41</a:t>
          </a:r>
          <a:r>
            <a:rPr lang="fi-FI"/>
            <a:t> </a:t>
          </a:r>
        </a:p>
        <a:p>
          <a:r>
            <a:rPr lang="fi-FI" sz="1100">
              <a:solidFill>
                <a:schemeClr val="dk1"/>
              </a:solidFill>
              <a:effectLst/>
              <a:latin typeface="+mn-lt"/>
              <a:ea typeface="+mn-ea"/>
              <a:cs typeface="+mn-cs"/>
            </a:rPr>
            <a:t>koska 68 674</a:t>
          </a:r>
          <a:r>
            <a:rPr lang="fi-FI" sz="1100" baseline="0">
              <a:solidFill>
                <a:schemeClr val="dk1"/>
              </a:solidFill>
              <a:effectLst/>
              <a:latin typeface="+mn-lt"/>
              <a:ea typeface="+mn-ea"/>
              <a:cs typeface="+mn-cs"/>
            </a:rPr>
            <a:t> € / 28 500 € = 2,41.</a:t>
          </a:r>
          <a:endParaRPr lang="fi-FI"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209550</xdr:colOff>
      <xdr:row>37</xdr:row>
      <xdr:rowOff>28575</xdr:rowOff>
    </xdr:from>
    <xdr:to>
      <xdr:col>2</xdr:col>
      <xdr:colOff>828675</xdr:colOff>
      <xdr:row>39</xdr:row>
      <xdr:rowOff>190500</xdr:rowOff>
    </xdr:to>
    <xdr:cxnSp macro="">
      <xdr:nvCxnSpPr>
        <xdr:cNvPr id="15395" name="Suora nuoliyhdysviiva 2">
          <a:extLst>
            <a:ext uri="{FF2B5EF4-FFF2-40B4-BE49-F238E27FC236}">
              <a16:creationId xmlns:a16="http://schemas.microsoft.com/office/drawing/2014/main" id="{00000000-0008-0000-2300-0000233C0000}"/>
            </a:ext>
          </a:extLst>
        </xdr:cNvPr>
        <xdr:cNvCxnSpPr>
          <a:cxnSpLocks noChangeShapeType="1"/>
        </xdr:cNvCxnSpPr>
      </xdr:nvCxnSpPr>
      <xdr:spPr bwMode="auto">
        <a:xfrm flipV="1">
          <a:off x="6334125" y="7239000"/>
          <a:ext cx="619125" cy="590550"/>
        </a:xfrm>
        <a:prstGeom prst="bentConnector3">
          <a:avLst>
            <a:gd name="adj1" fmla="val 50000"/>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603443</xdr:colOff>
      <xdr:row>187</xdr:row>
      <xdr:rowOff>19245</xdr:rowOff>
    </xdr:from>
    <xdr:to>
      <xdr:col>8</xdr:col>
      <xdr:colOff>47241</xdr:colOff>
      <xdr:row>201</xdr:row>
      <xdr:rowOff>65386</xdr:rowOff>
    </xdr:to>
    <xdr:pic>
      <xdr:nvPicPr>
        <xdr:cNvPr id="46137" name="Kuva 3">
          <a:extLst>
            <a:ext uri="{FF2B5EF4-FFF2-40B4-BE49-F238E27FC236}">
              <a16:creationId xmlns:a16="http://schemas.microsoft.com/office/drawing/2014/main" id="{00000000-0008-0000-2400-000039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4125" y="27786063"/>
          <a:ext cx="2859328" cy="29613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5627" name="Kuva 1">
          <a:extLst>
            <a:ext uri="{FF2B5EF4-FFF2-40B4-BE49-F238E27FC236}">
              <a16:creationId xmlns:a16="http://schemas.microsoft.com/office/drawing/2014/main" id="{00000000-0008-0000-2500-00001B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96475"/>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25628" name="Kuva 3">
          <a:extLst>
            <a:ext uri="{FF2B5EF4-FFF2-40B4-BE49-F238E27FC236}">
              <a16:creationId xmlns:a16="http://schemas.microsoft.com/office/drawing/2014/main" id="{00000000-0008-0000-2500-00001C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3354050"/>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 name="Kuva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6600"/>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3" name="Kuva 3">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4354175"/>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138112</xdr:rowOff>
    </xdr:from>
    <xdr:to>
      <xdr:col>21</xdr:col>
      <xdr:colOff>523875</xdr:colOff>
      <xdr:row>37</xdr:row>
      <xdr:rowOff>85725</xdr:rowOff>
    </xdr:to>
    <xdr:graphicFrame macro="">
      <xdr:nvGraphicFramePr>
        <xdr:cNvPr id="4" name="Kaavio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8966</xdr:colOff>
      <xdr:row>1</xdr:row>
      <xdr:rowOff>0</xdr:rowOff>
    </xdr:from>
    <xdr:to>
      <xdr:col>19</xdr:col>
      <xdr:colOff>444898</xdr:colOff>
      <xdr:row>163</xdr:row>
      <xdr:rowOff>201705</xdr:rowOff>
    </xdr:to>
    <xdr:pic>
      <xdr:nvPicPr>
        <xdr:cNvPr id="2" name="Kuva 3">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16084" y="156882"/>
          <a:ext cx="4974314" cy="532279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63</xdr:row>
      <xdr:rowOff>9525</xdr:rowOff>
    </xdr:from>
    <xdr:to>
      <xdr:col>1</xdr:col>
      <xdr:colOff>0</xdr:colOff>
      <xdr:row>79</xdr:row>
      <xdr:rowOff>9525</xdr:rowOff>
    </xdr:to>
    <xdr:sp macro="" textlink="" fLocksText="0">
      <xdr:nvSpPr>
        <xdr:cNvPr id="3" name="Vasen aaltosulje 2">
          <a:extLst>
            <a:ext uri="{FF2B5EF4-FFF2-40B4-BE49-F238E27FC236}">
              <a16:creationId xmlns:a16="http://schemas.microsoft.com/office/drawing/2014/main" id="{00000000-0008-0000-2800-000003000000}"/>
            </a:ext>
          </a:extLst>
        </xdr:cNvPr>
        <xdr:cNvSpPr>
          <a:spLocks/>
        </xdr:cNvSpPr>
      </xdr:nvSpPr>
      <xdr:spPr bwMode="auto">
        <a:xfrm>
          <a:off x="323850" y="10963275"/>
          <a:ext cx="1924050" cy="2600325"/>
        </a:xfrm>
        <a:prstGeom prst="leftBrace">
          <a:avLst>
            <a:gd name="adj1" fmla="val 8330"/>
            <a:gd name="adj2" fmla="val 50000"/>
          </a:avLst>
        </a:prstGeom>
        <a:noFill/>
        <a:ln w="9360">
          <a:solidFill>
            <a:srgbClr val="4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0" rIns="0" bIns="0" anchor="t"/>
        <a:lstStyle/>
        <a:p>
          <a:pPr algn="l" rtl="0">
            <a:lnSpc>
              <a:spcPts val="1200"/>
            </a:lnSpc>
            <a:defRPr sz="1000"/>
          </a:pPr>
          <a:r>
            <a:rPr lang="fi-FI" sz="1100" b="0" i="0" u="none" strike="noStrike" baseline="0">
              <a:solidFill>
                <a:srgbClr val="000000"/>
              </a:solidFill>
              <a:latin typeface="Calibri"/>
              <a:cs typeface="Calibri"/>
            </a:rPr>
            <a:t>Voit poistaa tai lisätä palkkavaatimusta</a:t>
          </a:r>
        </a:p>
        <a:p>
          <a:pPr algn="l" rtl="0">
            <a:lnSpc>
              <a:spcPts val="1100"/>
            </a:lnSpc>
            <a:defRPr sz="1000"/>
          </a:pPr>
          <a:r>
            <a:rPr lang="fi-FI" sz="1100" b="0" i="0" u="none" strike="noStrike" baseline="0">
              <a:solidFill>
                <a:srgbClr val="000000"/>
              </a:solidFill>
              <a:latin typeface="Calibri"/>
              <a:cs typeface="Calibri"/>
            </a:rPr>
            <a:t>Oletus 100%=ei muutosta</a:t>
          </a:r>
        </a:p>
        <a:p>
          <a:pPr algn="l" rtl="0">
            <a:lnSpc>
              <a:spcPts val="1100"/>
            </a:lnSpc>
            <a:defRPr sz="1000"/>
          </a:pPr>
          <a:endParaRPr lang="fi-FI" sz="1100" b="0" i="0" u="none" strike="noStrike" baseline="0">
            <a:solidFill>
              <a:srgbClr val="000000"/>
            </a:solidFill>
            <a:latin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71438</xdr:colOff>
      <xdr:row>44</xdr:row>
      <xdr:rowOff>11906</xdr:rowOff>
    </xdr:from>
    <xdr:to>
      <xdr:col>3</xdr:col>
      <xdr:colOff>366713</xdr:colOff>
      <xdr:row>64</xdr:row>
      <xdr:rowOff>7144</xdr:rowOff>
    </xdr:to>
    <xdr:pic>
      <xdr:nvPicPr>
        <xdr:cNvPr id="4" name="Kuva 3" descr="http://www.puuproffa.fi/PuuProffa_2012/images/SOLUASIAT/Kasvukasitteita.jpg">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7798594"/>
          <a:ext cx="4283869"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66675</xdr:rowOff>
    </xdr:from>
    <xdr:to>
      <xdr:col>12</xdr:col>
      <xdr:colOff>171450</xdr:colOff>
      <xdr:row>12</xdr:row>
      <xdr:rowOff>76200</xdr:rowOff>
    </xdr:to>
    <xdr:pic>
      <xdr:nvPicPr>
        <xdr:cNvPr id="9278" name="Kuva 1">
          <a:extLst>
            <a:ext uri="{FF2B5EF4-FFF2-40B4-BE49-F238E27FC236}">
              <a16:creationId xmlns:a16="http://schemas.microsoft.com/office/drawing/2014/main" id="{00000000-0008-0000-2E00-00003E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89"/>
        <a:stretch>
          <a:fillRect/>
        </a:stretch>
      </xdr:blipFill>
      <xdr:spPr bwMode="auto">
        <a:xfrm>
          <a:off x="4162425" y="66675"/>
          <a:ext cx="4295775" cy="1914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47</xdr:row>
      <xdr:rowOff>57150</xdr:rowOff>
    </xdr:from>
    <xdr:to>
      <xdr:col>4</xdr:col>
      <xdr:colOff>266700</xdr:colOff>
      <xdr:row>58</xdr:row>
      <xdr:rowOff>47625</xdr:rowOff>
    </xdr:to>
    <xdr:pic>
      <xdr:nvPicPr>
        <xdr:cNvPr id="9279" name="Kuva 1">
          <a:extLst>
            <a:ext uri="{FF2B5EF4-FFF2-40B4-BE49-F238E27FC236}">
              <a16:creationId xmlns:a16="http://schemas.microsoft.com/office/drawing/2014/main" id="{00000000-0008-0000-2E00-00003F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39050"/>
          <a:ext cx="3400425" cy="17716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638175</xdr:colOff>
      <xdr:row>46</xdr:row>
      <xdr:rowOff>114300</xdr:rowOff>
    </xdr:from>
    <xdr:to>
      <xdr:col>18</xdr:col>
      <xdr:colOff>609600</xdr:colOff>
      <xdr:row>68</xdr:row>
      <xdr:rowOff>95250</xdr:rowOff>
    </xdr:to>
    <xdr:pic>
      <xdr:nvPicPr>
        <xdr:cNvPr id="9280" name="Kuva 2">
          <a:extLst>
            <a:ext uri="{FF2B5EF4-FFF2-40B4-BE49-F238E27FC236}">
              <a16:creationId xmlns:a16="http://schemas.microsoft.com/office/drawing/2014/main" id="{00000000-0008-0000-2E00-000040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39125" y="7534275"/>
          <a:ext cx="4591050" cy="3543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58</xdr:row>
      <xdr:rowOff>95250</xdr:rowOff>
    </xdr:from>
    <xdr:to>
      <xdr:col>11</xdr:col>
      <xdr:colOff>571500</xdr:colOff>
      <xdr:row>85</xdr:row>
      <xdr:rowOff>133350</xdr:rowOff>
    </xdr:to>
    <xdr:pic>
      <xdr:nvPicPr>
        <xdr:cNvPr id="9281" name="Kuva 3">
          <a:extLst>
            <a:ext uri="{FF2B5EF4-FFF2-40B4-BE49-F238E27FC236}">
              <a16:creationId xmlns:a16="http://schemas.microsoft.com/office/drawing/2014/main" id="{00000000-0008-0000-2E00-000041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458325"/>
          <a:ext cx="8105775" cy="4410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12</xdr:col>
      <xdr:colOff>76200</xdr:colOff>
      <xdr:row>70</xdr:row>
      <xdr:rowOff>76200</xdr:rowOff>
    </xdr:from>
    <xdr:to>
      <xdr:col>19</xdr:col>
      <xdr:colOff>9525</xdr:colOff>
      <xdr:row>98</xdr:row>
      <xdr:rowOff>123825</xdr:rowOff>
    </xdr:to>
    <xdr:pic>
      <xdr:nvPicPr>
        <xdr:cNvPr id="9282" name="Kuva 4">
          <a:extLst>
            <a:ext uri="{FF2B5EF4-FFF2-40B4-BE49-F238E27FC236}">
              <a16:creationId xmlns:a16="http://schemas.microsoft.com/office/drawing/2014/main" id="{00000000-0008-0000-2E00-0000422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62950" y="11382375"/>
          <a:ext cx="4533900" cy="458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381000</xdr:colOff>
      <xdr:row>0</xdr:row>
      <xdr:rowOff>0</xdr:rowOff>
    </xdr:from>
    <xdr:to>
      <xdr:col>37</xdr:col>
      <xdr:colOff>352425</xdr:colOff>
      <xdr:row>20</xdr:row>
      <xdr:rowOff>47625</xdr:rowOff>
    </xdr:to>
    <xdr:pic>
      <xdr:nvPicPr>
        <xdr:cNvPr id="19502" name="Kuva 1">
          <a:extLst>
            <a:ext uri="{FF2B5EF4-FFF2-40B4-BE49-F238E27FC236}">
              <a16:creationId xmlns:a16="http://schemas.microsoft.com/office/drawing/2014/main" id="{00000000-0008-0000-2F00-00002E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825" y="0"/>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0</xdr:row>
      <xdr:rowOff>0</xdr:rowOff>
    </xdr:from>
    <xdr:to>
      <xdr:col>36</xdr:col>
      <xdr:colOff>257175</xdr:colOff>
      <xdr:row>21</xdr:row>
      <xdr:rowOff>161925</xdr:rowOff>
    </xdr:to>
    <xdr:pic>
      <xdr:nvPicPr>
        <xdr:cNvPr id="19503" name="Kuva 2">
          <a:extLst>
            <a:ext uri="{FF2B5EF4-FFF2-40B4-BE49-F238E27FC236}">
              <a16:creationId xmlns:a16="http://schemas.microsoft.com/office/drawing/2014/main" id="{00000000-0008-0000-2F00-00002F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45625" y="0"/>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29</xdr:row>
      <xdr:rowOff>133350</xdr:rowOff>
    </xdr:from>
    <xdr:to>
      <xdr:col>37</xdr:col>
      <xdr:colOff>457200</xdr:colOff>
      <xdr:row>48</xdr:row>
      <xdr:rowOff>104775</xdr:rowOff>
    </xdr:to>
    <xdr:pic>
      <xdr:nvPicPr>
        <xdr:cNvPr id="19504" name="Kuva 1">
          <a:extLst>
            <a:ext uri="{FF2B5EF4-FFF2-40B4-BE49-F238E27FC236}">
              <a16:creationId xmlns:a16="http://schemas.microsoft.com/office/drawing/2014/main" id="{00000000-0008-0000-2F00-0000304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4675" y="4972050"/>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96</xdr:row>
      <xdr:rowOff>57150</xdr:rowOff>
    </xdr:from>
    <xdr:to>
      <xdr:col>2</xdr:col>
      <xdr:colOff>409575</xdr:colOff>
      <xdr:row>111</xdr:row>
      <xdr:rowOff>66675</xdr:rowOff>
    </xdr:to>
    <xdr:pic>
      <xdr:nvPicPr>
        <xdr:cNvPr id="19505" name="Kuva 4">
          <a:extLst>
            <a:ext uri="{FF2B5EF4-FFF2-40B4-BE49-F238E27FC236}">
              <a16:creationId xmlns:a16="http://schemas.microsoft.com/office/drawing/2014/main" id="{00000000-0008-0000-2F00-0000314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6316325"/>
          <a:ext cx="3543300" cy="2438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83344</xdr:colOff>
      <xdr:row>23</xdr:row>
      <xdr:rowOff>119061</xdr:rowOff>
    </xdr:from>
    <xdr:to>
      <xdr:col>19</xdr:col>
      <xdr:colOff>738188</xdr:colOff>
      <xdr:row>41</xdr:row>
      <xdr:rowOff>154781</xdr:rowOff>
    </xdr:to>
    <xdr:graphicFrame macro="">
      <xdr:nvGraphicFramePr>
        <xdr:cNvPr id="6" name="Kaavi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28</xdr:col>
      <xdr:colOff>381000</xdr:colOff>
      <xdr:row>1</xdr:row>
      <xdr:rowOff>0</xdr:rowOff>
    </xdr:from>
    <xdr:to>
      <xdr:col>37</xdr:col>
      <xdr:colOff>352425</xdr:colOff>
      <xdr:row>20</xdr:row>
      <xdr:rowOff>152400</xdr:rowOff>
    </xdr:to>
    <xdr:pic>
      <xdr:nvPicPr>
        <xdr:cNvPr id="21539" name="Kuva 1">
          <a:extLst>
            <a:ext uri="{FF2B5EF4-FFF2-40B4-BE49-F238E27FC236}">
              <a16:creationId xmlns:a16="http://schemas.microsoft.com/office/drawing/2014/main" id="{00000000-0008-0000-3100-000023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21875" y="161925"/>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1</xdr:row>
      <xdr:rowOff>0</xdr:rowOff>
    </xdr:from>
    <xdr:to>
      <xdr:col>36</xdr:col>
      <xdr:colOff>257175</xdr:colOff>
      <xdr:row>22</xdr:row>
      <xdr:rowOff>104775</xdr:rowOff>
    </xdr:to>
    <xdr:pic>
      <xdr:nvPicPr>
        <xdr:cNvPr id="21540" name="Kuva 2">
          <a:extLst>
            <a:ext uri="{FF2B5EF4-FFF2-40B4-BE49-F238E27FC236}">
              <a16:creationId xmlns:a16="http://schemas.microsoft.com/office/drawing/2014/main" id="{00000000-0008-0000-3100-000024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26675" y="161925"/>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30</xdr:row>
      <xdr:rowOff>133350</xdr:rowOff>
    </xdr:from>
    <xdr:to>
      <xdr:col>37</xdr:col>
      <xdr:colOff>457200</xdr:colOff>
      <xdr:row>49</xdr:row>
      <xdr:rowOff>104775</xdr:rowOff>
    </xdr:to>
    <xdr:pic>
      <xdr:nvPicPr>
        <xdr:cNvPr id="21541" name="Kuva 1">
          <a:extLst>
            <a:ext uri="{FF2B5EF4-FFF2-40B4-BE49-F238E27FC236}">
              <a16:creationId xmlns:a16="http://schemas.microsoft.com/office/drawing/2014/main" id="{00000000-0008-0000-3100-0000255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45725" y="5191125"/>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4</xdr:row>
      <xdr:rowOff>142875</xdr:rowOff>
    </xdr:from>
    <xdr:to>
      <xdr:col>22</xdr:col>
      <xdr:colOff>597098</xdr:colOff>
      <xdr:row>6</xdr:row>
      <xdr:rowOff>28575</xdr:rowOff>
    </xdr:to>
    <xdr:pic>
      <xdr:nvPicPr>
        <xdr:cNvPr id="6" name="Kuv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33350" y="1295400"/>
          <a:ext cx="13417748" cy="942975"/>
        </a:xfrm>
        <a:prstGeom prst="rect">
          <a:avLst/>
        </a:prstGeom>
      </xdr:spPr>
    </xdr:pic>
    <xdr:clientData/>
  </xdr:twoCellAnchor>
  <xdr:twoCellAnchor editAs="oneCell">
    <xdr:from>
      <xdr:col>0</xdr:col>
      <xdr:colOff>0</xdr:colOff>
      <xdr:row>1</xdr:row>
      <xdr:rowOff>0</xdr:rowOff>
    </xdr:from>
    <xdr:to>
      <xdr:col>3</xdr:col>
      <xdr:colOff>210374</xdr:colOff>
      <xdr:row>1</xdr:row>
      <xdr:rowOff>543145</xdr:rowOff>
    </xdr:to>
    <xdr:pic>
      <xdr:nvPicPr>
        <xdr:cNvPr id="7" name="Kuv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161925"/>
          <a:ext cx="2039174" cy="543145"/>
        </a:xfrm>
        <a:prstGeom prst="rect">
          <a:avLst/>
        </a:prstGeom>
      </xdr:spPr>
    </xdr:pic>
    <xdr:clientData/>
  </xdr:twoCellAnchor>
  <xdr:twoCellAnchor editAs="oneCell">
    <xdr:from>
      <xdr:col>0</xdr:col>
      <xdr:colOff>276225</xdr:colOff>
      <xdr:row>27</xdr:row>
      <xdr:rowOff>47625</xdr:rowOff>
    </xdr:from>
    <xdr:to>
      <xdr:col>7</xdr:col>
      <xdr:colOff>431583</xdr:colOff>
      <xdr:row>28</xdr:row>
      <xdr:rowOff>9729</xdr:rowOff>
    </xdr:to>
    <xdr:pic>
      <xdr:nvPicPr>
        <xdr:cNvPr id="2" name="Kuv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276225" y="5619750"/>
          <a:ext cx="4422558" cy="305004"/>
        </a:xfrm>
        <a:prstGeom prst="rect">
          <a:avLst/>
        </a:prstGeom>
      </xdr:spPr>
    </xdr:pic>
    <xdr:clientData/>
  </xdr:twoCellAnchor>
  <xdr:twoCellAnchor editAs="oneCell">
    <xdr:from>
      <xdr:col>0</xdr:col>
      <xdr:colOff>257175</xdr:colOff>
      <xdr:row>25</xdr:row>
      <xdr:rowOff>171450</xdr:rowOff>
    </xdr:from>
    <xdr:to>
      <xdr:col>16</xdr:col>
      <xdr:colOff>575386</xdr:colOff>
      <xdr:row>26</xdr:row>
      <xdr:rowOff>304927</xdr:rowOff>
    </xdr:to>
    <xdr:pic>
      <xdr:nvPicPr>
        <xdr:cNvPr id="3" name="Kuv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257175" y="5486400"/>
          <a:ext cx="9614611" cy="3144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3</xdr:col>
      <xdr:colOff>210374</xdr:colOff>
      <xdr:row>1</xdr:row>
      <xdr:rowOff>581245</xdr:rowOff>
    </xdr:to>
    <xdr:pic>
      <xdr:nvPicPr>
        <xdr:cNvPr id="2" name="Kuv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200025"/>
          <a:ext cx="2039174" cy="543145"/>
        </a:xfrm>
        <a:prstGeom prst="rect">
          <a:avLst/>
        </a:prstGeom>
      </xdr:spPr>
    </xdr:pic>
    <xdr:clientData/>
  </xdr:twoCellAnchor>
  <xdr:twoCellAnchor editAs="oneCell">
    <xdr:from>
      <xdr:col>0</xdr:col>
      <xdr:colOff>0</xdr:colOff>
      <xdr:row>4</xdr:row>
      <xdr:rowOff>76200</xdr:rowOff>
    </xdr:from>
    <xdr:to>
      <xdr:col>21</xdr:col>
      <xdr:colOff>481135</xdr:colOff>
      <xdr:row>5</xdr:row>
      <xdr:rowOff>581825</xdr:rowOff>
    </xdr:to>
    <xdr:pic>
      <xdr:nvPicPr>
        <xdr:cNvPr id="13" name="Kuva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0" y="1009650"/>
          <a:ext cx="12912318" cy="667550"/>
        </a:xfrm>
        <a:prstGeom prst="rect">
          <a:avLst/>
        </a:prstGeom>
      </xdr:spPr>
    </xdr:pic>
    <xdr:clientData/>
  </xdr:twoCellAnchor>
  <xdr:twoCellAnchor editAs="oneCell">
    <xdr:from>
      <xdr:col>14</xdr:col>
      <xdr:colOff>427567</xdr:colOff>
      <xdr:row>29</xdr:row>
      <xdr:rowOff>28575</xdr:rowOff>
    </xdr:from>
    <xdr:to>
      <xdr:col>22</xdr:col>
      <xdr:colOff>178782</xdr:colOff>
      <xdr:row>34</xdr:row>
      <xdr:rowOff>536</xdr:rowOff>
    </xdr:to>
    <xdr:pic>
      <xdr:nvPicPr>
        <xdr:cNvPr id="14" name="Kuva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a:stretch>
          <a:fillRect/>
        </a:stretch>
      </xdr:blipFill>
      <xdr:spPr>
        <a:xfrm>
          <a:off x="8650817" y="5711825"/>
          <a:ext cx="4661882" cy="786877"/>
        </a:xfrm>
        <a:prstGeom prst="rect">
          <a:avLst/>
        </a:prstGeom>
      </xdr:spPr>
    </xdr:pic>
    <xdr:clientData/>
  </xdr:twoCellAnchor>
  <xdr:twoCellAnchor editAs="oneCell">
    <xdr:from>
      <xdr:col>0</xdr:col>
      <xdr:colOff>127001</xdr:colOff>
      <xdr:row>23</xdr:row>
      <xdr:rowOff>31750</xdr:rowOff>
    </xdr:from>
    <xdr:to>
      <xdr:col>16</xdr:col>
      <xdr:colOff>290695</xdr:colOff>
      <xdr:row>23</xdr:row>
      <xdr:rowOff>346202</xdr:rowOff>
    </xdr:to>
    <xdr:pic>
      <xdr:nvPicPr>
        <xdr:cNvPr id="3" name="Kuv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27001" y="4646083"/>
          <a:ext cx="9614611" cy="3144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631030</xdr:colOff>
      <xdr:row>1</xdr:row>
      <xdr:rowOff>107157</xdr:rowOff>
    </xdr:from>
    <xdr:to>
      <xdr:col>11</xdr:col>
      <xdr:colOff>646142</xdr:colOff>
      <xdr:row>3</xdr:row>
      <xdr:rowOff>174052</xdr:rowOff>
    </xdr:to>
    <xdr:pic>
      <xdr:nvPicPr>
        <xdr:cNvPr id="3" name="Kuv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370718" y="345282"/>
          <a:ext cx="2039174" cy="5431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355600</xdr:colOff>
      <xdr:row>59</xdr:row>
      <xdr:rowOff>6722</xdr:rowOff>
    </xdr:from>
    <xdr:to>
      <xdr:col>16</xdr:col>
      <xdr:colOff>607414</xdr:colOff>
      <xdr:row>102</xdr:row>
      <xdr:rowOff>22341</xdr:rowOff>
    </xdr:to>
    <xdr:pic>
      <xdr:nvPicPr>
        <xdr:cNvPr id="2" name="Kuva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213100" y="10077822"/>
          <a:ext cx="4806351" cy="7136900"/>
        </a:xfrm>
        <a:prstGeom prst="rect">
          <a:avLst/>
        </a:prstGeom>
      </xdr:spPr>
    </xdr:pic>
    <xdr:clientData/>
  </xdr:twoCellAnchor>
  <xdr:twoCellAnchor editAs="oneCell">
    <xdr:from>
      <xdr:col>0</xdr:col>
      <xdr:colOff>0</xdr:colOff>
      <xdr:row>53</xdr:row>
      <xdr:rowOff>0</xdr:rowOff>
    </xdr:from>
    <xdr:to>
      <xdr:col>0</xdr:col>
      <xdr:colOff>304800</xdr:colOff>
      <xdr:row>54</xdr:row>
      <xdr:rowOff>142875</xdr:rowOff>
    </xdr:to>
    <xdr:sp macro="" textlink="">
      <xdr:nvSpPr>
        <xdr:cNvPr id="6149" name="AutoShape 5" descr="http://moodle.sakky.fi/pluginfile.php?file=%2F493675%2Fmod_resource%2Fcontent%2F2%2Fhaahtelan%20hinnat%202014%20m2.jpg">
          <a:extLst>
            <a:ext uri="{FF2B5EF4-FFF2-40B4-BE49-F238E27FC236}">
              <a16:creationId xmlns:a16="http://schemas.microsoft.com/office/drawing/2014/main" id="{00000000-0008-0000-0800-000005180000}"/>
            </a:ext>
          </a:extLst>
        </xdr:cNvPr>
        <xdr:cNvSpPr>
          <a:spLocks noChangeAspect="1" noChangeArrowheads="1"/>
        </xdr:cNvSpPr>
      </xdr:nvSpPr>
      <xdr:spPr bwMode="auto">
        <a:xfrm>
          <a:off x="0" y="810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370000</xdr:colOff>
      <xdr:row>46</xdr:row>
      <xdr:rowOff>85044</xdr:rowOff>
    </xdr:from>
    <xdr:to>
      <xdr:col>12</xdr:col>
      <xdr:colOff>368980</xdr:colOff>
      <xdr:row>58</xdr:row>
      <xdr:rowOff>46944</xdr:rowOff>
    </xdr:to>
    <xdr:cxnSp macro="">
      <xdr:nvCxnSpPr>
        <xdr:cNvPr id="8" name="Kulmayhdysviiva 7">
          <a:extLst>
            <a:ext uri="{FF2B5EF4-FFF2-40B4-BE49-F238E27FC236}">
              <a16:creationId xmlns:a16="http://schemas.microsoft.com/office/drawing/2014/main" id="{00000000-0008-0000-0800-000008000000}"/>
            </a:ext>
          </a:extLst>
        </xdr:cNvPr>
        <xdr:cNvCxnSpPr/>
      </xdr:nvCxnSpPr>
      <xdr:spPr bwMode="auto">
        <a:xfrm rot="10800000">
          <a:off x="2732200" y="7847919"/>
          <a:ext cx="3570855" cy="1905000"/>
        </a:xfrm>
        <a:prstGeom prst="bentConnector3">
          <a:avLst>
            <a:gd name="adj1" fmla="val -560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14</xdr:col>
      <xdr:colOff>596899</xdr:colOff>
      <xdr:row>58</xdr:row>
      <xdr:rowOff>127001</xdr:rowOff>
    </xdr:from>
    <xdr:to>
      <xdr:col>26</xdr:col>
      <xdr:colOff>338754</xdr:colOff>
      <xdr:row>85</xdr:row>
      <xdr:rowOff>139212</xdr:rowOff>
    </xdr:to>
    <xdr:pic>
      <xdr:nvPicPr>
        <xdr:cNvPr id="11" name="Kuva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8325756" y="9880601"/>
          <a:ext cx="7649872" cy="4445000"/>
        </a:xfrm>
        <a:prstGeom prst="rect">
          <a:avLst/>
        </a:prstGeom>
      </xdr:spPr>
    </xdr:pic>
    <xdr:clientData/>
  </xdr:twoCellAnchor>
  <xdr:twoCellAnchor>
    <xdr:from>
      <xdr:col>5</xdr:col>
      <xdr:colOff>139700</xdr:colOff>
      <xdr:row>41</xdr:row>
      <xdr:rowOff>101600</xdr:rowOff>
    </xdr:from>
    <xdr:to>
      <xdr:col>15</xdr:col>
      <xdr:colOff>25400</xdr:colOff>
      <xdr:row>51</xdr:row>
      <xdr:rowOff>88900</xdr:rowOff>
    </xdr:to>
    <xdr:cxnSp macro="">
      <xdr:nvCxnSpPr>
        <xdr:cNvPr id="14" name="Kulmayhdysviiva 13">
          <a:extLst>
            <a:ext uri="{FF2B5EF4-FFF2-40B4-BE49-F238E27FC236}">
              <a16:creationId xmlns:a16="http://schemas.microsoft.com/office/drawing/2014/main" id="{00000000-0008-0000-0800-00000E000000}"/>
            </a:ext>
          </a:extLst>
        </xdr:cNvPr>
        <xdr:cNvCxnSpPr/>
      </xdr:nvCxnSpPr>
      <xdr:spPr bwMode="auto">
        <a:xfrm flipV="1">
          <a:off x="2997200" y="7188200"/>
          <a:ext cx="5194300" cy="1651000"/>
        </a:xfrm>
        <a:prstGeom prst="bentConnector3">
          <a:avLst>
            <a:gd name="adj1" fmla="val 50000"/>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139700</xdr:colOff>
      <xdr:row>43</xdr:row>
      <xdr:rowOff>101600</xdr:rowOff>
    </xdr:from>
    <xdr:to>
      <xdr:col>21</xdr:col>
      <xdr:colOff>482600</xdr:colOff>
      <xdr:row>58</xdr:row>
      <xdr:rowOff>139700</xdr:rowOff>
    </xdr:to>
    <xdr:cxnSp macro="">
      <xdr:nvCxnSpPr>
        <xdr:cNvPr id="16" name="Kulmayhdysviiva 15">
          <a:extLst>
            <a:ext uri="{FF2B5EF4-FFF2-40B4-BE49-F238E27FC236}">
              <a16:creationId xmlns:a16="http://schemas.microsoft.com/office/drawing/2014/main" id="{00000000-0008-0000-0800-000010000000}"/>
            </a:ext>
          </a:extLst>
        </xdr:cNvPr>
        <xdr:cNvCxnSpPr/>
      </xdr:nvCxnSpPr>
      <xdr:spPr bwMode="auto">
        <a:xfrm rot="16200000" flipV="1">
          <a:off x="11995150" y="8616950"/>
          <a:ext cx="2514600" cy="342900"/>
        </a:xfrm>
        <a:prstGeom prst="bentConnector3">
          <a:avLst>
            <a:gd name="adj1" fmla="val 9949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0</xdr:col>
      <xdr:colOff>304800</xdr:colOff>
      <xdr:row>39</xdr:row>
      <xdr:rowOff>142874</xdr:rowOff>
    </xdr:to>
    <xdr:sp macro="" textlink="">
      <xdr:nvSpPr>
        <xdr:cNvPr id="3" name="AutoShape 5" descr="http://moodle.sakky.fi/pluginfile.php?file=%2F493675%2Fmod_resource%2Fcontent%2F2%2Fhaahtelan%20hinnat%202014%20m2.jpg">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0" y="95631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57150</xdr:rowOff>
    </xdr:from>
    <xdr:to>
      <xdr:col>16</xdr:col>
      <xdr:colOff>104775</xdr:colOff>
      <xdr:row>21</xdr:row>
      <xdr:rowOff>123825</xdr:rowOff>
    </xdr:to>
    <xdr:sp macro="" textlink="">
      <xdr:nvSpPr>
        <xdr:cNvPr id="12337" name="Kuva 2">
          <a:extLst>
            <a:ext uri="{FF2B5EF4-FFF2-40B4-BE49-F238E27FC236}">
              <a16:creationId xmlns:a16="http://schemas.microsoft.com/office/drawing/2014/main" id="{00000000-0008-0000-0C00-000031300000}"/>
            </a:ext>
          </a:extLst>
        </xdr:cNvPr>
        <xdr:cNvSpPr>
          <a:spLocks noChangeArrowheads="1"/>
        </xdr:cNvSpPr>
      </xdr:nvSpPr>
      <xdr:spPr bwMode="auto">
        <a:xfrm>
          <a:off x="13687425" y="1200150"/>
          <a:ext cx="4219575" cy="3190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2521324</xdr:colOff>
      <xdr:row>10</xdr:row>
      <xdr:rowOff>156883</xdr:rowOff>
    </xdr:from>
    <xdr:ext cx="184731" cy="264560"/>
    <xdr:sp macro="" textlink="">
      <xdr:nvSpPr>
        <xdr:cNvPr id="2" name="Tekstiruutu 1">
          <a:extLst>
            <a:ext uri="{FF2B5EF4-FFF2-40B4-BE49-F238E27FC236}">
              <a16:creationId xmlns:a16="http://schemas.microsoft.com/office/drawing/2014/main" id="{00000000-0008-0000-0F00-000002000000}"/>
            </a:ext>
          </a:extLst>
        </xdr:cNvPr>
        <xdr:cNvSpPr txBox="1"/>
      </xdr:nvSpPr>
      <xdr:spPr>
        <a:xfrm>
          <a:off x="2521324" y="2330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sz="1100"/>
        </a:p>
      </xdr:txBody>
    </xdr:sp>
    <xdr:clientData/>
  </xdr:oneCellAnchor>
  <mc:AlternateContent xmlns:mc="http://schemas.openxmlformats.org/markup-compatibility/2006">
    <mc:Choice xmlns:a14="http://schemas.microsoft.com/office/drawing/2010/main" Requires="a14">
      <xdr:twoCellAnchor editAs="oneCell">
        <xdr:from>
          <xdr:col>0</xdr:col>
          <xdr:colOff>2019300</xdr:colOff>
          <xdr:row>3</xdr:row>
          <xdr:rowOff>9525</xdr:rowOff>
        </xdr:from>
        <xdr:to>
          <xdr:col>0</xdr:col>
          <xdr:colOff>2733675</xdr:colOff>
          <xdr:row>5</xdr:row>
          <xdr:rowOff>114300</xdr:rowOff>
        </xdr:to>
        <xdr:sp macro="" textlink="">
          <xdr:nvSpPr>
            <xdr:cNvPr id="262158" name="Object 14" hidden="1">
              <a:extLst>
                <a:ext uri="{63B3BB69-23CF-44E3-9099-C40C66FF867C}">
                  <a14:compatExt spid="_x0000_s262158"/>
                </a:ext>
                <a:ext uri="{FF2B5EF4-FFF2-40B4-BE49-F238E27FC236}">
                  <a16:creationId xmlns:a16="http://schemas.microsoft.com/office/drawing/2014/main" id="{00000000-0008-0000-0F00-00000E0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ergia-akatemia.fi/attachments/article/59/Maatilakuivurit.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youtu.be/9DGSWO2HOmg"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5.bin"/><Relationship Id="rId1" Type="http://schemas.openxmlformats.org/officeDocument/2006/relationships/hyperlink" Target="http://www.vero.fi/laskurit"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mikamujunen.files.wordpress.com/2017/04/ohje_kustannuslaskuri.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39.bin"/><Relationship Id="rId4" Type="http://schemas.openxmlformats.org/officeDocument/2006/relationships/comments" Target="../comments3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40.bin"/><Relationship Id="rId4" Type="http://schemas.openxmlformats.org/officeDocument/2006/relationships/comments" Target="../comments3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mikamujunen.com/"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0.xml"/><Relationship Id="rId1" Type="http://schemas.openxmlformats.org/officeDocument/2006/relationships/printerSettings" Target="../printerSettings/printerSettings44.bin"/><Relationship Id="rId4" Type="http://schemas.openxmlformats.org/officeDocument/2006/relationships/comments" Target="../comments3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stat.fi/tup/khkinv/khkaasut_polttoaineluokitus.html" TargetMode="External"/><Relationship Id="rId7" Type="http://schemas.openxmlformats.org/officeDocument/2006/relationships/vmlDrawing" Target="../drawings/vmlDrawing5.vml"/><Relationship Id="rId2" Type="http://schemas.openxmlformats.org/officeDocument/2006/relationships/hyperlink" Target="https://www.openco2.net/fi/" TargetMode="External"/><Relationship Id="rId1" Type="http://schemas.openxmlformats.org/officeDocument/2006/relationships/hyperlink" Target="https://youtu.be/nRBXfEsNxJ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www.ilmastolaskuri.fi/fi/calculation-basis?country=2&amp;year=10746"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youtu.be/61Er-3I4psc" TargetMode="External"/><Relationship Id="rId1" Type="http://schemas.openxmlformats.org/officeDocument/2006/relationships/hyperlink" Target="http://www.mascus.fi/"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youtu.be/1_2V-W0_Ozw"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8"/>
  <sheetViews>
    <sheetView zoomScale="80" zoomScaleNormal="80" workbookViewId="0">
      <selection activeCell="E40" sqref="E40"/>
    </sheetView>
  </sheetViews>
  <sheetFormatPr defaultRowHeight="12.75"/>
  <cols>
    <col min="1" max="1" width="5.140625" style="1656" customWidth="1"/>
    <col min="2" max="2" width="25.5703125" style="1656" customWidth="1"/>
    <col min="3" max="3" width="10.140625" style="1656" customWidth="1"/>
    <col min="4" max="4" width="12.42578125" style="1656" customWidth="1"/>
    <col min="5" max="5" width="11.5703125" style="1656" customWidth="1"/>
    <col min="6" max="6" width="21.42578125" style="1656" customWidth="1"/>
    <col min="7" max="7" width="12.5703125" style="1656" customWidth="1"/>
    <col min="8" max="8" width="8.28515625" style="1656" customWidth="1"/>
    <col min="9" max="9" width="10.5703125" style="1656" customWidth="1"/>
    <col min="10" max="10" width="28.7109375" style="1656" customWidth="1"/>
    <col min="11" max="11" width="11" style="1656" customWidth="1"/>
    <col min="12" max="12" width="7.42578125" style="1656" customWidth="1"/>
    <col min="13" max="13" width="10" style="1656" customWidth="1"/>
    <col min="14" max="14" width="13.85546875" style="1656" customWidth="1"/>
    <col min="15" max="15" width="12.42578125" style="1656" customWidth="1"/>
    <col min="16" max="16" width="8" style="1656" customWidth="1"/>
    <col min="17" max="17" width="9.140625" style="1656"/>
    <col min="18" max="18" width="13.85546875" style="1656" customWidth="1"/>
    <col min="19" max="19" width="11" style="1656" customWidth="1"/>
    <col min="20" max="20" width="14.28515625" style="1656" customWidth="1"/>
    <col min="21" max="21" width="7.85546875" style="1656" customWidth="1"/>
    <col min="22" max="22" width="12.7109375" style="1656" customWidth="1"/>
    <col min="23" max="23" width="15.7109375" style="1656" customWidth="1"/>
    <col min="24" max="24" width="13.140625" style="1656" customWidth="1"/>
    <col min="25" max="25" width="11.42578125" style="1656" customWidth="1"/>
    <col min="26" max="26" width="10.42578125" style="1656" bestFit="1" customWidth="1"/>
    <col min="27" max="27" width="13.7109375" style="1656" customWidth="1"/>
    <col min="28" max="28" width="12.140625" style="1656" customWidth="1"/>
    <col min="29" max="29" width="11.140625" style="1656" customWidth="1"/>
    <col min="30" max="31" width="9.140625" style="1656"/>
  </cols>
  <sheetData>
    <row r="1" spans="1:30">
      <c r="A1" t="s">
        <v>1855</v>
      </c>
    </row>
    <row r="2" spans="1:30" ht="39" thickBot="1">
      <c r="A2" s="2153" t="s">
        <v>1668</v>
      </c>
      <c r="C2" s="1677"/>
      <c r="E2" s="2545" t="s">
        <v>1669</v>
      </c>
      <c r="F2" s="2545"/>
      <c r="G2" s="2545"/>
      <c r="H2" s="2540" t="s">
        <v>1670</v>
      </c>
      <c r="I2" s="2540"/>
      <c r="J2" s="2540"/>
      <c r="L2" s="2540" t="s">
        <v>1670</v>
      </c>
      <c r="M2" s="2540"/>
      <c r="N2" s="2540"/>
      <c r="P2" s="2540" t="s">
        <v>1670</v>
      </c>
      <c r="Q2" s="2540"/>
      <c r="R2" s="2540"/>
      <c r="T2" s="1677" t="s">
        <v>3</v>
      </c>
      <c r="U2" s="1677"/>
      <c r="V2" s="1677"/>
      <c r="W2" s="2026" t="s">
        <v>1577</v>
      </c>
      <c r="X2" s="2027" t="s">
        <v>1590</v>
      </c>
      <c r="Y2" s="2027" t="s">
        <v>1591</v>
      </c>
      <c r="Z2" s="2027" t="s">
        <v>1592</v>
      </c>
      <c r="AA2" s="2027" t="s">
        <v>1593</v>
      </c>
      <c r="AB2" s="2027" t="s">
        <v>1594</v>
      </c>
      <c r="AC2" s="2027" t="s">
        <v>1595</v>
      </c>
      <c r="AD2" s="2028"/>
    </row>
    <row r="3" spans="1:30" ht="16.5" thickBot="1">
      <c r="A3" s="2541" t="s">
        <v>1818</v>
      </c>
      <c r="B3" s="2542"/>
      <c r="C3" s="1656" t="s">
        <v>5</v>
      </c>
      <c r="D3" s="2371" t="s">
        <v>6</v>
      </c>
      <c r="E3" s="2543" t="s">
        <v>7</v>
      </c>
      <c r="F3" s="2544"/>
      <c r="G3" s="1659"/>
      <c r="H3" s="1658"/>
      <c r="I3" s="2543" t="s">
        <v>7</v>
      </c>
      <c r="J3" s="2544"/>
      <c r="K3" s="1659"/>
      <c r="L3" s="1658"/>
      <c r="M3" s="2543" t="s">
        <v>8</v>
      </c>
      <c r="N3" s="2544"/>
      <c r="O3" s="1659"/>
      <c r="P3" s="1658"/>
      <c r="Q3" s="2543" t="s">
        <v>8</v>
      </c>
      <c r="R3" s="2544"/>
      <c r="S3" s="1658"/>
      <c r="T3" s="2154"/>
    </row>
    <row r="4" spans="1:30">
      <c r="C4" s="1657" t="s">
        <v>198</v>
      </c>
      <c r="E4" s="2546" t="s">
        <v>1782</v>
      </c>
      <c r="F4" s="2547"/>
      <c r="G4" s="1665"/>
      <c r="H4" s="2001"/>
      <c r="I4" s="2548" t="s">
        <v>1671</v>
      </c>
      <c r="J4" s="2549"/>
      <c r="K4" s="1665"/>
      <c r="L4" s="2001"/>
      <c r="M4" s="2548" t="s">
        <v>1672</v>
      </c>
      <c r="N4" s="2549"/>
      <c r="O4" s="1665"/>
      <c r="P4" s="2001"/>
      <c r="Q4" s="2548" t="s">
        <v>1673</v>
      </c>
      <c r="R4" s="2549"/>
      <c r="T4" s="2155" t="str">
        <f>"Kytketty koneet: "&amp;IF(E3="k",E4&amp;" ","")&amp;IF(I3="k",I4&amp;" ","")&amp;IF(M3="k",M4&amp;" ","")&amp;(IF(Q3="k",Q4&amp;" ",""))</f>
        <v xml:space="preserve">Kytketty koneet: Pakettikuivaamo Kuivurikoneisto </v>
      </c>
      <c r="U4" s="1677"/>
    </row>
    <row r="5" spans="1:30">
      <c r="A5" s="1656" t="s">
        <v>328</v>
      </c>
      <c r="C5" s="2129" t="s">
        <v>1783</v>
      </c>
      <c r="E5" s="2157" t="s">
        <v>1659</v>
      </c>
      <c r="F5" s="2158">
        <v>32</v>
      </c>
      <c r="G5" s="1665"/>
      <c r="H5" s="2001"/>
      <c r="I5" s="2157" t="str">
        <f>E5</f>
        <v>m3</v>
      </c>
      <c r="J5" s="2158">
        <f>F5</f>
        <v>32</v>
      </c>
      <c r="K5" s="1665"/>
      <c r="L5" s="2001"/>
      <c r="M5" s="2157" t="str">
        <f>I5</f>
        <v>m3</v>
      </c>
      <c r="N5" s="2307">
        <f>F59</f>
        <v>6.1538461538461542</v>
      </c>
      <c r="O5" s="1665"/>
      <c r="P5" s="2001"/>
      <c r="Q5" s="2157" t="str">
        <f>M5</f>
        <v>m3</v>
      </c>
      <c r="R5" s="2158">
        <v>0</v>
      </c>
      <c r="T5" s="2155"/>
      <c r="U5" s="1677"/>
    </row>
    <row r="6" spans="1:30">
      <c r="C6" s="1657"/>
      <c r="E6" s="2001" t="s">
        <v>1674</v>
      </c>
      <c r="F6" s="2275">
        <f>F5*10</f>
        <v>320</v>
      </c>
      <c r="G6" s="1665"/>
      <c r="H6" s="2001"/>
      <c r="I6" s="2001" t="str">
        <f>E6</f>
        <v>hl</v>
      </c>
      <c r="J6" s="2275">
        <f>J5*10</f>
        <v>320</v>
      </c>
      <c r="K6" s="1665"/>
      <c r="L6" s="2001"/>
      <c r="M6" s="2001" t="str">
        <f>I6</f>
        <v>hl</v>
      </c>
      <c r="N6" s="2275">
        <f>N5*10</f>
        <v>61.53846153846154</v>
      </c>
      <c r="O6" s="1665"/>
      <c r="P6" s="2001"/>
      <c r="Q6" s="2001" t="str">
        <f>M6</f>
        <v>hl</v>
      </c>
      <c r="R6" s="2275">
        <f>R5*10</f>
        <v>0</v>
      </c>
      <c r="T6" s="2155"/>
      <c r="U6" s="1677"/>
    </row>
    <row r="7" spans="1:30">
      <c r="A7" s="1656" t="s">
        <v>1675</v>
      </c>
      <c r="E7" s="2159" t="s">
        <v>12</v>
      </c>
      <c r="F7" s="2160">
        <v>15</v>
      </c>
      <c r="G7" s="1665"/>
      <c r="I7" s="2159" t="s">
        <v>12</v>
      </c>
      <c r="J7" s="2160">
        <v>15</v>
      </c>
      <c r="K7" s="1665"/>
      <c r="M7" s="2159" t="s">
        <v>12</v>
      </c>
      <c r="N7" s="2160">
        <f>F7</f>
        <v>15</v>
      </c>
      <c r="O7" s="1665"/>
      <c r="Q7" s="2159" t="s">
        <v>12</v>
      </c>
      <c r="R7" s="2160">
        <v>15</v>
      </c>
      <c r="T7" s="2161" t="s">
        <v>459</v>
      </c>
    </row>
    <row r="8" spans="1:30">
      <c r="A8" s="1656" t="s">
        <v>14</v>
      </c>
      <c r="C8" s="2129" t="s">
        <v>1676</v>
      </c>
      <c r="E8" s="1675" t="s">
        <v>15</v>
      </c>
      <c r="F8" s="2162">
        <v>140</v>
      </c>
      <c r="G8" s="1665"/>
      <c r="I8" s="1675" t="s">
        <v>15</v>
      </c>
      <c r="J8" s="2163">
        <f>F8</f>
        <v>140</v>
      </c>
      <c r="K8" s="1665"/>
      <c r="M8" s="1675" t="s">
        <v>15</v>
      </c>
      <c r="N8" s="2163">
        <f>8*365</f>
        <v>2920</v>
      </c>
      <c r="O8" s="1665"/>
      <c r="Q8" s="1675" t="s">
        <v>15</v>
      </c>
      <c r="R8" s="2163">
        <v>10</v>
      </c>
      <c r="T8" s="2164">
        <f>IF($E$3="k",(F8),0)+IF($I$3="k",(J8),0)+IF($M$3="k",(N8),0)+IF($Q$3="k",(R8),0)</f>
        <v>280</v>
      </c>
      <c r="U8" s="2308"/>
    </row>
    <row r="9" spans="1:30">
      <c r="A9" s="1656" t="s">
        <v>1677</v>
      </c>
      <c r="F9" s="2165">
        <v>85000</v>
      </c>
      <c r="G9" s="1665"/>
      <c r="J9" s="2165">
        <v>50000</v>
      </c>
      <c r="K9" s="1665"/>
      <c r="N9" s="2165">
        <f>110*N5</f>
        <v>676.92307692307691</v>
      </c>
      <c r="O9" s="1665"/>
      <c r="R9" s="2165">
        <v>5000</v>
      </c>
      <c r="T9" s="2161"/>
    </row>
    <row r="10" spans="1:30">
      <c r="A10" s="1656" t="s">
        <v>17</v>
      </c>
      <c r="E10" s="2166">
        <v>0</v>
      </c>
      <c r="F10" s="2167">
        <f>F9/(100%+E10)*E10</f>
        <v>0</v>
      </c>
      <c r="G10" s="2168"/>
      <c r="H10" s="2169"/>
      <c r="I10" s="2166">
        <v>0</v>
      </c>
      <c r="J10" s="2167">
        <f>J9/(100%+I10)*I10</f>
        <v>0</v>
      </c>
      <c r="K10" s="2168"/>
      <c r="L10" s="2169"/>
      <c r="M10" s="2166">
        <v>0</v>
      </c>
      <c r="N10" s="2167">
        <f>N9/(100%+M10)*M10</f>
        <v>0</v>
      </c>
      <c r="O10" s="2168"/>
      <c r="P10" s="2169"/>
      <c r="Q10" s="2166">
        <v>0</v>
      </c>
      <c r="R10" s="2167">
        <f>R9/(100%+Q10)*Q10</f>
        <v>0</v>
      </c>
      <c r="S10" s="2169"/>
      <c r="T10" s="2161"/>
    </row>
    <row r="11" spans="1:30">
      <c r="A11" s="1656" t="s">
        <v>1678</v>
      </c>
      <c r="F11" s="2170">
        <f>F9-F10</f>
        <v>85000</v>
      </c>
      <c r="G11" s="1665"/>
      <c r="J11" s="2170">
        <f>J9-J10</f>
        <v>50000</v>
      </c>
      <c r="K11" s="1665"/>
      <c r="N11" s="2170">
        <f>N9-N10</f>
        <v>676.92307692307691</v>
      </c>
      <c r="O11" s="1665"/>
      <c r="R11" s="2170">
        <f>R9-R10</f>
        <v>5000</v>
      </c>
      <c r="T11" s="2161"/>
    </row>
    <row r="12" spans="1:30">
      <c r="A12" s="1656" t="s">
        <v>1679</v>
      </c>
      <c r="E12" s="2166">
        <v>0</v>
      </c>
      <c r="F12" s="2167">
        <f>E12*F11</f>
        <v>0</v>
      </c>
      <c r="G12" s="1665"/>
      <c r="I12" s="2171">
        <v>0</v>
      </c>
      <c r="J12" s="2172">
        <f>I12*J11</f>
        <v>0</v>
      </c>
      <c r="K12" s="1665"/>
      <c r="M12" s="2166">
        <v>0</v>
      </c>
      <c r="N12" s="2167">
        <f>M12*N11</f>
        <v>0</v>
      </c>
      <c r="O12" s="1665"/>
      <c r="Q12" s="2166">
        <v>0</v>
      </c>
      <c r="R12" s="2167">
        <f>Q12*R11</f>
        <v>0</v>
      </c>
      <c r="T12" s="2161"/>
    </row>
    <row r="13" spans="1:30">
      <c r="A13" s="1656" t="s">
        <v>20</v>
      </c>
      <c r="F13" s="2173">
        <f>F11-F12</f>
        <v>85000</v>
      </c>
      <c r="G13" s="1665"/>
      <c r="I13" s="1675"/>
      <c r="J13" s="2174">
        <f>J11-J12</f>
        <v>50000</v>
      </c>
      <c r="K13" s="1665"/>
      <c r="N13" s="2173">
        <f>N11-N12</f>
        <v>676.92307692307691</v>
      </c>
      <c r="O13" s="1665"/>
      <c r="R13" s="2173">
        <f>R11-R12</f>
        <v>5000</v>
      </c>
      <c r="T13" s="2161"/>
    </row>
    <row r="14" spans="1:30" ht="13.5" thickBot="1">
      <c r="A14" s="2175" t="s">
        <v>21</v>
      </c>
      <c r="F14" s="1675"/>
      <c r="G14" s="1665"/>
      <c r="J14" s="1675"/>
      <c r="K14" s="1665"/>
      <c r="N14" s="1675"/>
      <c r="O14" s="1665"/>
      <c r="R14" s="1675"/>
      <c r="T14" s="2277" t="s">
        <v>13</v>
      </c>
      <c r="U14" s="1923" t="s">
        <v>159</v>
      </c>
    </row>
    <row r="15" spans="1:30">
      <c r="A15" s="2176"/>
      <c r="B15" s="2177" t="s">
        <v>22</v>
      </c>
      <c r="C15" s="2178"/>
      <c r="D15" s="2179" t="s">
        <v>23</v>
      </c>
      <c r="E15" s="2180">
        <v>0.05</v>
      </c>
      <c r="F15" s="2172">
        <f>IF(E3="k",IF(D3="A",ABS(PMT(E15,F7,-F11,E12*F11,0)),SUM(F16:F17)),0)</f>
        <v>7791.666666666667</v>
      </c>
      <c r="G15" s="1665"/>
      <c r="I15" s="2181">
        <v>0.05</v>
      </c>
      <c r="J15" s="2167">
        <f>IF(I3="k",IF($D$3="A",ABS(PMT(I15,J7,-J11,I12*J11,0)),SUM(J16:J17)),0)</f>
        <v>4583.3333333333339</v>
      </c>
      <c r="K15" s="1665"/>
      <c r="M15" s="2181">
        <v>0.05</v>
      </c>
      <c r="N15" s="2167">
        <f>IF(M3="k",IF($D$3="A",ABS(PMT(M15,N7,-N11,M12*N11,0)),SUM(N16:N17)),0)</f>
        <v>0</v>
      </c>
      <c r="O15" s="1665"/>
      <c r="Q15" s="2181">
        <v>0.05</v>
      </c>
      <c r="R15" s="2167">
        <f>IF(Q3="k",IF($D$3="A",ABS(PMT(Q15,R7,-R11,Q12*R11,0)),SUM(R16:R17)),0)</f>
        <v>0</v>
      </c>
      <c r="T15" s="2309">
        <f>SUM(F15,J15,N15,R15)</f>
        <v>12375</v>
      </c>
      <c r="U15" s="2310"/>
    </row>
    <row r="16" spans="1:30">
      <c r="B16" s="2183" t="s">
        <v>24</v>
      </c>
      <c r="F16" s="2184">
        <f>IF(E3="k",IF(D3="A",E15*F11,F11/2*E15),0)</f>
        <v>2125</v>
      </c>
      <c r="G16" s="2185"/>
      <c r="H16" s="1657"/>
      <c r="J16" s="2184">
        <f>IF(I3="k",IF($D$3="A",I15*J11,J11/2*I15),0)</f>
        <v>1250</v>
      </c>
      <c r="K16" s="2185"/>
      <c r="L16" s="1657"/>
      <c r="N16" s="2184">
        <f>IF(M3="k",IF($D$3="A",M15*N11,N11/2*M15),0)</f>
        <v>0</v>
      </c>
      <c r="O16" s="2185"/>
      <c r="P16" s="1657"/>
      <c r="R16" s="2184">
        <f>IF(Q3="k",IF($D$3="A",Q15*R11,R11/2*Q15),0)</f>
        <v>0</v>
      </c>
      <c r="S16" s="1657"/>
      <c r="T16" s="2182">
        <f t="shared" ref="T16:T41" si="0">SUM(F16,J16,N16,R16)</f>
        <v>3375</v>
      </c>
      <c r="U16" s="2310">
        <f t="shared" ref="U16:U33" si="1">T16/$T$34</f>
        <v>0.19793328328797968</v>
      </c>
    </row>
    <row r="17" spans="1:30" ht="13.5" thickBot="1">
      <c r="B17" s="2186" t="s">
        <v>25</v>
      </c>
      <c r="C17" s="2187"/>
      <c r="D17" s="2187"/>
      <c r="E17" s="2187"/>
      <c r="F17" s="1674">
        <f>IF(E3="k",IF(D3="A",F15-F16,F13/F7),0)</f>
        <v>5666.666666666667</v>
      </c>
      <c r="G17" s="1665"/>
      <c r="J17" s="1674">
        <f>IF(I3="k",IF($D$3="A",J15-J16,J13/J7),0)</f>
        <v>3333.3333333333335</v>
      </c>
      <c r="K17" s="1665"/>
      <c r="N17" s="1674">
        <f>IF(M3="k",IF($D$3="A",N15-N16,N13/N7),0)</f>
        <v>0</v>
      </c>
      <c r="O17" s="1665"/>
      <c r="R17" s="1674">
        <f>IF(Q3="k",IF($D$3="A",R15-R16,R13/R7),0)</f>
        <v>0</v>
      </c>
      <c r="T17" s="2182">
        <f t="shared" si="0"/>
        <v>9000</v>
      </c>
      <c r="U17" s="2310">
        <f t="shared" si="1"/>
        <v>0.52782208876794579</v>
      </c>
    </row>
    <row r="18" spans="1:30">
      <c r="B18" s="2188"/>
      <c r="F18" s="1674"/>
      <c r="G18" s="1665"/>
      <c r="J18" s="1674"/>
      <c r="K18" s="1665"/>
      <c r="N18" s="1674"/>
      <c r="O18" s="1665"/>
      <c r="R18" s="1674"/>
      <c r="T18" s="2161"/>
      <c r="U18" s="2310"/>
    </row>
    <row r="19" spans="1:30">
      <c r="B19" s="2189"/>
      <c r="C19" s="2190"/>
      <c r="D19" s="2191"/>
      <c r="E19" s="2192"/>
      <c r="F19" s="2193">
        <v>0</v>
      </c>
      <c r="G19" s="2185"/>
      <c r="H19" s="1657"/>
      <c r="I19" s="2194"/>
      <c r="J19" s="2165">
        <v>0</v>
      </c>
      <c r="K19" s="2185"/>
      <c r="L19" s="1657"/>
      <c r="M19" s="2194"/>
      <c r="N19" s="2165">
        <v>0</v>
      </c>
      <c r="O19" s="2185"/>
      <c r="P19" s="1657"/>
      <c r="Q19" s="2194"/>
      <c r="R19" s="2165">
        <v>0</v>
      </c>
      <c r="S19" s="1657"/>
      <c r="T19" s="2195">
        <f>IF($E$3="k",F19)+IF($I$3="k",J19)+IF($M$3="k",N19)+IF($Q$3="k",R19)</f>
        <v>0</v>
      </c>
      <c r="U19" s="2310">
        <f t="shared" si="1"/>
        <v>0</v>
      </c>
    </row>
    <row r="20" spans="1:30">
      <c r="B20" s="2196" t="s">
        <v>305</v>
      </c>
      <c r="C20" s="2197"/>
      <c r="D20" s="2198"/>
      <c r="E20" s="2180">
        <v>2E-3</v>
      </c>
      <c r="F20" s="2193">
        <f>F9*E20</f>
        <v>170</v>
      </c>
      <c r="G20" s="2185"/>
      <c r="H20" s="1657"/>
      <c r="I20" s="2180">
        <v>2E-3</v>
      </c>
      <c r="J20" s="2193">
        <f>J9*I20</f>
        <v>100</v>
      </c>
      <c r="K20" s="2185"/>
      <c r="L20" s="1657"/>
      <c r="M20" s="2180">
        <v>2E-3</v>
      </c>
      <c r="N20" s="2193">
        <f>N9*M20</f>
        <v>1.3538461538461539</v>
      </c>
      <c r="O20" s="2185"/>
      <c r="P20" s="1657"/>
      <c r="Q20" s="2180">
        <v>2E-3</v>
      </c>
      <c r="R20" s="2193">
        <f>R9*Q20</f>
        <v>10</v>
      </c>
      <c r="S20" s="1657"/>
      <c r="T20" s="2195">
        <f>IF($E$3="k",F20)+IF($I$3="k",J20)+IF($M$3="k",N20)+IF($Q$3="k",R20)</f>
        <v>270</v>
      </c>
      <c r="U20" s="2310">
        <f t="shared" si="1"/>
        <v>1.5834662663038374E-2</v>
      </c>
    </row>
    <row r="21" spans="1:30">
      <c r="B21" s="2188" t="s">
        <v>28</v>
      </c>
      <c r="D21" s="2194"/>
      <c r="F21" s="2165"/>
      <c r="G21" s="2185"/>
      <c r="H21" s="1657"/>
      <c r="J21" s="2165"/>
      <c r="K21" s="2185"/>
      <c r="L21" s="1657"/>
      <c r="N21" s="2165"/>
      <c r="O21" s="2185"/>
      <c r="P21" s="1657"/>
      <c r="R21" s="2165"/>
      <c r="S21" s="1657"/>
      <c r="T21" s="2195">
        <f>IF($E$3="k",F21)+IF($I$3="k",J21)+IF($M$3="k",N21)+IF($Q$3="k",R21)</f>
        <v>0</v>
      </c>
      <c r="U21" s="2310">
        <f t="shared" si="1"/>
        <v>0</v>
      </c>
    </row>
    <row r="22" spans="1:30">
      <c r="B22" s="2199"/>
      <c r="C22" s="2200"/>
      <c r="D22" s="1657"/>
      <c r="E22" s="1657"/>
      <c r="F22" s="2201"/>
      <c r="G22" s="2185"/>
      <c r="H22" s="1657"/>
      <c r="I22" s="1657"/>
      <c r="J22" s="2201"/>
      <c r="K22" s="2185"/>
      <c r="L22" s="1657"/>
      <c r="M22" s="1657"/>
      <c r="N22" s="2201"/>
      <c r="O22" s="2185"/>
      <c r="P22" s="1657"/>
      <c r="Q22" s="1657"/>
      <c r="R22" s="2201"/>
      <c r="S22" s="1657"/>
      <c r="T22" s="2161"/>
      <c r="U22" s="2310"/>
    </row>
    <row r="23" spans="1:30">
      <c r="B23" s="2188" t="s">
        <v>29</v>
      </c>
      <c r="C23" s="1657"/>
      <c r="D23" s="1657"/>
      <c r="E23" s="2181">
        <v>0</v>
      </c>
      <c r="F23" s="2311">
        <f>IF(E3="k",E23*F11,0)</f>
        <v>0</v>
      </c>
      <c r="G23" s="2185"/>
      <c r="H23" s="1657"/>
      <c r="I23" s="2181">
        <v>0</v>
      </c>
      <c r="J23" s="2311">
        <f>IF(I3="k",I23*J11,0)</f>
        <v>0</v>
      </c>
      <c r="K23" s="2185"/>
      <c r="L23" s="1657"/>
      <c r="M23" s="2181">
        <v>0</v>
      </c>
      <c r="N23" s="2311">
        <f>IF(M3="k",M23*N11,0)</f>
        <v>0</v>
      </c>
      <c r="O23" s="2185"/>
      <c r="P23" s="1657"/>
      <c r="Q23" s="2181">
        <v>0</v>
      </c>
      <c r="R23" s="2202">
        <f>IF(Q3="k",Q23*R11,0)</f>
        <v>0</v>
      </c>
      <c r="S23" s="1657"/>
      <c r="T23" s="2182">
        <f t="shared" si="0"/>
        <v>0</v>
      </c>
      <c r="U23" s="2310">
        <f t="shared" si="1"/>
        <v>0</v>
      </c>
    </row>
    <row r="24" spans="1:30" ht="13.5" thickBot="1">
      <c r="B24" s="2203" t="s">
        <v>30</v>
      </c>
      <c r="C24" s="2204"/>
      <c r="D24" s="2204"/>
      <c r="E24" s="2312"/>
      <c r="F24" s="2205">
        <f>IF(E3="k",SUM(F16:F23),0)</f>
        <v>7961.666666666667</v>
      </c>
      <c r="G24" s="2313">
        <f>F24/F8</f>
        <v>56.86904761904762</v>
      </c>
      <c r="H24" s="2207"/>
      <c r="J24" s="2205">
        <f>IF(I3="k",SUM(J16:J23),0)</f>
        <v>4683.3333333333339</v>
      </c>
      <c r="K24" s="2206">
        <f>J24/J8</f>
        <v>33.452380952380956</v>
      </c>
      <c r="L24" s="2207"/>
      <c r="N24" s="2205">
        <f>IF(M3="k",SUM(N16:N23),0)</f>
        <v>0</v>
      </c>
      <c r="O24" s="2206">
        <f>N24/N8</f>
        <v>0</v>
      </c>
      <c r="P24" s="2207"/>
      <c r="R24" s="2208">
        <f>IF(Q3="k",SUM(R16:R23),0)</f>
        <v>0</v>
      </c>
      <c r="S24" s="2209">
        <f>R24/R8</f>
        <v>0</v>
      </c>
      <c r="T24" s="2210">
        <f t="shared" si="0"/>
        <v>12645</v>
      </c>
      <c r="U24" s="2314">
        <f t="shared" si="1"/>
        <v>0.7415900347189639</v>
      </c>
      <c r="V24" s="2315">
        <f>SUM(G24,K24,O24,S24)</f>
        <v>90.321428571428584</v>
      </c>
      <c r="X24" s="1924"/>
      <c r="Y24" s="1924"/>
    </row>
    <row r="25" spans="1:30">
      <c r="A25" s="2175" t="s">
        <v>31</v>
      </c>
      <c r="B25" s="1677"/>
      <c r="F25" s="2211"/>
      <c r="G25" s="2212"/>
      <c r="H25" s="2213"/>
      <c r="J25" s="2214"/>
      <c r="K25" s="2212"/>
      <c r="L25" s="2213"/>
      <c r="N25" s="2214"/>
      <c r="O25" s="2212"/>
      <c r="P25" s="2213"/>
      <c r="R25" s="2214"/>
      <c r="S25" s="2213"/>
      <c r="T25" s="2161"/>
      <c r="U25" s="2310"/>
    </row>
    <row r="26" spans="1:30">
      <c r="B26" s="2199" t="s">
        <v>32</v>
      </c>
      <c r="C26" s="2215"/>
      <c r="D26" s="1657"/>
      <c r="F26" s="2165">
        <v>500</v>
      </c>
      <c r="G26" s="2216"/>
      <c r="H26" s="2217"/>
      <c r="J26" s="2165">
        <v>500</v>
      </c>
      <c r="K26" s="2216"/>
      <c r="L26" s="2217"/>
      <c r="N26" s="2165">
        <v>50</v>
      </c>
      <c r="O26" s="2216"/>
      <c r="P26" s="2217"/>
      <c r="R26" s="2165">
        <v>0</v>
      </c>
      <c r="S26" s="2217"/>
      <c r="T26" s="2195">
        <f>IF($E$3="k",F26)+IF($I$3="k",J26)+IF($M$3="k",N26)+IF($Q$3="k",R26)</f>
        <v>1000</v>
      </c>
      <c r="U26" s="2310">
        <f>T26/$T$34</f>
        <v>5.8646898751993977E-2</v>
      </c>
    </row>
    <row r="27" spans="1:30" ht="15.75">
      <c r="B27" s="2218" t="s">
        <v>1784</v>
      </c>
      <c r="C27" s="2219">
        <v>22</v>
      </c>
      <c r="D27" s="2220">
        <v>1.1000000000000001</v>
      </c>
      <c r="E27" s="2414" t="s">
        <v>1680</v>
      </c>
      <c r="F27" s="2221">
        <f>IF($E$3="k",C27*D27*$F$8*G27,0)</f>
        <v>0</v>
      </c>
      <c r="G27" s="2316">
        <v>0</v>
      </c>
      <c r="H27" s="2223">
        <f>C27</f>
        <v>22</v>
      </c>
      <c r="I27" s="2317">
        <f>$D$27</f>
        <v>1.1000000000000001</v>
      </c>
      <c r="J27" s="2221">
        <f>IF($I$3="k",H27*I27*$J$8*K27,0)</f>
        <v>3388.0000000000005</v>
      </c>
      <c r="K27" s="2316">
        <v>1</v>
      </c>
      <c r="L27" s="2219">
        <v>0</v>
      </c>
      <c r="M27" s="2317">
        <f>$D$27</f>
        <v>1.1000000000000001</v>
      </c>
      <c r="N27" s="2221">
        <f>IF($I$3="k",L27*M27*$N$8*O27,0)</f>
        <v>0</v>
      </c>
      <c r="O27" s="2316">
        <v>0</v>
      </c>
      <c r="P27" s="2219">
        <v>0</v>
      </c>
      <c r="Q27" s="2317">
        <f>$D$27</f>
        <v>1.1000000000000001</v>
      </c>
      <c r="R27" s="2221">
        <f>IF($I$3="k",P27*Q27*$R$8*S27,0)</f>
        <v>0</v>
      </c>
      <c r="S27" s="2316">
        <v>0</v>
      </c>
      <c r="T27" s="2182">
        <f t="shared" si="0"/>
        <v>3388.0000000000005</v>
      </c>
      <c r="U27" s="2310">
        <f t="shared" si="1"/>
        <v>0.19869569297175563</v>
      </c>
      <c r="W27" s="2029" t="s">
        <v>1580</v>
      </c>
      <c r="X27" s="2224">
        <f>IF($E$3="k",(C27*F8),0)+IF($I$3="k",(H27*J8),0)+IF($M$3="k",(L27*N8),0)+IF($Q$3="k",(P27*R8),0)</f>
        <v>6160</v>
      </c>
      <c r="Y27" s="2224">
        <f>X27/159</f>
        <v>38.742138364779876</v>
      </c>
      <c r="Z27" s="2031">
        <f>VLOOKUP(W27,Lähtötiedot!$A$88:$F$93,6,FALSE)</f>
        <v>2.66</v>
      </c>
      <c r="AA27" s="2225">
        <f>X27*Z27</f>
        <v>16385.600000000002</v>
      </c>
      <c r="AB27" s="2226">
        <f>AA27/1000</f>
        <v>16.385600000000004</v>
      </c>
      <c r="AC27" s="2034">
        <f>AA27*0.27</f>
        <v>4424.112000000001</v>
      </c>
      <c r="AD27" s="2034"/>
    </row>
    <row r="28" spans="1:30" ht="15.75">
      <c r="B28" s="2318" t="s">
        <v>1785</v>
      </c>
      <c r="C28" s="2219">
        <v>0</v>
      </c>
      <c r="D28" s="2220">
        <v>40</v>
      </c>
      <c r="E28" s="2373"/>
      <c r="F28" s="2221">
        <f>IF($E$3="k",C28*D28*$F$8*G28,0)</f>
        <v>0</v>
      </c>
      <c r="G28" s="2316">
        <v>0</v>
      </c>
      <c r="H28" s="2227">
        <v>0</v>
      </c>
      <c r="I28" s="2317">
        <f>D28</f>
        <v>40</v>
      </c>
      <c r="J28" s="2221">
        <f>IF($I$3="k",H28*I28*J8*K28,0)</f>
        <v>0</v>
      </c>
      <c r="K28" s="2316">
        <v>1</v>
      </c>
      <c r="L28" s="2219">
        <v>0</v>
      </c>
      <c r="M28" s="2317">
        <f>D28</f>
        <v>40</v>
      </c>
      <c r="N28" s="2221">
        <f>IF($I$3="k",L28*M28*N8*O28,0)</f>
        <v>0</v>
      </c>
      <c r="O28" s="2316">
        <v>0</v>
      </c>
      <c r="P28" s="2219">
        <v>0</v>
      </c>
      <c r="Q28" s="2317">
        <f>D28</f>
        <v>40</v>
      </c>
      <c r="R28" s="2221">
        <f>IF($I$3="k",P28*Q28*R8*S28,0)</f>
        <v>0</v>
      </c>
      <c r="S28" s="2316">
        <v>0</v>
      </c>
      <c r="T28" s="2182">
        <f t="shared" si="0"/>
        <v>0</v>
      </c>
      <c r="U28" s="2310">
        <f t="shared" si="1"/>
        <v>0</v>
      </c>
      <c r="W28" s="2029"/>
      <c r="X28" s="2224">
        <f>IF($E$3="k",(C28*F8),0)+IF($I$3="k",(H28*J8),0)+IF($M$3="k",(L28*N8),0)+IF($Q$3="k",(P28*R8),0)</f>
        <v>0</v>
      </c>
      <c r="Y28" s="2224">
        <f>X28/159</f>
        <v>0</v>
      </c>
      <c r="Z28" s="2031">
        <v>0</v>
      </c>
      <c r="AA28" s="2225">
        <f>X28*Z28</f>
        <v>0</v>
      </c>
      <c r="AB28" s="2226">
        <f>AA28/1000</f>
        <v>0</v>
      </c>
      <c r="AC28" s="2034">
        <f>AA28*0.27</f>
        <v>0</v>
      </c>
      <c r="AD28" s="2034"/>
    </row>
    <row r="29" spans="1:30" ht="15">
      <c r="B29" s="2319" t="s">
        <v>1786</v>
      </c>
      <c r="C29" s="2320">
        <f>IF(E29&gt;0,E29,F97)</f>
        <v>91</v>
      </c>
      <c r="D29" s="2321">
        <v>0.2</v>
      </c>
      <c r="E29" s="2219">
        <v>0</v>
      </c>
      <c r="F29" s="2221">
        <f>IF(E$3="k",$C$29*$D$29*G29,0)</f>
        <v>0</v>
      </c>
      <c r="G29" s="2316">
        <v>0</v>
      </c>
      <c r="H29" s="2322">
        <f>$F$97</f>
        <v>91</v>
      </c>
      <c r="J29" s="2221">
        <f>IF(I$3="k",$D$29*H29*K29,0)</f>
        <v>18.2</v>
      </c>
      <c r="K29" s="2316">
        <v>1</v>
      </c>
      <c r="L29" s="2322">
        <f>$F$97</f>
        <v>91</v>
      </c>
      <c r="N29" s="2221">
        <f>IF(M$3="k",$D$29*L29*O29,0)</f>
        <v>0</v>
      </c>
      <c r="O29" s="2316">
        <v>0</v>
      </c>
      <c r="P29" s="2322">
        <f>$F$97</f>
        <v>91</v>
      </c>
      <c r="R29" s="2221">
        <f>IF(Q$3="k",$D$29*P29*S29,0)</f>
        <v>0</v>
      </c>
      <c r="S29" s="2316">
        <v>0</v>
      </c>
      <c r="T29" s="2323">
        <f>IF($E$3="k",F29)+IF($I$3="k",J29)+IF($M$3="k",N29)+IF($Q$3="k",R29)</f>
        <v>18.2</v>
      </c>
      <c r="U29" s="2310">
        <f t="shared" si="1"/>
        <v>1.0673735572862904E-3</v>
      </c>
      <c r="V29" s="2324">
        <f>IF($E$3="k",G29)+IF($I$3="k",K29)+IF($M$3="k",O29)+IF($Q$3="k",S29)</f>
        <v>1</v>
      </c>
      <c r="Y29" s="2035" t="s">
        <v>1596</v>
      </c>
      <c r="AA29" s="2036">
        <f>SUM(AA27:AA28)/T8</f>
        <v>58.52000000000001</v>
      </c>
    </row>
    <row r="30" spans="1:30">
      <c r="B30" s="2218" t="s">
        <v>28</v>
      </c>
      <c r="C30" s="2550" t="s">
        <v>1787</v>
      </c>
      <c r="D30" s="2550"/>
      <c r="E30" s="2550"/>
      <c r="F30" s="2165">
        <v>0</v>
      </c>
      <c r="G30" s="2228"/>
      <c r="H30" s="2222"/>
      <c r="J30" s="2165">
        <v>0</v>
      </c>
      <c r="K30" s="2228"/>
      <c r="L30" s="2222"/>
      <c r="N30" s="2165">
        <v>0</v>
      </c>
      <c r="O30" s="2228"/>
      <c r="P30" s="2222"/>
      <c r="R30" s="2165">
        <v>0</v>
      </c>
      <c r="S30" s="2222"/>
      <c r="T30" s="2195">
        <f>IF($E$3="k",F30)+IF($I$3="k",J30)+IF($M$3="k",N30)+IF($Q$3="k",R30)</f>
        <v>0</v>
      </c>
      <c r="U30" s="2310">
        <f t="shared" si="1"/>
        <v>0</v>
      </c>
    </row>
    <row r="31" spans="1:30">
      <c r="B31" s="2218" t="s">
        <v>28</v>
      </c>
      <c r="C31" s="2169"/>
      <c r="F31" s="2165">
        <v>0</v>
      </c>
      <c r="G31" s="2228"/>
      <c r="H31" s="2222"/>
      <c r="J31" s="2165">
        <v>0</v>
      </c>
      <c r="K31" s="2228"/>
      <c r="L31" s="2222"/>
      <c r="N31" s="2165">
        <v>0</v>
      </c>
      <c r="O31" s="2228"/>
      <c r="P31" s="2222"/>
      <c r="R31" s="2165">
        <v>0</v>
      </c>
      <c r="S31" s="2222"/>
      <c r="T31" s="2195">
        <f>IF($E$3="k",F31)+IF($I$3="k",J31)+IF($M$3="k",N31)+IF($Q$3="k",R31)</f>
        <v>0</v>
      </c>
      <c r="U31" s="2310">
        <f t="shared" si="1"/>
        <v>0</v>
      </c>
    </row>
    <row r="32" spans="1:30" ht="13.5" thickBot="1">
      <c r="B32" s="2218" t="s">
        <v>28</v>
      </c>
      <c r="C32" s="2169"/>
      <c r="F32" s="2165">
        <v>0</v>
      </c>
      <c r="G32" s="2228"/>
      <c r="H32" s="2222"/>
      <c r="J32" s="2165">
        <v>0</v>
      </c>
      <c r="K32" s="2228"/>
      <c r="L32" s="2222"/>
      <c r="N32" s="2165">
        <v>0</v>
      </c>
      <c r="O32" s="2228"/>
      <c r="P32" s="2222"/>
      <c r="R32" s="2165">
        <v>0</v>
      </c>
      <c r="S32" s="2222"/>
      <c r="T32" s="2195">
        <f>IF($E$3="k",F32)+IF($I$3="k",J32)+IF($M$3="k",N32)+IF($Q$3="k",R32)</f>
        <v>0</v>
      </c>
      <c r="U32" s="2310">
        <f t="shared" si="1"/>
        <v>0</v>
      </c>
    </row>
    <row r="33" spans="1:23" ht="13.5" thickBot="1">
      <c r="B33" s="2229" t="s">
        <v>34</v>
      </c>
      <c r="C33" s="2204"/>
      <c r="D33" s="2204"/>
      <c r="E33" s="2204"/>
      <c r="F33" s="2213">
        <f>IF(E3="k",SUM(F26:F32),0)</f>
        <v>500</v>
      </c>
      <c r="G33" s="2230">
        <f>F33/F8</f>
        <v>3.5714285714285716</v>
      </c>
      <c r="H33" s="2231"/>
      <c r="J33" s="2213">
        <f>IF(I3="k",SUM(J26:J32),0)</f>
        <v>3906.2000000000003</v>
      </c>
      <c r="K33" s="2230">
        <f>J33/J8</f>
        <v>27.901428571428575</v>
      </c>
      <c r="L33" s="2231"/>
      <c r="N33" s="2213">
        <f>IF(M3="k",SUM(N26:N32),0)</f>
        <v>0</v>
      </c>
      <c r="O33" s="2230">
        <f>N33/N8</f>
        <v>0</v>
      </c>
      <c r="P33" s="2231"/>
      <c r="R33" s="2213">
        <f>IF(Q3="k",SUM(R26:R32),0)</f>
        <v>0</v>
      </c>
      <c r="S33" s="2232">
        <f>R33/R8</f>
        <v>0</v>
      </c>
      <c r="T33" s="2210">
        <f t="shared" si="0"/>
        <v>4406.2000000000007</v>
      </c>
      <c r="U33" s="2314">
        <f t="shared" si="1"/>
        <v>0.25840996528103594</v>
      </c>
      <c r="V33" s="2233">
        <f>SUM(G33,K33,O33,S33)</f>
        <v>31.472857142857148</v>
      </c>
    </row>
    <row r="34" spans="1:23" ht="13.5" thickBot="1">
      <c r="A34" s="1677" t="s">
        <v>35</v>
      </c>
      <c r="F34" s="2234">
        <f>F24+F33</f>
        <v>8461.6666666666679</v>
      </c>
      <c r="G34" s="2235"/>
      <c r="H34" s="2236"/>
      <c r="J34" s="2213">
        <f>IF(I3="k",J24+J33,0)</f>
        <v>8589.5333333333347</v>
      </c>
      <c r="K34" s="2235"/>
      <c r="L34" s="2236"/>
      <c r="N34" s="2213">
        <f>IF(M3="k",N24+N33,0)</f>
        <v>0</v>
      </c>
      <c r="O34" s="2235"/>
      <c r="P34" s="2236"/>
      <c r="R34" s="2213">
        <f>IF(Q3="k",R24+R33,0)</f>
        <v>0</v>
      </c>
      <c r="S34" s="2236"/>
      <c r="T34" s="2210">
        <f t="shared" si="0"/>
        <v>17051.200000000004</v>
      </c>
      <c r="U34" s="2325">
        <f>SUM(U16:U23,U26:U32)</f>
        <v>0.99999999999999967</v>
      </c>
    </row>
    <row r="35" spans="1:23" ht="13.5" thickBot="1">
      <c r="F35" s="2169"/>
      <c r="G35" s="1665"/>
      <c r="J35" s="2169"/>
      <c r="K35" s="1665"/>
      <c r="N35" s="2169"/>
      <c r="O35" s="1665"/>
      <c r="R35" s="2169"/>
      <c r="T35" s="2161"/>
    </row>
    <row r="36" spans="1:23" ht="13.5" thickBot="1">
      <c r="A36" s="1677" t="s">
        <v>1681</v>
      </c>
      <c r="F36" s="2237">
        <f>IF(F8&gt;0,IF(E3="k",F34/F8,),0)</f>
        <v>60.440476190476197</v>
      </c>
      <c r="G36" s="2235"/>
      <c r="H36" s="2236"/>
      <c r="J36" s="2237">
        <f>IF(J8&gt;0,IF(I3="k",J34/J8,),0)</f>
        <v>61.353809523809531</v>
      </c>
      <c r="K36" s="2235"/>
      <c r="L36" s="2236"/>
      <c r="N36" s="2237">
        <f>IF(N8&gt;0,IF(M3="k",N34/N8,),0)</f>
        <v>0</v>
      </c>
      <c r="O36" s="2235"/>
      <c r="P36" s="2236"/>
      <c r="R36" s="2237">
        <f>IF(R8&gt;0,IF(Q3="k",R34/R8,),0)</f>
        <v>0</v>
      </c>
      <c r="S36" s="2236"/>
      <c r="T36" s="2239">
        <f t="shared" si="0"/>
        <v>121.79428571428573</v>
      </c>
      <c r="U36" s="1924"/>
    </row>
    <row r="37" spans="1:23">
      <c r="B37" s="1677" t="s">
        <v>1788</v>
      </c>
      <c r="E37" s="2326">
        <v>0</v>
      </c>
      <c r="F37" s="2240">
        <f>IF($E$3="k",((100%/(100%-E37))*F36)-F36,0)</f>
        <v>0</v>
      </c>
      <c r="G37" s="2185"/>
      <c r="H37" s="1657"/>
      <c r="I37" s="2241">
        <f>E37</f>
        <v>0</v>
      </c>
      <c r="J37" s="2240">
        <f>IF(I3="k",((100%/(100%-I37))*J36)-J36,0)</f>
        <v>0</v>
      </c>
      <c r="K37" s="2185"/>
      <c r="L37" s="1657"/>
      <c r="M37" s="2241">
        <f>I37</f>
        <v>0</v>
      </c>
      <c r="N37" s="2240">
        <f>IF(M3="k",((100%/(100%-M37))*N36)-N36,0)</f>
        <v>0</v>
      </c>
      <c r="O37" s="2185"/>
      <c r="P37" s="1657"/>
      <c r="Q37" s="2241">
        <f>M37</f>
        <v>0</v>
      </c>
      <c r="R37" s="2240">
        <f>IF(Q3="k",((100%/(100%-Q37))*R36)-R36,0)</f>
        <v>0</v>
      </c>
      <c r="S37" s="1657"/>
      <c r="T37" s="2182">
        <f t="shared" si="0"/>
        <v>0</v>
      </c>
      <c r="U37" s="1672"/>
    </row>
    <row r="38" spans="1:23" ht="13.5" thickBot="1">
      <c r="B38" s="1656" t="s">
        <v>1682</v>
      </c>
      <c r="C38" s="2219">
        <v>0.2</v>
      </c>
      <c r="D38" s="2220">
        <v>20</v>
      </c>
      <c r="F38" s="2242">
        <f>IF(E$3="k",IF(C38&gt;0,C38*D38,F8*D38),0)</f>
        <v>4</v>
      </c>
      <c r="G38" s="2243" t="str">
        <f>IF(AND(C38=0,D38&gt;0),"! !","")</f>
        <v/>
      </c>
      <c r="H38" s="2219">
        <f>C38</f>
        <v>0.2</v>
      </c>
      <c r="I38" s="2244">
        <v>0</v>
      </c>
      <c r="J38" s="2242">
        <f>IF(I$3="k",IF(H38&gt;0,H38*I38,J8*I38),0)</f>
        <v>0</v>
      </c>
      <c r="K38" s="2243" t="str">
        <f>IF(AND(H38=0,I38&gt;0),"! !","")</f>
        <v/>
      </c>
      <c r="L38" s="2219">
        <f>C38</f>
        <v>0.2</v>
      </c>
      <c r="M38" s="2244">
        <v>0</v>
      </c>
      <c r="N38" s="2242">
        <f>IF(M$3="k",IF(L38&gt;0,L38*M38,N8*M38),0)</f>
        <v>0</v>
      </c>
      <c r="O38" s="2243" t="str">
        <f>IF(AND(L38=0,M38&gt;0),"! !","")</f>
        <v/>
      </c>
      <c r="P38" s="2219">
        <f>C38</f>
        <v>0.2</v>
      </c>
      <c r="Q38" s="2244">
        <v>0</v>
      </c>
      <c r="R38" s="2242">
        <f>IF(Q$3="k",IF(P38&gt;0,P38*Q38,R8*Q38),0)</f>
        <v>0</v>
      </c>
      <c r="S38" s="2369" t="str">
        <f>IF(AND(P38=0,Q38&gt;0),"! !","")</f>
        <v/>
      </c>
      <c r="T38" s="2195">
        <f>IF($E$3="k",F38)+IF($I$3="k",J38)+IF($M$3="k",N38)+IF($Q$3="k",R38)</f>
        <v>4</v>
      </c>
      <c r="U38" s="2327"/>
    </row>
    <row r="39" spans="1:23">
      <c r="B39" s="2245" t="s">
        <v>1683</v>
      </c>
      <c r="C39" s="2246"/>
      <c r="D39" s="2246"/>
      <c r="E39" s="2246"/>
      <c r="F39" s="2238">
        <f>SUM(F36:F38)</f>
        <v>64.440476190476204</v>
      </c>
      <c r="G39" s="2185"/>
      <c r="H39" s="1657"/>
      <c r="J39" s="2238">
        <f>SUM(J36:J38)</f>
        <v>61.353809523809531</v>
      </c>
      <c r="K39" s="2185"/>
      <c r="L39" s="1657"/>
      <c r="N39" s="2238">
        <f>SUM(N36:N38)</f>
        <v>0</v>
      </c>
      <c r="O39" s="2185"/>
      <c r="P39" s="1657"/>
      <c r="R39" s="2238">
        <f>SUM(R36:R38)</f>
        <v>0</v>
      </c>
      <c r="S39" s="1657"/>
      <c r="T39" s="2247">
        <f>SUM(F39,J39,N39,R39)</f>
        <v>125.79428571428573</v>
      </c>
      <c r="U39" s="1924"/>
    </row>
    <row r="40" spans="1:23" ht="13.5" thickBot="1">
      <c r="B40" s="1664" t="s">
        <v>42</v>
      </c>
      <c r="E40" s="2529">
        <v>0.255</v>
      </c>
      <c r="F40" s="2240">
        <f>E40*F39</f>
        <v>16.432321428571431</v>
      </c>
      <c r="G40" s="2248"/>
      <c r="H40" s="1657"/>
      <c r="I40" s="2249">
        <f>$E$40</f>
        <v>0.255</v>
      </c>
      <c r="J40" s="2240">
        <f>I40*J39</f>
        <v>15.64522142857143</v>
      </c>
      <c r="K40" s="2185"/>
      <c r="L40" s="1657"/>
      <c r="M40" s="2249">
        <f>$E$40</f>
        <v>0.255</v>
      </c>
      <c r="N40" s="2240">
        <f>M40*N39</f>
        <v>0</v>
      </c>
      <c r="O40" s="2185"/>
      <c r="P40" s="1657"/>
      <c r="Q40" s="2249">
        <f>$E$40</f>
        <v>0.255</v>
      </c>
      <c r="R40" s="2240">
        <f>Q40*R39</f>
        <v>0</v>
      </c>
      <c r="S40" s="1657"/>
      <c r="T40" s="2182">
        <f>SUM(F40,J40,N40,R40)</f>
        <v>32.077542857142859</v>
      </c>
      <c r="U40" s="1672"/>
    </row>
    <row r="41" spans="1:23" ht="13.5" thickBot="1">
      <c r="B41" s="2112" t="s">
        <v>43</v>
      </c>
      <c r="C41" s="2099"/>
      <c r="D41" s="2099"/>
      <c r="E41" s="1677"/>
      <c r="F41" s="2328">
        <f>IF(E3="k",SUM(F39:F40),0)</f>
        <v>80.872797619047631</v>
      </c>
      <c r="G41" s="2250"/>
      <c r="H41" s="2251"/>
      <c r="I41" s="2099"/>
      <c r="J41" s="2328">
        <f>IF(I3="k",SUM(J39:J40),0)</f>
        <v>76.999030952380963</v>
      </c>
      <c r="K41" s="2250"/>
      <c r="L41" s="2251"/>
      <c r="M41" s="2099"/>
      <c r="N41" s="2328">
        <f>IF(M3="k",SUM(N39:N40),0)</f>
        <v>0</v>
      </c>
      <c r="O41" s="2250"/>
      <c r="P41" s="2251"/>
      <c r="Q41" s="2099"/>
      <c r="R41" s="2328">
        <f>IF(Q3="k",SUM(R39:R40),0)</f>
        <v>0</v>
      </c>
      <c r="S41" s="2251"/>
      <c r="T41" s="2239">
        <f t="shared" si="0"/>
        <v>157.87182857142858</v>
      </c>
      <c r="U41" s="1924"/>
    </row>
    <row r="42" spans="1:23">
      <c r="E42" s="2329" t="s">
        <v>1659</v>
      </c>
      <c r="F42" s="2330">
        <f>IF(F5&gt;0,F39/F5,0)</f>
        <v>2.0137648809523814</v>
      </c>
      <c r="J42" s="2330">
        <f>IF(J5&gt;0,J39/J5,0)</f>
        <v>1.9173065476190478</v>
      </c>
      <c r="N42" s="2330">
        <f>IF(N5&gt;0,N39/N5,0)</f>
        <v>0</v>
      </c>
      <c r="R42" s="2330">
        <f>IF(R5&gt;0,R39/R5,0)</f>
        <v>0</v>
      </c>
    </row>
    <row r="43" spans="1:23" ht="13.5" thickBot="1">
      <c r="C43" s="2252" t="s">
        <v>1684</v>
      </c>
      <c r="D43" s="2331">
        <f>F54</f>
        <v>65</v>
      </c>
      <c r="E43" s="2252" t="s">
        <v>1789</v>
      </c>
      <c r="F43" s="2332">
        <f>IF(F42&gt;0,(F42/10)/$D$43,0)</f>
        <v>3.0980998168498174E-3</v>
      </c>
      <c r="J43" s="2332">
        <f>IF(J42&gt;0,(J42/10)/$D$43,0)</f>
        <v>2.9497023809523814E-3</v>
      </c>
      <c r="N43" s="2332">
        <f>IF(N42&gt;0,(N42/10)/$D$43,0)</f>
        <v>0</v>
      </c>
      <c r="R43" s="2332">
        <f>IF(R42&gt;0,(R42/10)/$D$43,0)</f>
        <v>0</v>
      </c>
    </row>
    <row r="44" spans="1:23" ht="15.75" thickBot="1">
      <c r="C44" s="2551" t="s">
        <v>1790</v>
      </c>
      <c r="D44" s="2552"/>
      <c r="E44" s="2553"/>
      <c r="F44" s="2554">
        <f>T39</f>
        <v>125.79428571428573</v>
      </c>
      <c r="G44" s="2555"/>
      <c r="H44" s="2555"/>
      <c r="I44" s="2555"/>
      <c r="J44" s="2555"/>
      <c r="K44" s="2555"/>
      <c r="L44" s="2556"/>
      <c r="M44" s="2333"/>
      <c r="N44" s="2333"/>
      <c r="O44" s="2333"/>
      <c r="P44" s="2333"/>
      <c r="Q44" s="2333"/>
      <c r="R44" s="2334"/>
    </row>
    <row r="45" spans="1:23" ht="15.75" thickBot="1">
      <c r="C45" s="2550" t="s">
        <v>1791</v>
      </c>
      <c r="D45" s="2550"/>
      <c r="E45" s="2550"/>
      <c r="F45" s="2335">
        <f>IF(H45&gt;0,H45,F90)</f>
        <v>6</v>
      </c>
      <c r="G45" s="2336" t="s">
        <v>1648</v>
      </c>
      <c r="H45" s="2337">
        <v>0</v>
      </c>
      <c r="I45" s="2338" t="s">
        <v>1792</v>
      </c>
      <c r="J45" s="2339" t="s">
        <v>1793</v>
      </c>
      <c r="K45" s="2562">
        <f>F44*F45</f>
        <v>754.76571428571447</v>
      </c>
      <c r="L45" s="2562"/>
      <c r="M45" s="2563" t="s">
        <v>953</v>
      </c>
      <c r="N45" s="2565">
        <f>K45+K46</f>
        <v>803.5628571428573</v>
      </c>
      <c r="O45" s="2340"/>
      <c r="P45" s="2341"/>
      <c r="Q45" s="2341"/>
      <c r="R45" s="2342"/>
    </row>
    <row r="46" spans="1:23" ht="25.5" thickBot="1">
      <c r="C46" s="2551" t="s">
        <v>1794</v>
      </c>
      <c r="D46" s="2552"/>
      <c r="E46" s="2552"/>
      <c r="F46" s="2343">
        <f>IF(H46&gt;0,H46,E92)</f>
        <v>1</v>
      </c>
      <c r="G46" s="2344" t="s">
        <v>1648</v>
      </c>
      <c r="H46" s="2345">
        <v>0</v>
      </c>
      <c r="I46" s="2346" t="s">
        <v>1792</v>
      </c>
      <c r="J46" s="2347" t="s">
        <v>1795</v>
      </c>
      <c r="K46" s="2567">
        <f>((T34-T27-T28)/T8)*F46</f>
        <v>48.797142857142873</v>
      </c>
      <c r="L46" s="2567"/>
      <c r="M46" s="2564"/>
      <c r="N46" s="2566"/>
      <c r="O46" s="2340"/>
      <c r="P46" s="2341"/>
      <c r="Q46" s="2341"/>
      <c r="R46" s="2342"/>
    </row>
    <row r="47" spans="1:23" ht="15.75" thickBot="1">
      <c r="C47" s="2551" t="s">
        <v>1685</v>
      </c>
      <c r="D47" s="2552"/>
      <c r="E47" s="2552"/>
      <c r="F47" s="2559">
        <f>N45/O47</f>
        <v>3.8632829670329681E-2</v>
      </c>
      <c r="G47" s="2559"/>
      <c r="H47" s="2559"/>
      <c r="I47" s="2559"/>
      <c r="J47" s="2559"/>
      <c r="K47" s="2559"/>
      <c r="L47" s="2559"/>
      <c r="M47" s="2348" t="s">
        <v>1796</v>
      </c>
      <c r="N47" s="2349"/>
      <c r="O47" s="2350">
        <f>F5*10*D43</f>
        <v>20800</v>
      </c>
      <c r="P47" s="2348" t="s">
        <v>137</v>
      </c>
      <c r="Q47" s="2351"/>
      <c r="R47" s="2352"/>
      <c r="W47" s="2353"/>
    </row>
    <row r="48" spans="1:23" ht="15.75" thickBot="1">
      <c r="C48" s="2551" t="s">
        <v>1797</v>
      </c>
      <c r="D48" s="2552"/>
      <c r="E48" s="2552"/>
      <c r="F48" s="2560">
        <f>F47*1000</f>
        <v>38.632829670329684</v>
      </c>
      <c r="G48" s="2560"/>
      <c r="H48" s="2560"/>
      <c r="I48" s="2560"/>
      <c r="J48" s="2560"/>
      <c r="K48" s="2560"/>
      <c r="L48" s="2560"/>
      <c r="M48" s="2354"/>
      <c r="N48" s="2355"/>
      <c r="O48" s="2355"/>
      <c r="P48" s="2355"/>
      <c r="Q48" s="2355"/>
      <c r="R48" s="2356"/>
    </row>
    <row r="49" spans="2:18" ht="15.75" thickBot="1">
      <c r="C49" s="2253"/>
      <c r="D49" s="2253"/>
      <c r="E49" s="2253"/>
      <c r="F49" s="2357"/>
      <c r="G49" s="2357"/>
      <c r="H49" s="2357"/>
      <c r="I49" s="2357"/>
      <c r="J49" s="2357"/>
      <c r="K49" s="2357"/>
      <c r="L49" s="2254"/>
      <c r="M49" s="2254"/>
      <c r="N49" s="2254"/>
      <c r="O49" s="2254"/>
      <c r="P49" s="2254"/>
      <c r="Q49" s="2254"/>
      <c r="R49" s="2254"/>
    </row>
    <row r="50" spans="2:18" ht="15.75">
      <c r="B50" s="2255" t="s">
        <v>1686</v>
      </c>
      <c r="C50" s="1658"/>
      <c r="D50" s="1658"/>
      <c r="E50" s="1658"/>
      <c r="F50" s="1658"/>
      <c r="G50" s="1658"/>
      <c r="H50" s="1658"/>
      <c r="I50" s="1659"/>
      <c r="J50" s="2256" t="s">
        <v>1687</v>
      </c>
      <c r="K50" s="1658"/>
      <c r="L50" s="1658"/>
      <c r="M50" s="1658"/>
      <c r="N50" s="1658"/>
      <c r="O50" s="1659"/>
    </row>
    <row r="51" spans="2:18" ht="17.25">
      <c r="B51" s="2257" t="s">
        <v>1688</v>
      </c>
      <c r="G51" s="1617" t="s">
        <v>1648</v>
      </c>
      <c r="H51" s="1677" t="s">
        <v>146</v>
      </c>
      <c r="I51" s="1665"/>
      <c r="J51" s="1664"/>
      <c r="K51" s="1656" t="s">
        <v>1689</v>
      </c>
      <c r="M51" s="1656" t="str">
        <f>"+ Rahtikuivaus"</f>
        <v>+ Rahtikuivaus</v>
      </c>
      <c r="O51" s="2258" t="s">
        <v>146</v>
      </c>
    </row>
    <row r="52" spans="2:18">
      <c r="B52" s="1664" t="s">
        <v>115</v>
      </c>
      <c r="F52" s="1661">
        <v>1</v>
      </c>
      <c r="H52" s="1656" t="s">
        <v>99</v>
      </c>
      <c r="I52" s="1665"/>
      <c r="J52" s="1664"/>
      <c r="M52" s="1656" t="s">
        <v>1648</v>
      </c>
      <c r="O52" s="1665"/>
    </row>
    <row r="53" spans="2:18">
      <c r="B53" s="1664" t="s">
        <v>1690</v>
      </c>
      <c r="F53" s="2259">
        <v>4000</v>
      </c>
      <c r="H53" s="1656" t="s">
        <v>162</v>
      </c>
      <c r="I53" s="1665"/>
      <c r="J53" s="1664"/>
      <c r="O53" s="1665"/>
    </row>
    <row r="54" spans="2:18">
      <c r="B54" s="1664" t="s">
        <v>1691</v>
      </c>
      <c r="F54" s="1673">
        <v>65</v>
      </c>
      <c r="H54" s="1656" t="s">
        <v>1692</v>
      </c>
      <c r="I54" s="1665"/>
      <c r="J54" s="1664"/>
      <c r="O54" s="1665"/>
    </row>
    <row r="55" spans="2:18" ht="14.25">
      <c r="B55" s="1664" t="s">
        <v>1693</v>
      </c>
      <c r="F55" s="1675">
        <f>F54*10</f>
        <v>650</v>
      </c>
      <c r="H55" s="1656" t="s">
        <v>1694</v>
      </c>
      <c r="I55" s="1665"/>
      <c r="J55" s="1664"/>
      <c r="O55" s="1665"/>
    </row>
    <row r="56" spans="2:18">
      <c r="B56" s="1664" t="s">
        <v>1634</v>
      </c>
      <c r="F56" s="2260">
        <f>IF(G56&gt;0,G56,F52*F53)</f>
        <v>4000</v>
      </c>
      <c r="G56" s="2261">
        <v>0</v>
      </c>
      <c r="H56" s="1656" t="s">
        <v>137</v>
      </c>
      <c r="I56" s="1665"/>
      <c r="J56" s="1664" t="s">
        <v>1695</v>
      </c>
      <c r="K56" s="2034">
        <f>IF(M56&gt;0,M56,F56)</f>
        <v>4000</v>
      </c>
      <c r="M56" s="2561">
        <v>0</v>
      </c>
      <c r="N56" s="2561"/>
      <c r="O56" s="1665" t="s">
        <v>1696</v>
      </c>
    </row>
    <row r="57" spans="2:18" ht="15.75">
      <c r="B57" s="1664"/>
      <c r="D57" s="2262"/>
      <c r="F57" s="2263">
        <f>F56/F54</f>
        <v>61.53846153846154</v>
      </c>
      <c r="H57" s="1656" t="s">
        <v>1674</v>
      </c>
      <c r="I57" s="1665"/>
      <c r="J57" s="1664" t="s">
        <v>1697</v>
      </c>
      <c r="K57" s="1675"/>
      <c r="M57" s="2557">
        <v>0</v>
      </c>
      <c r="N57" s="2557"/>
      <c r="O57" s="1665" t="s">
        <v>1696</v>
      </c>
    </row>
    <row r="58" spans="2:18">
      <c r="B58" s="1664"/>
      <c r="F58" s="2034">
        <f>F57*100</f>
        <v>6153.8461538461543</v>
      </c>
      <c r="H58" s="1656" t="s">
        <v>160</v>
      </c>
      <c r="I58" s="1665"/>
      <c r="J58" s="1664" t="s">
        <v>1698</v>
      </c>
      <c r="K58" s="2034">
        <f>IF(M58&gt;0,M58,SUM(K56,M57))</f>
        <v>4000</v>
      </c>
      <c r="M58" s="2557">
        <v>0</v>
      </c>
      <c r="N58" s="2557"/>
      <c r="O58" s="1665" t="s">
        <v>1696</v>
      </c>
    </row>
    <row r="59" spans="2:18" ht="15.75">
      <c r="B59" s="1664"/>
      <c r="F59" s="2263">
        <f>F56/F55</f>
        <v>6.1538461538461542</v>
      </c>
      <c r="H59" s="1656" t="s">
        <v>106</v>
      </c>
      <c r="I59" s="1665"/>
      <c r="J59" s="1664" t="s">
        <v>1699</v>
      </c>
      <c r="K59" s="2240">
        <f>IF(M59&gt;0,M59,F80)</f>
        <v>23</v>
      </c>
      <c r="M59" s="2264">
        <v>0</v>
      </c>
      <c r="O59" s="1665" t="s">
        <v>159</v>
      </c>
    </row>
    <row r="60" spans="2:18">
      <c r="B60" s="1664" t="s">
        <v>1700</v>
      </c>
      <c r="F60" s="1661">
        <v>1.2</v>
      </c>
      <c r="H60" s="1656" t="s">
        <v>1701</v>
      </c>
      <c r="I60" s="1665"/>
      <c r="J60" s="2374" t="s">
        <v>1702</v>
      </c>
      <c r="K60" s="2240">
        <f>IF(M60&gt;0,M60,F81)</f>
        <v>14</v>
      </c>
      <c r="M60" s="2265"/>
      <c r="O60" s="1665" t="s">
        <v>159</v>
      </c>
    </row>
    <row r="61" spans="2:18">
      <c r="B61" s="1664" t="s">
        <v>1703</v>
      </c>
      <c r="F61" s="1661">
        <v>8</v>
      </c>
      <c r="H61" s="1656" t="s">
        <v>15</v>
      </c>
      <c r="I61" s="1665"/>
      <c r="J61" s="814" t="s">
        <v>1647</v>
      </c>
      <c r="K61" s="2266">
        <f>(K59-K60)/(100-K59)*K58</f>
        <v>467.53246753246754</v>
      </c>
      <c r="O61" s="1665" t="s">
        <v>1696</v>
      </c>
    </row>
    <row r="62" spans="2:18">
      <c r="B62" s="1664" t="s">
        <v>1704</v>
      </c>
      <c r="F62" s="2260">
        <f>F60*F61*F63</f>
        <v>38400</v>
      </c>
      <c r="H62" s="1656" t="s">
        <v>1705</v>
      </c>
      <c r="I62" s="1665"/>
      <c r="J62" s="2374" t="s">
        <v>1706</v>
      </c>
      <c r="K62" s="2240">
        <f>IF(M62&gt;0,M62,F86)</f>
        <v>1.5</v>
      </c>
      <c r="M62" s="2267">
        <v>0</v>
      </c>
      <c r="O62" s="1665" t="s">
        <v>1707</v>
      </c>
    </row>
    <row r="63" spans="2:18">
      <c r="B63" s="1664" t="s">
        <v>1690</v>
      </c>
      <c r="F63" s="2260">
        <f>IF(G63&gt;0,G63,IF(AND(F52&gt;0,G56&gt;0),F56/F52,F53))</f>
        <v>4000</v>
      </c>
      <c r="G63" s="2261">
        <v>0</v>
      </c>
      <c r="H63" s="1656" t="s">
        <v>1708</v>
      </c>
      <c r="I63" s="2268" t="str">
        <f>IF(F63&gt;10000,"Onko sato todellinen? Tarkista ettei ole ristiriitaa syötetiedoissa","")</f>
        <v/>
      </c>
      <c r="J63" s="1664" t="s">
        <v>1709</v>
      </c>
      <c r="K63" s="2240">
        <f>(K59-K60)/K62</f>
        <v>6</v>
      </c>
      <c r="O63" s="1665" t="s">
        <v>15</v>
      </c>
    </row>
    <row r="64" spans="2:18">
      <c r="B64" s="1664" t="s">
        <v>1710</v>
      </c>
      <c r="F64" s="2260">
        <f>F62</f>
        <v>38400</v>
      </c>
      <c r="H64" s="1656" t="s">
        <v>1711</v>
      </c>
      <c r="I64" s="1665"/>
      <c r="J64" s="1664" t="s">
        <v>1712</v>
      </c>
      <c r="K64" s="2269">
        <f>IF(M64&gt;0,M64,F54)</f>
        <v>65</v>
      </c>
      <c r="M64" s="2267">
        <v>0</v>
      </c>
      <c r="O64" s="1665" t="s">
        <v>137</v>
      </c>
    </row>
    <row r="65" spans="2:15" ht="14.25">
      <c r="B65" s="1664" t="s">
        <v>1713</v>
      </c>
      <c r="F65" s="1661">
        <v>2</v>
      </c>
      <c r="H65" s="1656" t="s">
        <v>1714</v>
      </c>
      <c r="I65" s="1665"/>
      <c r="J65" s="1664" t="s">
        <v>1693</v>
      </c>
      <c r="K65" s="1675">
        <f>K64*10</f>
        <v>650</v>
      </c>
      <c r="O65" s="1665" t="s">
        <v>137</v>
      </c>
    </row>
    <row r="66" spans="2:15">
      <c r="B66" s="1664"/>
      <c r="F66" s="2260">
        <f>F64/F65</f>
        <v>19200</v>
      </c>
      <c r="H66" s="1656" t="s">
        <v>1715</v>
      </c>
      <c r="I66" s="1665"/>
      <c r="J66" s="814" t="s">
        <v>1716</v>
      </c>
      <c r="K66" s="2034">
        <f>K58/K64</f>
        <v>61.53846153846154</v>
      </c>
      <c r="O66" s="1665" t="s">
        <v>1674</v>
      </c>
    </row>
    <row r="67" spans="2:15" ht="14.25">
      <c r="B67" s="1664"/>
      <c r="F67" s="2270">
        <f>F66/F54</f>
        <v>295.38461538461536</v>
      </c>
      <c r="H67" s="1656" t="s">
        <v>1717</v>
      </c>
      <c r="I67" s="1665"/>
      <c r="J67" s="814" t="s">
        <v>1718</v>
      </c>
      <c r="K67" s="2034">
        <f>K66/10</f>
        <v>6.1538461538461542</v>
      </c>
      <c r="O67" s="1665" t="s">
        <v>106</v>
      </c>
    </row>
    <row r="68" spans="2:15" ht="16.5" thickBot="1">
      <c r="B68" s="1664"/>
      <c r="F68" s="2271">
        <f>F67*100</f>
        <v>29538.461538461535</v>
      </c>
      <c r="H68" s="1656" t="s">
        <v>1719</v>
      </c>
      <c r="I68" s="1665"/>
      <c r="J68" s="1664" t="s">
        <v>1720</v>
      </c>
      <c r="K68" s="2272">
        <f>IF(M68&gt;0,M68,F69)</f>
        <v>29.538461538461537</v>
      </c>
      <c r="M68" s="2273">
        <v>0</v>
      </c>
      <c r="O68" s="1665" t="s">
        <v>106</v>
      </c>
    </row>
    <row r="69" spans="2:15" ht="21" thickBot="1">
      <c r="B69" s="2413" t="s">
        <v>1721</v>
      </c>
      <c r="C69" s="2274"/>
      <c r="D69" s="2274"/>
      <c r="E69" s="2274"/>
      <c r="F69" s="2358">
        <f>F68/1000</f>
        <v>29.538461538461537</v>
      </c>
      <c r="H69" s="1656" t="s">
        <v>1814</v>
      </c>
      <c r="I69" s="1665"/>
      <c r="J69" s="1664" t="s">
        <v>1722</v>
      </c>
      <c r="K69" s="2275">
        <f>K68*10</f>
        <v>295.38461538461536</v>
      </c>
      <c r="O69" s="1665" t="s">
        <v>1674</v>
      </c>
    </row>
    <row r="70" spans="2:15">
      <c r="B70" s="1664" t="s">
        <v>1723</v>
      </c>
      <c r="F70" s="2276">
        <f>F52/F60</f>
        <v>0.83333333333333337</v>
      </c>
      <c r="H70" s="1656" t="s">
        <v>167</v>
      </c>
      <c r="I70" s="1665"/>
      <c r="J70" s="1664"/>
      <c r="K70" s="2269"/>
      <c r="O70" s="1665"/>
    </row>
    <row r="71" spans="2:15" ht="13.5" thickBot="1">
      <c r="B71" s="2277" t="s">
        <v>1724</v>
      </c>
      <c r="D71" s="1656" t="s">
        <v>1725</v>
      </c>
      <c r="E71" s="1667">
        <v>20</v>
      </c>
      <c r="F71" s="2278">
        <f>(F52/(F61*F60))</f>
        <v>0.10416666666666667</v>
      </c>
      <c r="G71" s="2279" t="str">
        <f>IF(F71&gt;E71,"Aika loppuu","")</f>
        <v/>
      </c>
      <c r="H71" s="1656" t="s">
        <v>722</v>
      </c>
      <c r="I71" s="1665"/>
      <c r="J71" s="814" t="s">
        <v>1726</v>
      </c>
      <c r="K71" s="2280">
        <f>K66/K69</f>
        <v>0.20833333333333337</v>
      </c>
      <c r="O71" s="1665" t="s">
        <v>150</v>
      </c>
    </row>
    <row r="72" spans="2:15" ht="21" thickBot="1">
      <c r="B72" s="2277" t="s">
        <v>1727</v>
      </c>
      <c r="I72" s="1665"/>
      <c r="J72" s="2281" t="s">
        <v>1728</v>
      </c>
      <c r="K72" s="2282">
        <f>K71*K63</f>
        <v>1.2500000000000002</v>
      </c>
      <c r="M72" s="2353"/>
      <c r="O72" s="1665" t="s">
        <v>15</v>
      </c>
    </row>
    <row r="73" spans="2:15" ht="14.25">
      <c r="B73" s="1664" t="s">
        <v>1729</v>
      </c>
      <c r="F73" s="1661">
        <v>15</v>
      </c>
      <c r="H73" s="1656" t="s">
        <v>1815</v>
      </c>
      <c r="I73" s="1665"/>
      <c r="J73" s="1664" t="s">
        <v>1730</v>
      </c>
      <c r="K73" s="2283">
        <f>K72/M73</f>
        <v>0.10416666666666669</v>
      </c>
      <c r="M73" s="2267">
        <v>12</v>
      </c>
      <c r="N73" s="1656" t="s">
        <v>1731</v>
      </c>
      <c r="O73" s="1665" t="s">
        <v>722</v>
      </c>
    </row>
    <row r="74" spans="2:15" ht="15.75">
      <c r="B74" s="1664" t="s">
        <v>1732</v>
      </c>
      <c r="F74" s="2284">
        <f>ROUNDUP(F69*F65/F73,0)</f>
        <v>4</v>
      </c>
      <c r="H74" s="1656" t="s">
        <v>1733</v>
      </c>
      <c r="I74" s="1665"/>
      <c r="J74" s="1664" t="s">
        <v>1734</v>
      </c>
      <c r="K74" s="2285">
        <f>$K$72/($K$58/1000)</f>
        <v>0.31250000000000006</v>
      </c>
      <c r="O74" s="1665" t="s">
        <v>1735</v>
      </c>
    </row>
    <row r="75" spans="2:15" ht="16.5" thickBot="1">
      <c r="B75" s="1664" t="s">
        <v>1736</v>
      </c>
      <c r="F75" s="2284">
        <f>ROUNDUP(IF(F59/F73&lt;1,1,F59/F73),0)</f>
        <v>1</v>
      </c>
      <c r="H75" s="1656" t="s">
        <v>1737</v>
      </c>
      <c r="I75" s="1665"/>
      <c r="J75" s="1664" t="s">
        <v>1738</v>
      </c>
      <c r="K75" s="2285">
        <f>($K$58/1000)/$K$72</f>
        <v>3.1999999999999993</v>
      </c>
      <c r="O75" s="1665" t="s">
        <v>1739</v>
      </c>
    </row>
    <row r="76" spans="2:15" ht="13.5" thickBot="1">
      <c r="B76" s="1670"/>
      <c r="C76" s="1671"/>
      <c r="D76" s="1671"/>
      <c r="E76" s="1671"/>
      <c r="F76" s="1671"/>
      <c r="G76" s="1671"/>
      <c r="H76" s="2274"/>
      <c r="I76" s="2286"/>
      <c r="J76" s="1670"/>
      <c r="K76" s="1671"/>
      <c r="L76" s="1671"/>
      <c r="M76" s="1671"/>
      <c r="N76" s="1671"/>
      <c r="O76" s="2286"/>
    </row>
    <row r="77" spans="2:15" ht="15.75">
      <c r="B77" s="2375" t="s">
        <v>1798</v>
      </c>
      <c r="C77" s="813"/>
      <c r="D77" s="813"/>
      <c r="E77" s="813"/>
      <c r="F77" s="1658"/>
      <c r="G77" s="1658"/>
      <c r="H77" s="1658"/>
      <c r="I77" s="1659"/>
      <c r="J77" s="2375" t="s">
        <v>1740</v>
      </c>
      <c r="K77" s="1658"/>
      <c r="L77" s="1658"/>
      <c r="M77" s="1658"/>
      <c r="N77" s="1658"/>
      <c r="O77" s="1659"/>
    </row>
    <row r="78" spans="2:15" ht="26.25">
      <c r="B78" s="1201"/>
      <c r="F78"/>
      <c r="G78" t="s">
        <v>1648</v>
      </c>
      <c r="I78" s="1665"/>
      <c r="J78" s="1664"/>
      <c r="M78" s="2287" t="s">
        <v>1741</v>
      </c>
      <c r="N78" s="2287" t="s">
        <v>1742</v>
      </c>
      <c r="O78" s="1665"/>
    </row>
    <row r="79" spans="2:15">
      <c r="B79" s="814" t="s">
        <v>1633</v>
      </c>
      <c r="F79" s="2376">
        <f>IF(G79&gt;0,G79,F52)</f>
        <v>1</v>
      </c>
      <c r="G79" s="2023">
        <v>0</v>
      </c>
      <c r="H79"/>
      <c r="I79" s="1665"/>
      <c r="J79" s="1664" t="s">
        <v>1743</v>
      </c>
      <c r="K79" s="2288">
        <f>F100</f>
        <v>55.003819709702064</v>
      </c>
      <c r="L79" s="1675" t="s">
        <v>160</v>
      </c>
      <c r="M79" s="2289">
        <v>11.805999999999999</v>
      </c>
      <c r="N79" s="2290">
        <f>K79/1000*M79</f>
        <v>0.64937509549274253</v>
      </c>
      <c r="O79" s="1665"/>
    </row>
    <row r="80" spans="2:15">
      <c r="B80" s="814" t="s">
        <v>1644</v>
      </c>
      <c r="F80" s="2267">
        <v>23</v>
      </c>
      <c r="G80" s="2291"/>
      <c r="H80" s="868" t="s">
        <v>99</v>
      </c>
      <c r="I80" s="1665"/>
      <c r="J80" s="2277" t="s">
        <v>1744</v>
      </c>
      <c r="O80" s="1665"/>
    </row>
    <row r="81" spans="2:15" ht="14.25">
      <c r="B81" s="814" t="s">
        <v>1645</v>
      </c>
      <c r="F81" s="2267">
        <v>14</v>
      </c>
      <c r="G81" s="2291"/>
      <c r="H81" s="868" t="s">
        <v>159</v>
      </c>
      <c r="I81" s="1665"/>
      <c r="J81" s="1664" t="s">
        <v>1745</v>
      </c>
      <c r="M81" s="2289">
        <v>0.8</v>
      </c>
      <c r="O81" s="1665"/>
    </row>
    <row r="82" spans="2:15">
      <c r="B82" s="814" t="s">
        <v>1646</v>
      </c>
      <c r="F82" s="2359">
        <f>IF(G82&gt;0,G82,F63)</f>
        <v>4000</v>
      </c>
      <c r="G82" s="2292">
        <v>0</v>
      </c>
      <c r="H82" s="868" t="s">
        <v>159</v>
      </c>
      <c r="I82" s="1665"/>
      <c r="J82" s="2293" t="s">
        <v>1746</v>
      </c>
      <c r="K82" s="2294">
        <v>0.7</v>
      </c>
      <c r="O82" s="1665"/>
    </row>
    <row r="83" spans="2:15" ht="16.5">
      <c r="B83" s="814" t="s">
        <v>1634</v>
      </c>
      <c r="C83" s="1656" t="s">
        <v>137</v>
      </c>
      <c r="F83" s="2360">
        <f>IF(G83&gt;0,G83,F82*F79)</f>
        <v>4000</v>
      </c>
      <c r="G83" s="2295">
        <v>0</v>
      </c>
      <c r="H83" s="868" t="s">
        <v>137</v>
      </c>
      <c r="I83" s="1665"/>
      <c r="J83" s="2293" t="s">
        <v>1747</v>
      </c>
      <c r="K83" s="2296">
        <f>$N$79/K82/M81</f>
        <v>1.1595983848084688</v>
      </c>
      <c r="L83" s="1675" t="s">
        <v>1748</v>
      </c>
      <c r="M83" s="1657" t="s">
        <v>1749</v>
      </c>
      <c r="O83" s="1665"/>
    </row>
    <row r="84" spans="2:15">
      <c r="B84" s="2374" t="s">
        <v>1750</v>
      </c>
      <c r="C84" s="1656" t="s">
        <v>1674</v>
      </c>
      <c r="D84" s="2297" t="s">
        <v>1751</v>
      </c>
      <c r="E84" s="1673">
        <f>F54</f>
        <v>65</v>
      </c>
      <c r="F84" s="2360">
        <f>IF(E84&gt;0,F83/E84,F83/F54)</f>
        <v>61.53846153846154</v>
      </c>
      <c r="G84" s="2137"/>
      <c r="H84" s="2377" t="s">
        <v>1674</v>
      </c>
      <c r="I84" s="1665"/>
      <c r="J84" s="1664"/>
      <c r="O84" s="1665"/>
    </row>
    <row r="85" spans="2:15">
      <c r="B85" s="814" t="s">
        <v>1647</v>
      </c>
      <c r="F85" s="2360">
        <f>(F80-F81)/(100-F80)*F83</f>
        <v>467.53246753246754</v>
      </c>
      <c r="G85" s="2137"/>
      <c r="H85" t="s">
        <v>137</v>
      </c>
      <c r="I85" s="1665"/>
      <c r="J85" s="1656" t="s">
        <v>1752</v>
      </c>
      <c r="K85" s="2269">
        <f>F91</f>
        <v>6</v>
      </c>
      <c r="L85" s="1675" t="s">
        <v>1753</v>
      </c>
      <c r="O85" s="1665"/>
    </row>
    <row r="86" spans="2:15" ht="14.25">
      <c r="B86" s="2374" t="s">
        <v>1706</v>
      </c>
      <c r="F86" s="2132">
        <v>1.5</v>
      </c>
      <c r="G86" s="2137"/>
      <c r="H86" s="2378" t="s">
        <v>1754</v>
      </c>
      <c r="I86" s="1665"/>
      <c r="J86" s="1656" t="s">
        <v>1755</v>
      </c>
      <c r="K86" s="2298">
        <f>K83/K85</f>
        <v>0.19326639746807814</v>
      </c>
      <c r="L86" s="2299" t="s">
        <v>1816</v>
      </c>
      <c r="O86" s="1665"/>
    </row>
    <row r="87" spans="2:15">
      <c r="B87" s="814" t="s">
        <v>1635</v>
      </c>
      <c r="F87" s="2132">
        <v>0.85</v>
      </c>
      <c r="G87" s="2137"/>
      <c r="H87" s="2378" t="s">
        <v>1756</v>
      </c>
      <c r="I87" s="1665"/>
      <c r="O87" s="1665"/>
    </row>
    <row r="88" spans="2:15">
      <c r="B88" s="814" t="s">
        <v>1757</v>
      </c>
      <c r="F88" s="2300">
        <v>100</v>
      </c>
      <c r="G88" s="2137"/>
      <c r="H88" s="868" t="s">
        <v>1636</v>
      </c>
      <c r="I88" s="1665"/>
      <c r="O88" s="1665"/>
    </row>
    <row r="89" spans="2:15">
      <c r="B89" s="814" t="s">
        <v>1726</v>
      </c>
      <c r="F89" s="2379">
        <f>IF(G89&gt;0,G89,IF((F83/F54)/F67&lt;1,1,(F83/F54)/F67))</f>
        <v>1</v>
      </c>
      <c r="G89" s="2292">
        <v>0</v>
      </c>
      <c r="H89" s="868" t="s">
        <v>1758</v>
      </c>
      <c r="I89" s="1665"/>
      <c r="J89" s="2301" t="s">
        <v>1759</v>
      </c>
      <c r="K89" s="2558" t="s">
        <v>1760</v>
      </c>
      <c r="L89" s="2558"/>
      <c r="M89" s="2558"/>
      <c r="O89" s="1665"/>
    </row>
    <row r="90" spans="2:15" ht="15.75">
      <c r="B90" s="2277" t="s">
        <v>1761</v>
      </c>
      <c r="F90" s="2380">
        <f>(F80-F81)/F86</f>
        <v>6</v>
      </c>
      <c r="G90" s="2138"/>
      <c r="H90" s="2381" t="s">
        <v>1762</v>
      </c>
      <c r="I90" s="1665"/>
      <c r="J90" s="1664" t="str">
        <f>K89&amp;"n energiasisältö "&amp;N90</f>
        <v>Maakaasu tmsn energiasisältö MWh/tonni</v>
      </c>
      <c r="M90" s="2289">
        <v>12.861000000000001</v>
      </c>
      <c r="N90" s="2302" t="s">
        <v>1763</v>
      </c>
      <c r="O90" s="1665"/>
    </row>
    <row r="91" spans="2:15" ht="15.75">
      <c r="B91" s="2374" t="s">
        <v>1764</v>
      </c>
      <c r="F91" s="2380">
        <f>F89*F90*G91</f>
        <v>6</v>
      </c>
      <c r="G91" s="2361">
        <v>1</v>
      </c>
      <c r="H91" s="1656" t="s">
        <v>1765</v>
      </c>
      <c r="I91" s="1665"/>
      <c r="J91" s="2293" t="s">
        <v>1766</v>
      </c>
      <c r="K91" s="2294">
        <v>0.95</v>
      </c>
      <c r="O91" s="1665"/>
    </row>
    <row r="92" spans="2:15" ht="15">
      <c r="B92" s="2374" t="s">
        <v>1799</v>
      </c>
      <c r="E92" s="2362">
        <v>1</v>
      </c>
      <c r="F92" s="2379">
        <f>F89*E92</f>
        <v>1</v>
      </c>
      <c r="G92" s="2138"/>
      <c r="H92" s="1656" t="s">
        <v>1765</v>
      </c>
      <c r="J92" s="2363" t="str">
        <f>"Tarvitaan "&amp;K89</f>
        <v>Tarvitaan Maakaasu tms</v>
      </c>
      <c r="K92" s="2303">
        <f>$N$79/K91/M90</f>
        <v>5.3149267716167001E-2</v>
      </c>
      <c r="L92" s="1660" t="s">
        <v>1768</v>
      </c>
      <c r="M92" s="1657" t="s">
        <v>1769</v>
      </c>
      <c r="O92" s="1665"/>
    </row>
    <row r="93" spans="2:15" ht="15.75">
      <c r="B93" s="2277" t="s">
        <v>1800</v>
      </c>
      <c r="F93" s="2380">
        <f>F90+E92</f>
        <v>7</v>
      </c>
      <c r="G93" s="2138"/>
      <c r="H93" s="2381" t="s">
        <v>1762</v>
      </c>
      <c r="J93" s="2364" t="s">
        <v>1770</v>
      </c>
      <c r="K93" s="2298">
        <f>K92/K85</f>
        <v>8.8582112860278329E-3</v>
      </c>
      <c r="L93" s="2304" t="s">
        <v>1817</v>
      </c>
      <c r="O93" s="1665"/>
    </row>
    <row r="94" spans="2:15">
      <c r="B94" s="2374" t="s">
        <v>1801</v>
      </c>
      <c r="F94" s="2382">
        <f>SUM(F91:F92)</f>
        <v>7</v>
      </c>
      <c r="G94" s="2138"/>
      <c r="H94" s="1656" t="s">
        <v>1765</v>
      </c>
      <c r="I94" s="1665"/>
      <c r="J94" s="1664"/>
      <c r="K94" s="2305">
        <f>K93*1000</f>
        <v>8.8582112860278333</v>
      </c>
      <c r="L94" s="1660" t="s">
        <v>1771</v>
      </c>
      <c r="O94" s="1665"/>
    </row>
    <row r="95" spans="2:15">
      <c r="B95" s="2374" t="s">
        <v>1802</v>
      </c>
      <c r="F95" s="2383">
        <v>13</v>
      </c>
      <c r="G95" s="2138"/>
      <c r="H95" s="1656" t="s">
        <v>1803</v>
      </c>
      <c r="I95" s="1665"/>
      <c r="J95" s="1664"/>
      <c r="O95" s="1665"/>
    </row>
    <row r="96" spans="2:15" ht="13.5" thickBot="1">
      <c r="B96" s="2374" t="s">
        <v>1804</v>
      </c>
      <c r="F96" s="2382">
        <f>IF(G96&gt;0,G96,F94)</f>
        <v>7</v>
      </c>
      <c r="G96" s="1722">
        <v>0</v>
      </c>
      <c r="H96" s="1656" t="s">
        <v>1765</v>
      </c>
      <c r="I96" s="1665"/>
      <c r="J96" s="1664"/>
      <c r="O96" s="1665"/>
    </row>
    <row r="97" spans="2:15" ht="16.5" thickBot="1">
      <c r="B97" s="2374" t="s">
        <v>1805</v>
      </c>
      <c r="F97" s="2384">
        <f>IF(G97&gt;0,G97,F95*F94)</f>
        <v>91</v>
      </c>
      <c r="G97" s="1722">
        <v>0</v>
      </c>
      <c r="H97" s="1656" t="s">
        <v>1806</v>
      </c>
      <c r="I97" s="1665"/>
      <c r="J97" s="1664"/>
      <c r="O97" s="1665"/>
    </row>
    <row r="98" spans="2:15">
      <c r="B98" s="2374" t="s">
        <v>1807</v>
      </c>
      <c r="F98" s="2385">
        <f>((F88/1000)*F85)/F89/F87</f>
        <v>55.003819709702064</v>
      </c>
      <c r="G98" s="2140"/>
      <c r="H98" s="1656" t="s">
        <v>1808</v>
      </c>
      <c r="I98" s="1665"/>
      <c r="J98" s="1664"/>
      <c r="O98" s="1665"/>
    </row>
    <row r="99" spans="2:15">
      <c r="B99" s="2374" t="s">
        <v>1809</v>
      </c>
      <c r="F99" s="2386">
        <f>((F85*F88)/1000)*(F88/100)</f>
        <v>46.753246753246756</v>
      </c>
      <c r="G99" s="2140"/>
      <c r="H99" s="2378" t="s">
        <v>1810</v>
      </c>
      <c r="I99" s="1665"/>
      <c r="J99" s="1664"/>
      <c r="O99" s="1665"/>
    </row>
    <row r="100" spans="2:15">
      <c r="B100" s="2374" t="s">
        <v>1767</v>
      </c>
      <c r="F100" s="2386">
        <f>F99/F87</f>
        <v>55.003819709702064</v>
      </c>
      <c r="G100" s="2140"/>
      <c r="H100" s="2378" t="s">
        <v>1811</v>
      </c>
      <c r="J100" s="1664"/>
      <c r="O100" s="1665"/>
    </row>
    <row r="101" spans="2:15">
      <c r="B101" s="814" t="s">
        <v>1640</v>
      </c>
      <c r="F101" s="2134">
        <f>IF(F79&gt;0,F100/F79,0)</f>
        <v>55.003819709702064</v>
      </c>
      <c r="G101" s="2137"/>
      <c r="H101" s="868" t="s">
        <v>1643</v>
      </c>
      <c r="J101" s="1664"/>
      <c r="O101" s="1665"/>
    </row>
    <row r="102" spans="2:15" ht="13.5" thickBot="1">
      <c r="B102" s="814" t="s">
        <v>1641</v>
      </c>
      <c r="F102" s="2387">
        <f>F101/F82</f>
        <v>1.3750954927425516E-2</v>
      </c>
      <c r="G102" s="2138"/>
      <c r="H102" s="868" t="s">
        <v>1642</v>
      </c>
      <c r="I102" s="1665"/>
      <c r="J102" s="1664"/>
      <c r="O102" s="1665"/>
    </row>
    <row r="103" spans="2:15" ht="16.5" thickBot="1">
      <c r="B103" s="2388" t="s">
        <v>1772</v>
      </c>
      <c r="C103" s="2274"/>
      <c r="D103" s="2274"/>
      <c r="E103" s="2274"/>
      <c r="F103" s="2384">
        <f>IF(F91&gt;0,IF(F100&gt;0,F100/F91,0),0)</f>
        <v>9.1673032849503446</v>
      </c>
      <c r="G103" s="2389" t="str">
        <f>IF(G91&lt;1%,"Rivin G89 %-arvo pieni?","")</f>
        <v/>
      </c>
      <c r="H103" s="2381" t="s">
        <v>1773</v>
      </c>
      <c r="I103" s="1665"/>
      <c r="J103" s="1664"/>
      <c r="O103" s="1665"/>
    </row>
    <row r="104" spans="2:15" ht="13.5" thickBot="1">
      <c r="B104" s="1670"/>
      <c r="C104" s="1671"/>
      <c r="D104" s="1671"/>
      <c r="E104" s="1671"/>
      <c r="F104" s="1671"/>
      <c r="G104" s="1671"/>
      <c r="H104" s="1671"/>
      <c r="I104" s="2286"/>
      <c r="J104" s="1670"/>
      <c r="K104" s="1671"/>
      <c r="L104" s="1671"/>
      <c r="M104" s="1671"/>
      <c r="N104" s="1671"/>
      <c r="O104" s="2286"/>
    </row>
    <row r="106" spans="2:15">
      <c r="B106" s="1656" t="s">
        <v>1774</v>
      </c>
      <c r="C106" s="2156" t="s">
        <v>1775</v>
      </c>
    </row>
    <row r="108" spans="2:15">
      <c r="B108" s="1656" t="s">
        <v>1776</v>
      </c>
      <c r="C108" s="2365">
        <v>20.399999999999999</v>
      </c>
    </row>
    <row r="110" spans="2:15" ht="29.25">
      <c r="K110" s="2390"/>
    </row>
    <row r="111" spans="2:15" ht="29.25">
      <c r="K111" s="2390"/>
    </row>
    <row r="112" spans="2:15" ht="33">
      <c r="K112" s="2391"/>
    </row>
    <row r="113" spans="11:11" ht="29.25">
      <c r="K113" s="2390"/>
    </row>
    <row r="114" spans="11:11" ht="29.25">
      <c r="K114" s="2390"/>
    </row>
    <row r="115" spans="11:11" ht="29.25">
      <c r="K115" s="2390"/>
    </row>
    <row r="116" spans="11:11" ht="29.25">
      <c r="K116" s="2390"/>
    </row>
    <row r="117" spans="11:11" ht="29.25">
      <c r="K117" s="2390"/>
    </row>
    <row r="118" spans="11:11" ht="29.25">
      <c r="K118" s="2390"/>
    </row>
  </sheetData>
  <sheetProtection sheet="1" formatCells="0" formatColumns="0" formatRows="0"/>
  <mergeCells count="30">
    <mergeCell ref="C44:E44"/>
    <mergeCell ref="F44:L44"/>
    <mergeCell ref="M58:N58"/>
    <mergeCell ref="K89:M89"/>
    <mergeCell ref="C47:E47"/>
    <mergeCell ref="F47:L47"/>
    <mergeCell ref="C48:E48"/>
    <mergeCell ref="F48:L48"/>
    <mergeCell ref="M56:N56"/>
    <mergeCell ref="M57:N57"/>
    <mergeCell ref="C45:E45"/>
    <mergeCell ref="K45:L45"/>
    <mergeCell ref="M45:M46"/>
    <mergeCell ref="N45:N46"/>
    <mergeCell ref="C46:E46"/>
    <mergeCell ref="K46:L46"/>
    <mergeCell ref="E4:F4"/>
    <mergeCell ref="I4:J4"/>
    <mergeCell ref="M4:N4"/>
    <mergeCell ref="Q4:R4"/>
    <mergeCell ref="C30:E30"/>
    <mergeCell ref="P2:R2"/>
    <mergeCell ref="A3:B3"/>
    <mergeCell ref="E3:F3"/>
    <mergeCell ref="I3:J3"/>
    <mergeCell ref="M3:N3"/>
    <mergeCell ref="Q3:R3"/>
    <mergeCell ref="E2:G2"/>
    <mergeCell ref="H2:J2"/>
    <mergeCell ref="L2:N2"/>
  </mergeCells>
  <conditionalFormatting sqref="F71">
    <cfRule type="cellIs" dxfId="70" priority="3" operator="greaterThan">
      <formula>$E$71</formula>
    </cfRule>
  </conditionalFormatting>
  <conditionalFormatting sqref="G56">
    <cfRule type="cellIs" dxfId="69" priority="11" operator="greaterThan">
      <formula>0</formula>
    </cfRule>
  </conditionalFormatting>
  <conditionalFormatting sqref="G63">
    <cfRule type="cellIs" dxfId="68" priority="10" operator="greaterThan">
      <formula>0</formula>
    </cfRule>
  </conditionalFormatting>
  <conditionalFormatting sqref="G79 G82:G83 G89">
    <cfRule type="cellIs" dxfId="67" priority="9" operator="greaterThan">
      <formula>0</formula>
    </cfRule>
  </conditionalFormatting>
  <conditionalFormatting sqref="G96:G97">
    <cfRule type="cellIs" dxfId="66" priority="1" operator="greaterThan">
      <formula>0</formula>
    </cfRule>
  </conditionalFormatting>
  <conditionalFormatting sqref="M56:M57">
    <cfRule type="cellIs" dxfId="65" priority="8" operator="greaterThan">
      <formula>0</formula>
    </cfRule>
  </conditionalFormatting>
  <conditionalFormatting sqref="M59:M60">
    <cfRule type="cellIs" dxfId="64" priority="7" operator="greaterThan">
      <formula>0</formula>
    </cfRule>
  </conditionalFormatting>
  <conditionalFormatting sqref="M62">
    <cfRule type="cellIs" dxfId="63" priority="4" operator="greaterThan">
      <formula>0</formula>
    </cfRule>
  </conditionalFormatting>
  <conditionalFormatting sqref="M64">
    <cfRule type="cellIs" dxfId="62" priority="5" operator="greaterThan">
      <formula>0</formula>
    </cfRule>
  </conditionalFormatting>
  <conditionalFormatting sqref="M68">
    <cfRule type="cellIs" dxfId="61" priority="6" operator="greaterThan">
      <formula>0</formula>
    </cfRule>
  </conditionalFormatting>
  <conditionalFormatting sqref="V29">
    <cfRule type="cellIs" dxfId="60" priority="2" operator="greaterThan">
      <formula>1</formula>
    </cfRule>
  </conditionalFormatting>
  <dataValidations count="1">
    <dataValidation type="decimal" errorStyle="warning" operator="lessThan" allowBlank="1" showErrorMessage="1" errorTitle="Mahdollinen virhe!" error="Työmäärän tuntilukeman ollessa 1 tai suurempi tarkoittaa, että jokaista kuivurin kuivaustuntia on  ihmistyötä. Onko näin? Oletus on, että lukema olisi alle 1 h/kuivuritunti eli esim. 0,1 h/kuivurin tunti" sqref="C38" xr:uid="{00000000-0002-0000-0000-000000000000}">
      <formula1>0.9</formula1>
    </dataValidation>
  </dataValidations>
  <hyperlinks>
    <hyperlink ref="C106" r:id="rId1" xr:uid="{00000000-0004-0000-0000-000000000000}"/>
    <hyperlink ref="C5" location="Tilavuuden_mitoitus_m3_puimurin_päiväpuintikapasiteetti_huomioiden" display="Laske kokolaskurilla" xr:uid="{00000000-0004-0000-0000-000001000000}"/>
    <hyperlink ref="E27" location="Kuivauspolttoöljynmäärä" display="Katso laskuri" xr:uid="{00000000-0004-0000-0000-000002000000}"/>
    <hyperlink ref="C8" location="Kuivurin_käyttö_yhteensä_h___vuosi" display="Laske Ajankäyttölaskurilla" xr:uid="{00000000-0004-0000-0000-000003000000}"/>
  </hyperlinks>
  <pageMargins left="0.7" right="0.7" top="0.75" bottom="0.75" header="0.3" footer="0.3"/>
  <pageSetup paperSize="9" orientation="portrait" horizontalDpi="4294967293" verticalDpi="4294967293"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Lähtötiedot!$C$97:$C$98</xm:f>
          </x14:formula1>
          <xm:sqref>E3:F3 I3:J3 M3:N3 Q3:R3</xm:sqref>
        </x14:dataValidation>
        <x14:dataValidation type="list" allowBlank="1" showInputMessage="1" showErrorMessage="1" xr:uid="{00000000-0002-0000-0000-000002000000}">
          <x14:formula1>
            <xm:f>Lähtötiedot!$A$88:$A$93</xm:f>
          </x14:formula1>
          <xm:sqref>W27:W28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95"/>
  <sheetViews>
    <sheetView zoomScale="80" zoomScaleNormal="80" zoomScaleSheetLayoutView="70" workbookViewId="0">
      <selection activeCell="G17" sqref="G17"/>
    </sheetView>
  </sheetViews>
  <sheetFormatPr defaultColWidth="11.42578125" defaultRowHeight="12.75"/>
  <cols>
    <col min="1" max="1" width="26.28515625" style="103" customWidth="1"/>
    <col min="2" max="2" width="12.140625" style="103" customWidth="1"/>
    <col min="3" max="3" width="8.7109375" style="103" customWidth="1"/>
    <col min="4" max="4" width="5.140625" style="103" hidden="1" customWidth="1"/>
    <col min="5" max="5" width="5.7109375" style="103" hidden="1" customWidth="1"/>
    <col min="6" max="6" width="13.5703125" style="103" customWidth="1"/>
    <col min="7" max="7" width="13.42578125" style="103" customWidth="1"/>
    <col min="8" max="8" width="12.28515625" style="103" customWidth="1"/>
    <col min="9" max="9" width="7" style="103" hidden="1" customWidth="1"/>
    <col min="10" max="10" width="13.140625" style="103" hidden="1" customWidth="1"/>
    <col min="11" max="11" width="11.140625" style="103" hidden="1" customWidth="1"/>
    <col min="12" max="12" width="12.7109375" style="103" hidden="1" customWidth="1"/>
    <col min="13" max="13" width="14.28515625" style="103" bestFit="1" customWidth="1"/>
    <col min="14" max="14" width="9.28515625" style="103" customWidth="1"/>
    <col min="15" max="15" width="9.5703125" style="103" hidden="1" customWidth="1"/>
    <col min="16" max="16" width="11.140625" style="103" hidden="1" customWidth="1"/>
    <col min="17" max="17" width="15" style="103" customWidth="1"/>
    <col min="18" max="18" width="11.42578125" style="103"/>
    <col min="19" max="20" width="10.42578125" style="103" customWidth="1"/>
    <col min="21" max="21" width="13.28515625" style="103" customWidth="1"/>
    <col min="22" max="22" width="17.42578125" style="103" customWidth="1"/>
    <col min="23" max="23" width="10.7109375" style="103" customWidth="1"/>
    <col min="24" max="24" width="5.28515625" style="103" customWidth="1"/>
    <col min="25" max="25" width="3.28515625" style="103" customWidth="1"/>
    <col min="26" max="26" width="4.5703125" style="103" customWidth="1"/>
    <col min="27" max="27" width="14.7109375" style="103" hidden="1" customWidth="1"/>
    <col min="28" max="28" width="10" style="103" customWidth="1"/>
    <col min="29" max="29" width="8.140625" style="103" customWidth="1"/>
    <col min="30" max="30" width="11.42578125" style="103" customWidth="1"/>
    <col min="31" max="31" width="13.42578125" style="103" hidden="1" customWidth="1"/>
    <col min="32" max="32" width="11.42578125" style="103" customWidth="1"/>
    <col min="33" max="33" width="12.85546875" style="103" customWidth="1"/>
    <col min="34" max="34" width="3.140625" style="103" hidden="1" customWidth="1"/>
    <col min="35" max="35" width="11.42578125" style="103" hidden="1" customWidth="1"/>
    <col min="36" max="36" width="13" style="103" hidden="1" customWidth="1"/>
    <col min="37" max="37" width="15.140625" style="103" hidden="1" customWidth="1"/>
    <col min="38" max="38" width="12.85546875" style="103" hidden="1" customWidth="1"/>
    <col min="39" max="39" width="11.42578125" style="103" hidden="1" customWidth="1"/>
    <col min="40" max="40" width="13.7109375" style="103" hidden="1" customWidth="1"/>
    <col min="41" max="41" width="11.42578125" style="103" hidden="1" customWidth="1"/>
    <col min="42" max="42" width="13.42578125" style="103" hidden="1" customWidth="1"/>
    <col min="43" max="43" width="11.42578125" style="103" hidden="1" customWidth="1"/>
    <col min="44" max="44" width="13.28515625" style="103" hidden="1" customWidth="1"/>
    <col min="45" max="45" width="5.140625" style="103" hidden="1" customWidth="1"/>
    <col min="46" max="55" width="11.42578125" style="103" hidden="1" customWidth="1"/>
    <col min="56" max="56" width="4.140625" style="103" hidden="1" customWidth="1"/>
    <col min="57" max="66" width="11.42578125" style="103" hidden="1" customWidth="1"/>
    <col min="67" max="67" width="7.85546875" style="103" customWidth="1"/>
    <col min="68" max="16384" width="11.42578125" style="103"/>
  </cols>
  <sheetData>
    <row r="1" spans="1:67" ht="15.75" customHeight="1">
      <c r="A1" s="104" t="s">
        <v>355</v>
      </c>
      <c r="B1" s="104"/>
      <c r="I1" s="104"/>
      <c r="W1" s="2641" t="s">
        <v>1820</v>
      </c>
      <c r="X1" s="2670" t="s">
        <v>258</v>
      </c>
      <c r="Y1" s="2674" t="s">
        <v>356</v>
      </c>
      <c r="Z1" s="2675" t="s">
        <v>357</v>
      </c>
      <c r="AA1" s="1406"/>
      <c r="AB1" s="2664" t="s">
        <v>358</v>
      </c>
    </row>
    <row r="2" spans="1:67" ht="13.5" customHeight="1" thickBot="1">
      <c r="A2" s="1738" t="s">
        <v>255</v>
      </c>
      <c r="M2" s="106" t="s">
        <v>290</v>
      </c>
      <c r="R2" s="899">
        <f>Lähtötiedot!C4</f>
        <v>2027</v>
      </c>
      <c r="W2" s="2642"/>
      <c r="X2" s="2670"/>
      <c r="Y2" s="2674"/>
      <c r="Z2" s="2675"/>
      <c r="AA2" s="1406"/>
      <c r="AB2" s="2664"/>
      <c r="AJ2" s="2614" t="s">
        <v>248</v>
      </c>
      <c r="AK2" s="2614"/>
      <c r="AL2" s="2614"/>
      <c r="AM2" s="2614"/>
      <c r="AN2" s="2614"/>
      <c r="AO2" s="2614"/>
      <c r="AP2" s="2614"/>
      <c r="AQ2" s="2614"/>
      <c r="AR2" s="2614"/>
    </row>
    <row r="3" spans="1:67" ht="13.5" customHeight="1" thickBot="1">
      <c r="A3" s="27"/>
      <c r="B3" s="106"/>
      <c r="C3" s="106"/>
      <c r="D3" s="106"/>
      <c r="E3" s="106"/>
      <c r="F3" s="106"/>
      <c r="G3" s="106"/>
      <c r="H3" s="106"/>
      <c r="I3" s="106"/>
      <c r="J3" s="107"/>
      <c r="K3" s="107"/>
      <c r="L3" s="107"/>
      <c r="M3" s="107"/>
      <c r="N3" s="2656" t="s">
        <v>291</v>
      </c>
      <c r="O3" s="2656"/>
      <c r="P3" s="2656"/>
      <c r="Q3" s="2656"/>
      <c r="R3" s="107"/>
      <c r="W3" s="2642"/>
      <c r="X3" s="2670"/>
      <c r="Y3" s="2674"/>
      <c r="Z3" s="2675"/>
      <c r="AA3" s="1406"/>
      <c r="AB3" s="2664"/>
      <c r="AH3"/>
      <c r="AI3"/>
      <c r="AJ3" s="1251">
        <v>2</v>
      </c>
      <c r="AK3"/>
      <c r="AL3" s="1251">
        <v>3</v>
      </c>
      <c r="AM3"/>
      <c r="AN3" s="1251">
        <v>4</v>
      </c>
      <c r="AO3"/>
      <c r="AP3" s="1251">
        <v>5</v>
      </c>
      <c r="AQ3"/>
      <c r="AR3" s="1251">
        <v>6</v>
      </c>
      <c r="AT3" s="2661" t="s">
        <v>254</v>
      </c>
      <c r="AU3" s="2662"/>
      <c r="AV3" s="2662"/>
      <c r="AW3" s="2662"/>
      <c r="AX3" s="2662"/>
      <c r="AY3" s="2662"/>
      <c r="AZ3" s="2662"/>
      <c r="BA3" s="2662"/>
      <c r="BB3" s="2662"/>
      <c r="BC3" s="2663"/>
      <c r="BE3" s="2661" t="s">
        <v>254</v>
      </c>
      <c r="BF3" s="2662"/>
      <c r="BG3" s="2662"/>
      <c r="BH3" s="2662"/>
      <c r="BI3" s="2662"/>
      <c r="BJ3" s="2662"/>
      <c r="BK3" s="2662"/>
      <c r="BL3" s="2662"/>
      <c r="BM3" s="2662"/>
      <c r="BN3" s="2663"/>
    </row>
    <row r="4" spans="1:67" s="111" customFormat="1" ht="82.5" customHeight="1" thickBot="1">
      <c r="A4" s="992" t="s">
        <v>359</v>
      </c>
      <c r="B4" s="108" t="s">
        <v>188</v>
      </c>
      <c r="C4" s="108" t="s">
        <v>294</v>
      </c>
      <c r="D4" s="108" t="s">
        <v>258</v>
      </c>
      <c r="E4" s="109" t="s">
        <v>295</v>
      </c>
      <c r="F4" s="994" t="s">
        <v>296</v>
      </c>
      <c r="G4" s="2528" t="s">
        <v>1959</v>
      </c>
      <c r="H4" s="995" t="s">
        <v>298</v>
      </c>
      <c r="I4" s="992" t="s">
        <v>299</v>
      </c>
      <c r="J4" s="992" t="s">
        <v>300</v>
      </c>
      <c r="K4" s="992" t="s">
        <v>301</v>
      </c>
      <c r="L4" s="992" t="s">
        <v>302</v>
      </c>
      <c r="M4" s="992" t="s">
        <v>303</v>
      </c>
      <c r="N4" s="992" t="s">
        <v>251</v>
      </c>
      <c r="O4" s="997" t="s">
        <v>257</v>
      </c>
      <c r="P4" s="108" t="s">
        <v>252</v>
      </c>
      <c r="Q4" s="109" t="s">
        <v>304</v>
      </c>
      <c r="R4" s="1607" t="s">
        <v>1960</v>
      </c>
      <c r="S4" s="1607" t="s">
        <v>360</v>
      </c>
      <c r="T4" s="1607" t="s">
        <v>361</v>
      </c>
      <c r="U4" s="1607" t="s">
        <v>362</v>
      </c>
      <c r="V4" s="992" t="s">
        <v>308</v>
      </c>
      <c r="W4" s="2643"/>
      <c r="X4" s="2670"/>
      <c r="Y4" s="2674"/>
      <c r="Z4" s="2676"/>
      <c r="AA4" s="1407" t="s">
        <v>261</v>
      </c>
      <c r="AB4" s="2665"/>
      <c r="AC4" s="1395" t="s">
        <v>262</v>
      </c>
      <c r="AD4" s="1395" t="s">
        <v>309</v>
      </c>
      <c r="AE4" s="1395" t="s">
        <v>264</v>
      </c>
      <c r="AF4" s="1395" t="s">
        <v>265</v>
      </c>
      <c r="AG4" s="1395" t="s">
        <v>266</v>
      </c>
      <c r="AH4"/>
      <c r="AI4" s="1395" t="s">
        <v>267</v>
      </c>
      <c r="AJ4" s="1395" t="s">
        <v>264</v>
      </c>
      <c r="AK4" s="1395" t="s">
        <v>268</v>
      </c>
      <c r="AL4" s="1395" t="s">
        <v>264</v>
      </c>
      <c r="AM4" s="1395" t="s">
        <v>269</v>
      </c>
      <c r="AN4" s="1395" t="s">
        <v>264</v>
      </c>
      <c r="AO4" s="1395" t="s">
        <v>270</v>
      </c>
      <c r="AP4" s="1395" t="s">
        <v>264</v>
      </c>
      <c r="AQ4" s="1395" t="s">
        <v>271</v>
      </c>
      <c r="AR4" s="1395" t="s">
        <v>264</v>
      </c>
      <c r="AT4" s="1395" t="s">
        <v>272</v>
      </c>
      <c r="AU4" s="1395" t="s">
        <v>273</v>
      </c>
      <c r="AV4" s="1395" t="s">
        <v>274</v>
      </c>
      <c r="AW4" s="1395" t="s">
        <v>273</v>
      </c>
      <c r="AX4" s="1395" t="s">
        <v>275</v>
      </c>
      <c r="AY4" s="1395" t="s">
        <v>273</v>
      </c>
      <c r="AZ4" s="1395" t="s">
        <v>276</v>
      </c>
      <c r="BA4" s="1395" t="s">
        <v>273</v>
      </c>
      <c r="BB4" s="1395" t="s">
        <v>277</v>
      </c>
      <c r="BC4" s="1395" t="s">
        <v>273</v>
      </c>
      <c r="BD4" s="1395"/>
      <c r="BE4" s="1395" t="s">
        <v>278</v>
      </c>
      <c r="BF4" s="1395" t="s">
        <v>279</v>
      </c>
      <c r="BG4" s="1395" t="s">
        <v>280</v>
      </c>
      <c r="BH4" s="1395" t="s">
        <v>279</v>
      </c>
      <c r="BI4" s="1395" t="s">
        <v>281</v>
      </c>
      <c r="BJ4" s="1395" t="s">
        <v>282</v>
      </c>
      <c r="BK4" s="1395" t="s">
        <v>283</v>
      </c>
      <c r="BL4" s="1395" t="s">
        <v>279</v>
      </c>
      <c r="BM4" s="1395" t="s">
        <v>284</v>
      </c>
      <c r="BN4" s="1395" t="s">
        <v>279</v>
      </c>
      <c r="BO4" s="2407" t="s">
        <v>1821</v>
      </c>
    </row>
    <row r="5" spans="1:67">
      <c r="A5" s="112" t="s">
        <v>364</v>
      </c>
      <c r="B5" s="113"/>
      <c r="C5" s="113">
        <v>10</v>
      </c>
      <c r="D5" s="1503" t="b">
        <f>_xlfn.IFNA(W5=VLOOKUP(W5,Lähtötiedot!$A$60:$A$70,1,FALSE),"VÄÄRIN!")</f>
        <v>1</v>
      </c>
      <c r="E5" s="116">
        <v>0</v>
      </c>
      <c r="F5" s="1126">
        <v>0</v>
      </c>
      <c r="G5" s="996">
        <v>0</v>
      </c>
      <c r="H5" s="1918">
        <f>IF(F5&gt;G5,F5,G5)</f>
        <v>0</v>
      </c>
      <c r="I5" s="993">
        <f t="shared" ref="I5:I20" si="0">IF(B5&lt;&gt;"",$R$2-B5,0)</f>
        <v>0</v>
      </c>
      <c r="J5" s="118">
        <f t="shared" ref="J5:J19" si="1">IF(Z5="T",H5-(H5/IF(C5&gt;0,C5,1)),H5-(M5))</f>
        <v>0</v>
      </c>
      <c r="K5" s="1127">
        <f t="shared" ref="K5:K18" si="2">H5/IF(C5&gt;0,C5,1)</f>
        <v>0</v>
      </c>
      <c r="L5" s="1127" t="e">
        <f>P5-Q5</f>
        <v>#VALUE!</v>
      </c>
      <c r="M5" s="118">
        <f t="shared" ref="M5:M20" si="3">IF(Z5="T",H5/IF(C5&gt;0,C5,1),P5-Q5)</f>
        <v>0</v>
      </c>
      <c r="N5" s="119">
        <v>0.01</v>
      </c>
      <c r="O5" s="85">
        <f t="shared" ref="O5:O20" si="4">IFERROR((N5*(1+N5)^C5)/(((1+N5)^C5)-1),1)</f>
        <v>0.10558207655117115</v>
      </c>
      <c r="P5" s="93" t="str">
        <f t="shared" ref="P5:P20" si="5">IF(Z5="A",IFERROR(ABS(PMT(N5,C5,H5,0,0)),0),"Ei käytössä")</f>
        <v>Ei käytössä</v>
      </c>
      <c r="Q5" s="120">
        <f t="shared" ref="Q5:Q20" si="6">IF(Z5="T",J5/2*N5,H5*N5)</f>
        <v>0</v>
      </c>
      <c r="R5" s="1558">
        <v>0</v>
      </c>
      <c r="S5" s="1556">
        <v>0</v>
      </c>
      <c r="T5" s="1556">
        <v>0</v>
      </c>
      <c r="U5" s="122">
        <v>0</v>
      </c>
      <c r="V5" s="123">
        <f>M5+Q5+R5+S5+T5+U5</f>
        <v>0</v>
      </c>
      <c r="W5" s="2409" t="s">
        <v>204</v>
      </c>
      <c r="X5" s="2394" t="str">
        <f>IF(AND(F5&gt;0,BO5&gt;0),"ok",IF(AND(F5&gt;0,W5="evl"),"Ok",IF(AND(F5&gt;0,W5="jatkoja"),"Ok",IF(F5=0,"","Virhe!"))))</f>
        <v/>
      </c>
      <c r="Y5" s="1604" t="s">
        <v>363</v>
      </c>
      <c r="Z5" s="1131" t="str">
        <f>IF(Lähtötiedot!$F$8&lt;&gt;"A","T","A")</f>
        <v>T</v>
      </c>
      <c r="AA5" s="1408">
        <f t="shared" ref="AA5:AA20" si="7">F5-M5</f>
        <v>0</v>
      </c>
      <c r="AB5" s="1192">
        <v>1</v>
      </c>
      <c r="AC5" s="1455">
        <v>0.04</v>
      </c>
      <c r="AD5" s="1402">
        <f t="shared" ref="AD5:AD20" si="8">AC5*F5*AB5</f>
        <v>0</v>
      </c>
      <c r="AE5" s="1402">
        <f t="shared" ref="AE5:AE20" si="9">(F5-AD5)*AB5</f>
        <v>0</v>
      </c>
      <c r="AF5" s="1192">
        <v>0.05</v>
      </c>
      <c r="AG5" s="1138">
        <f t="shared" ref="AG5:AG20" si="10">AF5*F5*AB5</f>
        <v>0</v>
      </c>
      <c r="AI5" s="1397">
        <f t="shared" ref="AI5:AI20" si="11">$AE5*$AC5*AB5</f>
        <v>0</v>
      </c>
      <c r="AJ5" s="1138">
        <f t="shared" ref="AJ5:AJ20" si="12">ABS(((-1+$AC5)^AJ$3)*$H5)*AB5</f>
        <v>0</v>
      </c>
      <c r="AK5" s="1397">
        <f t="shared" ref="AK5:AK20" si="13">AJ5*$AC5*$AB$6</f>
        <v>0</v>
      </c>
      <c r="AL5" s="1138">
        <f t="shared" ref="AL5:AL20" si="14">ABS(((-1+$AC5)^AL$3)*$H5)*AB5</f>
        <v>0</v>
      </c>
      <c r="AM5" s="1397">
        <f t="shared" ref="AM5:AM20" si="15">AL5*$AC5*$AB$6</f>
        <v>0</v>
      </c>
      <c r="AN5" s="1138">
        <f t="shared" ref="AN5:AN20" si="16">ABS(((-1+$AC5)^AN$3)*$H5)*AB5</f>
        <v>0</v>
      </c>
      <c r="AO5" s="1397">
        <f t="shared" ref="AO5:AO20" si="17">AN5*$AC5*$AB$6</f>
        <v>0</v>
      </c>
      <c r="AP5" s="1138">
        <f t="shared" ref="AP5:AP20" si="18">ABS(((-1+$AC5)^AP$3)*$H5)*AB5</f>
        <v>0</v>
      </c>
      <c r="AQ5" s="1397">
        <f t="shared" ref="AQ5:AQ20" si="19">AP5*$AC5*$AB$6</f>
        <v>0</v>
      </c>
      <c r="AR5" s="1138">
        <f t="shared" ref="AR5:AR20" si="20">ABS(((-1+$AC5)^AR$3)*$H5)*AB5</f>
        <v>0</v>
      </c>
      <c r="AT5" s="1397">
        <f t="shared" ref="AT5:AT20" si="21">IF(AA5&gt;0,ABS(PMT($N5,$C5,$F5,0))-($N5*$AA5),0)</f>
        <v>0</v>
      </c>
      <c r="AU5" s="1138">
        <f t="shared" ref="AU5:AU20" si="22">$AA5-ABS($AT5)</f>
        <v>0</v>
      </c>
      <c r="AV5" s="1397">
        <f>IF(AU5&gt;0,ABS(PMT($N5,$C5,$F5,0))-($N5*AU5),0)</f>
        <v>0</v>
      </c>
      <c r="AW5" s="1138">
        <f>AU5-ABS(AV5)</f>
        <v>0</v>
      </c>
      <c r="AX5" s="1397">
        <f>IF(AW5&gt;0,ABS(PMT($N5,$C5,$F5,0))-($N5*AW5),0)</f>
        <v>0</v>
      </c>
      <c r="AY5" s="1138">
        <f>AW5-ABS(AX5)</f>
        <v>0</v>
      </c>
      <c r="AZ5" s="1397">
        <f>IF(AY5&gt;0,ABS(PMT($N5,$C5,$F5,0))-($N5*AY5),0)</f>
        <v>0</v>
      </c>
      <c r="BA5" s="1138">
        <f>AY5-ABS(AZ5)</f>
        <v>0</v>
      </c>
      <c r="BB5" s="1397">
        <f>IF(BA5&gt;0,ABS(PMT($N5,$C5,$F5,0))-($N5*BA5),0)</f>
        <v>0</v>
      </c>
      <c r="BC5" s="1138">
        <f>BA5-ABS(BB5)</f>
        <v>0</v>
      </c>
      <c r="BD5" s="1138"/>
      <c r="BE5" s="1397">
        <f t="shared" ref="BE5:BE20" si="23">IF(AA5&gt;0,$M5,0)</f>
        <v>0</v>
      </c>
      <c r="BF5" s="1138">
        <f t="shared" ref="BF5:BF20" si="24">AA5-BE5</f>
        <v>0</v>
      </c>
      <c r="BG5" s="1397">
        <f>IF(BF5&gt;0,$M5,0)</f>
        <v>0</v>
      </c>
      <c r="BH5" s="1138">
        <f>BF5-BG5</f>
        <v>0</v>
      </c>
      <c r="BI5" s="1397">
        <f>IF(BH5&gt;0,$M5,0)</f>
        <v>0</v>
      </c>
      <c r="BJ5" s="1138">
        <f>BH5-BI5</f>
        <v>0</v>
      </c>
      <c r="BK5" s="1397">
        <f>IF(BJ5&gt;0,$M5,0)</f>
        <v>0</v>
      </c>
      <c r="BL5" s="1138">
        <f>BJ5-BK5</f>
        <v>0</v>
      </c>
      <c r="BM5" s="1397">
        <f>IF(BL5&gt;0,$M5,0)</f>
        <v>0</v>
      </c>
      <c r="BN5" s="1138">
        <f>BL5-BM5</f>
        <v>0</v>
      </c>
      <c r="BO5" s="1131">
        <f>VLOOKUP(W5,Lähtötiedot!$C$102:$D$112,2,FALSE)</f>
        <v>0</v>
      </c>
    </row>
    <row r="6" spans="1:67">
      <c r="A6" s="112" t="s">
        <v>1916</v>
      </c>
      <c r="B6" s="113"/>
      <c r="C6" s="113">
        <v>15</v>
      </c>
      <c r="D6" s="1503" t="b">
        <f>_xlfn.IFNA(W6=VLOOKUP(W6,Lähtötiedot!$A$60:$A$70,1,FALSE),"VÄÄRIN!")</f>
        <v>1</v>
      </c>
      <c r="E6" s="116">
        <v>0</v>
      </c>
      <c r="F6" s="1126">
        <v>0</v>
      </c>
      <c r="G6" s="996">
        <v>0</v>
      </c>
      <c r="H6" s="1918">
        <f t="shared" ref="H6:H20" si="25">IF(F6&gt;G6,F6,G6)</f>
        <v>0</v>
      </c>
      <c r="I6" s="993">
        <f t="shared" si="0"/>
        <v>0</v>
      </c>
      <c r="J6" s="118">
        <f t="shared" si="1"/>
        <v>0</v>
      </c>
      <c r="K6" s="1127">
        <f t="shared" si="2"/>
        <v>0</v>
      </c>
      <c r="L6" s="1127" t="e">
        <f t="shared" ref="L6:L20" si="26">P6-Q6</f>
        <v>#VALUE!</v>
      </c>
      <c r="M6" s="118">
        <f t="shared" si="3"/>
        <v>0</v>
      </c>
      <c r="N6" s="119">
        <v>0.01</v>
      </c>
      <c r="O6" s="85">
        <f t="shared" si="4"/>
        <v>7.2123780184907699E-2</v>
      </c>
      <c r="P6" s="93" t="str">
        <f t="shared" si="5"/>
        <v>Ei käytössä</v>
      </c>
      <c r="Q6" s="120">
        <f t="shared" si="6"/>
        <v>0</v>
      </c>
      <c r="R6" s="1558">
        <v>0</v>
      </c>
      <c r="S6" s="1556">
        <v>0</v>
      </c>
      <c r="T6" s="1556">
        <v>0</v>
      </c>
      <c r="U6" s="122">
        <v>0</v>
      </c>
      <c r="V6" s="123">
        <f t="shared" ref="V6:V19" si="27">M6+Q6+R6+S6+T6+U6</f>
        <v>0</v>
      </c>
      <c r="W6" s="2409" t="s">
        <v>204</v>
      </c>
      <c r="X6" s="2394" t="str">
        <f t="shared" ref="X6:X19" si="28">IF(AND(F6&gt;0,BO6&gt;0),"ok",IF(AND(F6&gt;0,W6="evl"),"Ok",IF(AND(F6&gt;0,W6="jatkoja"),"Ok",IF(F6=0,"","Virhe!"))))</f>
        <v/>
      </c>
      <c r="Y6" s="1604" t="s">
        <v>363</v>
      </c>
      <c r="Z6" s="1131" t="str">
        <f>IF(Lähtötiedot!$F$8&lt;&gt;"A","T","A")</f>
        <v>T</v>
      </c>
      <c r="AA6" s="1408">
        <f t="shared" si="7"/>
        <v>0</v>
      </c>
      <c r="AB6" s="1192">
        <v>1</v>
      </c>
      <c r="AC6" s="1192">
        <v>0.04</v>
      </c>
      <c r="AD6" s="1402">
        <f t="shared" si="8"/>
        <v>0</v>
      </c>
      <c r="AE6" s="1402">
        <f t="shared" si="9"/>
        <v>0</v>
      </c>
      <c r="AF6" s="1192">
        <v>0.05</v>
      </c>
      <c r="AG6" s="1138">
        <f t="shared" si="10"/>
        <v>0</v>
      </c>
      <c r="AI6" s="1397">
        <f t="shared" si="11"/>
        <v>0</v>
      </c>
      <c r="AJ6" s="1138">
        <f t="shared" si="12"/>
        <v>0</v>
      </c>
      <c r="AK6" s="1397">
        <f t="shared" si="13"/>
        <v>0</v>
      </c>
      <c r="AL6" s="1138">
        <f t="shared" si="14"/>
        <v>0</v>
      </c>
      <c r="AM6" s="1397">
        <f t="shared" si="15"/>
        <v>0</v>
      </c>
      <c r="AN6" s="1138">
        <f t="shared" si="16"/>
        <v>0</v>
      </c>
      <c r="AO6" s="1397">
        <f t="shared" si="17"/>
        <v>0</v>
      </c>
      <c r="AP6" s="1138">
        <f t="shared" si="18"/>
        <v>0</v>
      </c>
      <c r="AQ6" s="1397">
        <f t="shared" si="19"/>
        <v>0</v>
      </c>
      <c r="AR6" s="1138">
        <f t="shared" si="20"/>
        <v>0</v>
      </c>
      <c r="AT6" s="1397">
        <f t="shared" si="21"/>
        <v>0</v>
      </c>
      <c r="AU6" s="1138">
        <f t="shared" si="22"/>
        <v>0</v>
      </c>
      <c r="AV6" s="1397">
        <f t="shared" ref="AV6:AV20" si="29">IF(AU6&gt;0,ABS(PMT($N6,$C6,$F6,0))-($N6*AU6),0)</f>
        <v>0</v>
      </c>
      <c r="AW6" s="1138">
        <f t="shared" ref="AW6:AW20" si="30">AU6-ABS(AV6)</f>
        <v>0</v>
      </c>
      <c r="AX6" s="1397">
        <f>IF(AW6&gt;0,ABS(PMT($N6,$C6,$F6,0))-($N6*AW6),0)</f>
        <v>0</v>
      </c>
      <c r="AY6" s="1138">
        <f t="shared" ref="AY6:AY20" si="31">AW6-ABS(AX6)</f>
        <v>0</v>
      </c>
      <c r="AZ6" s="1397">
        <f t="shared" ref="AZ6:AZ20" si="32">IF(AY6&gt;0,ABS(PMT($N6,$C6,$F6,0))-($N6*AY6),0)</f>
        <v>0</v>
      </c>
      <c r="BA6" s="1138">
        <f t="shared" ref="BA6:BA20" si="33">AY6-ABS(AZ6)</f>
        <v>0</v>
      </c>
      <c r="BB6" s="1397">
        <f t="shared" ref="BB6:BB20" si="34">IF(BA6&gt;0,ABS(PMT($N6,$C6,$F6,0))-($N6*BA6),0)</f>
        <v>0</v>
      </c>
      <c r="BC6" s="1138">
        <f t="shared" ref="BC6:BC20" si="35">BA6-ABS(BB6)</f>
        <v>0</v>
      </c>
      <c r="BD6" s="1138"/>
      <c r="BE6" s="1397">
        <f t="shared" si="23"/>
        <v>0</v>
      </c>
      <c r="BF6" s="1138">
        <f t="shared" si="24"/>
        <v>0</v>
      </c>
      <c r="BG6" s="1397">
        <f t="shared" ref="BG6:BG20" si="36">IF(BF6&gt;0,$M6,0)</f>
        <v>0</v>
      </c>
      <c r="BH6" s="1138">
        <f t="shared" ref="BH6:BH20" si="37">BF6-BG6</f>
        <v>0</v>
      </c>
      <c r="BI6" s="1397">
        <f t="shared" ref="BI6:BI20" si="38">IF(BH6&gt;0,$M6,0)</f>
        <v>0</v>
      </c>
      <c r="BJ6" s="1138">
        <f t="shared" ref="BJ6:BJ20" si="39">BH6-BI6</f>
        <v>0</v>
      </c>
      <c r="BK6" s="1397">
        <f t="shared" ref="BK6:BK20" si="40">IF(BJ6&gt;0,$M6,0)</f>
        <v>0</v>
      </c>
      <c r="BL6" s="1138">
        <f t="shared" ref="BL6:BL20" si="41">BJ6-BK6</f>
        <v>0</v>
      </c>
      <c r="BM6" s="1397">
        <f t="shared" ref="BM6:BM20" si="42">IF(BL6&gt;0,$M6,0)</f>
        <v>0</v>
      </c>
      <c r="BN6" s="1138">
        <f t="shared" ref="BN6:BN20" si="43">BL6-BM6</f>
        <v>0</v>
      </c>
      <c r="BO6" s="1131">
        <f>VLOOKUP(W6,Lähtötiedot!$C$102:$D$112,2,FALSE)</f>
        <v>0</v>
      </c>
    </row>
    <row r="7" spans="1:67">
      <c r="A7" s="112"/>
      <c r="B7" s="113"/>
      <c r="C7" s="124">
        <v>1</v>
      </c>
      <c r="D7" s="1503" t="b">
        <f>_xlfn.IFNA(W7=VLOOKUP(W7,Lähtötiedot!$A$60:$A$70,1,FALSE),"VÄÄRIN!")</f>
        <v>1</v>
      </c>
      <c r="E7" s="116">
        <v>0</v>
      </c>
      <c r="F7" s="1126">
        <v>0</v>
      </c>
      <c r="G7" s="996">
        <v>0</v>
      </c>
      <c r="H7" s="1918">
        <f t="shared" si="25"/>
        <v>0</v>
      </c>
      <c r="I7" s="993">
        <f t="shared" si="0"/>
        <v>0</v>
      </c>
      <c r="J7" s="118">
        <f t="shared" si="1"/>
        <v>0</v>
      </c>
      <c r="K7" s="1127">
        <f t="shared" si="2"/>
        <v>0</v>
      </c>
      <c r="L7" s="1127" t="e">
        <f t="shared" si="26"/>
        <v>#VALUE!</v>
      </c>
      <c r="M7" s="118">
        <f t="shared" si="3"/>
        <v>0</v>
      </c>
      <c r="N7" s="119">
        <v>0.01</v>
      </c>
      <c r="O7" s="85">
        <f t="shared" si="4"/>
        <v>1.0099999999999991</v>
      </c>
      <c r="P7" s="93" t="str">
        <f t="shared" si="5"/>
        <v>Ei käytössä</v>
      </c>
      <c r="Q7" s="120">
        <f t="shared" si="6"/>
        <v>0</v>
      </c>
      <c r="R7" s="1558">
        <v>0</v>
      </c>
      <c r="S7" s="1556">
        <v>0</v>
      </c>
      <c r="T7" s="1556">
        <v>0</v>
      </c>
      <c r="U7" s="122">
        <v>0</v>
      </c>
      <c r="V7" s="123">
        <f t="shared" si="27"/>
        <v>0</v>
      </c>
      <c r="W7" s="2409" t="s">
        <v>204</v>
      </c>
      <c r="X7" s="2394" t="str">
        <f t="shared" si="28"/>
        <v/>
      </c>
      <c r="Y7" s="1604" t="s">
        <v>363</v>
      </c>
      <c r="Z7" s="1131" t="str">
        <f>IF(Lähtötiedot!$F$8&lt;&gt;"A","T","A")</f>
        <v>T</v>
      </c>
      <c r="AA7" s="1408">
        <f t="shared" si="7"/>
        <v>0</v>
      </c>
      <c r="AB7" s="1192">
        <v>1</v>
      </c>
      <c r="AC7" s="1192">
        <v>0.04</v>
      </c>
      <c r="AD7" s="1402">
        <f t="shared" si="8"/>
        <v>0</v>
      </c>
      <c r="AE7" s="1402">
        <f t="shared" si="9"/>
        <v>0</v>
      </c>
      <c r="AF7" s="1192">
        <v>0.05</v>
      </c>
      <c r="AG7" s="1138">
        <f t="shared" si="10"/>
        <v>0</v>
      </c>
      <c r="AI7" s="1397">
        <f t="shared" si="11"/>
        <v>0</v>
      </c>
      <c r="AJ7" s="1138">
        <f t="shared" si="12"/>
        <v>0</v>
      </c>
      <c r="AK7" s="1397">
        <f t="shared" si="13"/>
        <v>0</v>
      </c>
      <c r="AL7" s="1138">
        <f t="shared" si="14"/>
        <v>0</v>
      </c>
      <c r="AM7" s="1397">
        <f t="shared" si="15"/>
        <v>0</v>
      </c>
      <c r="AN7" s="1138">
        <f t="shared" si="16"/>
        <v>0</v>
      </c>
      <c r="AO7" s="1397">
        <f t="shared" si="17"/>
        <v>0</v>
      </c>
      <c r="AP7" s="1138">
        <f t="shared" si="18"/>
        <v>0</v>
      </c>
      <c r="AQ7" s="1397">
        <f t="shared" si="19"/>
        <v>0</v>
      </c>
      <c r="AR7" s="1138">
        <f t="shared" si="20"/>
        <v>0</v>
      </c>
      <c r="AT7" s="1397">
        <f t="shared" si="21"/>
        <v>0</v>
      </c>
      <c r="AU7" s="1138">
        <f t="shared" si="22"/>
        <v>0</v>
      </c>
      <c r="AV7" s="1397">
        <f t="shared" si="29"/>
        <v>0</v>
      </c>
      <c r="AW7" s="1138">
        <f t="shared" si="30"/>
        <v>0</v>
      </c>
      <c r="AX7" s="1397">
        <f t="shared" ref="AX7:AX20" si="44">IF(AW7&gt;0,ABS(PMT($N7,$C7,$F7,0))-($N7*AW7),0)</f>
        <v>0</v>
      </c>
      <c r="AY7" s="1138">
        <f t="shared" si="31"/>
        <v>0</v>
      </c>
      <c r="AZ7" s="1397">
        <f t="shared" si="32"/>
        <v>0</v>
      </c>
      <c r="BA7" s="1138">
        <f t="shared" si="33"/>
        <v>0</v>
      </c>
      <c r="BB7" s="1397">
        <f t="shared" si="34"/>
        <v>0</v>
      </c>
      <c r="BC7" s="1138">
        <f t="shared" si="35"/>
        <v>0</v>
      </c>
      <c r="BD7" s="1138"/>
      <c r="BE7" s="1397">
        <f t="shared" si="23"/>
        <v>0</v>
      </c>
      <c r="BF7" s="1138">
        <f t="shared" si="24"/>
        <v>0</v>
      </c>
      <c r="BG7" s="1397">
        <f t="shared" si="36"/>
        <v>0</v>
      </c>
      <c r="BH7" s="1138">
        <f t="shared" si="37"/>
        <v>0</v>
      </c>
      <c r="BI7" s="1397">
        <f t="shared" si="38"/>
        <v>0</v>
      </c>
      <c r="BJ7" s="1138">
        <f t="shared" si="39"/>
        <v>0</v>
      </c>
      <c r="BK7" s="1397">
        <f t="shared" si="40"/>
        <v>0</v>
      </c>
      <c r="BL7" s="1138">
        <f t="shared" si="41"/>
        <v>0</v>
      </c>
      <c r="BM7" s="1397">
        <f t="shared" si="42"/>
        <v>0</v>
      </c>
      <c r="BN7" s="1138">
        <f t="shared" si="43"/>
        <v>0</v>
      </c>
      <c r="BO7" s="1131">
        <f>VLOOKUP(W7,Lähtötiedot!$C$102:$D$112,2,FALSE)</f>
        <v>0</v>
      </c>
    </row>
    <row r="8" spans="1:67">
      <c r="A8" s="112"/>
      <c r="B8" s="113"/>
      <c r="C8" s="124">
        <v>1</v>
      </c>
      <c r="D8" s="1503" t="b">
        <f>_xlfn.IFNA(W8=VLOOKUP(W8,Lähtötiedot!$A$60:$A$70,1,FALSE),"VÄÄRIN!")</f>
        <v>1</v>
      </c>
      <c r="E8" s="116">
        <v>0</v>
      </c>
      <c r="F8" s="1126">
        <v>0</v>
      </c>
      <c r="G8" s="996">
        <v>0</v>
      </c>
      <c r="H8" s="1918">
        <f t="shared" si="25"/>
        <v>0</v>
      </c>
      <c r="I8" s="993">
        <f t="shared" si="0"/>
        <v>0</v>
      </c>
      <c r="J8" s="118">
        <f t="shared" si="1"/>
        <v>0</v>
      </c>
      <c r="K8" s="1127">
        <f t="shared" si="2"/>
        <v>0</v>
      </c>
      <c r="L8" s="1127" t="e">
        <f t="shared" si="26"/>
        <v>#VALUE!</v>
      </c>
      <c r="M8" s="118">
        <f t="shared" si="3"/>
        <v>0</v>
      </c>
      <c r="N8" s="119">
        <v>0.01</v>
      </c>
      <c r="O8" s="85">
        <f t="shared" si="4"/>
        <v>1.0099999999999991</v>
      </c>
      <c r="P8" s="93" t="str">
        <f t="shared" si="5"/>
        <v>Ei käytössä</v>
      </c>
      <c r="Q8" s="120">
        <f t="shared" si="6"/>
        <v>0</v>
      </c>
      <c r="R8" s="1558">
        <v>0</v>
      </c>
      <c r="S8" s="1556">
        <v>0</v>
      </c>
      <c r="T8" s="1556">
        <v>0</v>
      </c>
      <c r="U8" s="122">
        <v>0</v>
      </c>
      <c r="V8" s="123">
        <f t="shared" si="27"/>
        <v>0</v>
      </c>
      <c r="W8" s="2409" t="s">
        <v>204</v>
      </c>
      <c r="X8" s="2394" t="str">
        <f t="shared" si="28"/>
        <v/>
      </c>
      <c r="Y8" s="1604" t="s">
        <v>363</v>
      </c>
      <c r="Z8" s="1131" t="str">
        <f>IF(Lähtötiedot!$F$8&lt;&gt;"A","T","A")</f>
        <v>T</v>
      </c>
      <c r="AA8" s="1408">
        <f t="shared" si="7"/>
        <v>0</v>
      </c>
      <c r="AB8" s="1192">
        <v>1</v>
      </c>
      <c r="AC8" s="1192">
        <v>0.04</v>
      </c>
      <c r="AD8" s="1402">
        <f t="shared" si="8"/>
        <v>0</v>
      </c>
      <c r="AE8" s="1402">
        <f t="shared" si="9"/>
        <v>0</v>
      </c>
      <c r="AF8" s="1192">
        <v>0.05</v>
      </c>
      <c r="AG8" s="1138">
        <f t="shared" si="10"/>
        <v>0</v>
      </c>
      <c r="AI8" s="1397">
        <f t="shared" si="11"/>
        <v>0</v>
      </c>
      <c r="AJ8" s="1138">
        <f t="shared" si="12"/>
        <v>0</v>
      </c>
      <c r="AK8" s="1397">
        <f t="shared" si="13"/>
        <v>0</v>
      </c>
      <c r="AL8" s="1138">
        <f t="shared" si="14"/>
        <v>0</v>
      </c>
      <c r="AM8" s="1397">
        <f t="shared" si="15"/>
        <v>0</v>
      </c>
      <c r="AN8" s="1138">
        <f t="shared" si="16"/>
        <v>0</v>
      </c>
      <c r="AO8" s="1397">
        <f t="shared" si="17"/>
        <v>0</v>
      </c>
      <c r="AP8" s="1138">
        <f t="shared" si="18"/>
        <v>0</v>
      </c>
      <c r="AQ8" s="1397">
        <f t="shared" si="19"/>
        <v>0</v>
      </c>
      <c r="AR8" s="1138">
        <f t="shared" si="20"/>
        <v>0</v>
      </c>
      <c r="AT8" s="1397">
        <f t="shared" si="21"/>
        <v>0</v>
      </c>
      <c r="AU8" s="1138">
        <f t="shared" si="22"/>
        <v>0</v>
      </c>
      <c r="AV8" s="1397">
        <f t="shared" si="29"/>
        <v>0</v>
      </c>
      <c r="AW8" s="1138">
        <f t="shared" si="30"/>
        <v>0</v>
      </c>
      <c r="AX8" s="1397">
        <f t="shared" si="44"/>
        <v>0</v>
      </c>
      <c r="AY8" s="1138">
        <f t="shared" si="31"/>
        <v>0</v>
      </c>
      <c r="AZ8" s="1397">
        <f t="shared" si="32"/>
        <v>0</v>
      </c>
      <c r="BA8" s="1138">
        <f t="shared" si="33"/>
        <v>0</v>
      </c>
      <c r="BB8" s="1397">
        <f t="shared" si="34"/>
        <v>0</v>
      </c>
      <c r="BC8" s="1138">
        <f t="shared" si="35"/>
        <v>0</v>
      </c>
      <c r="BD8" s="1138"/>
      <c r="BE8" s="1397">
        <f t="shared" si="23"/>
        <v>0</v>
      </c>
      <c r="BF8" s="1138">
        <f t="shared" si="24"/>
        <v>0</v>
      </c>
      <c r="BG8" s="1397">
        <f t="shared" si="36"/>
        <v>0</v>
      </c>
      <c r="BH8" s="1138">
        <f t="shared" si="37"/>
        <v>0</v>
      </c>
      <c r="BI8" s="1397">
        <f t="shared" si="38"/>
        <v>0</v>
      </c>
      <c r="BJ8" s="1138">
        <f t="shared" si="39"/>
        <v>0</v>
      </c>
      <c r="BK8" s="1397">
        <f t="shared" si="40"/>
        <v>0</v>
      </c>
      <c r="BL8" s="1138">
        <f t="shared" si="41"/>
        <v>0</v>
      </c>
      <c r="BM8" s="1397">
        <f t="shared" si="42"/>
        <v>0</v>
      </c>
      <c r="BN8" s="1138">
        <f t="shared" si="43"/>
        <v>0</v>
      </c>
      <c r="BO8" s="1131">
        <f>VLOOKUP(W8,Lähtötiedot!$C$102:$D$112,2,FALSE)</f>
        <v>0</v>
      </c>
    </row>
    <row r="9" spans="1:67">
      <c r="A9" s="112"/>
      <c r="B9" s="113"/>
      <c r="C9" s="124">
        <v>1</v>
      </c>
      <c r="D9" s="1503" t="b">
        <f>_xlfn.IFNA(W9=VLOOKUP(W9,Lähtötiedot!$A$60:$A$70,1,FALSE),"VÄÄRIN!")</f>
        <v>1</v>
      </c>
      <c r="E9" s="116">
        <v>0</v>
      </c>
      <c r="F9" s="1126">
        <v>0</v>
      </c>
      <c r="G9" s="996">
        <v>0</v>
      </c>
      <c r="H9" s="1918">
        <f t="shared" si="25"/>
        <v>0</v>
      </c>
      <c r="I9" s="993">
        <f t="shared" si="0"/>
        <v>0</v>
      </c>
      <c r="J9" s="118">
        <f t="shared" si="1"/>
        <v>0</v>
      </c>
      <c r="K9" s="1127">
        <f t="shared" si="2"/>
        <v>0</v>
      </c>
      <c r="L9" s="1127" t="e">
        <f t="shared" si="26"/>
        <v>#VALUE!</v>
      </c>
      <c r="M9" s="118">
        <f t="shared" si="3"/>
        <v>0</v>
      </c>
      <c r="N9" s="119">
        <v>0.01</v>
      </c>
      <c r="O9" s="85">
        <f t="shared" si="4"/>
        <v>1.0099999999999991</v>
      </c>
      <c r="P9" s="93" t="str">
        <f t="shared" si="5"/>
        <v>Ei käytössä</v>
      </c>
      <c r="Q9" s="120">
        <f t="shared" si="6"/>
        <v>0</v>
      </c>
      <c r="R9" s="1558">
        <v>0</v>
      </c>
      <c r="S9" s="1556">
        <v>0</v>
      </c>
      <c r="T9" s="1556">
        <v>0</v>
      </c>
      <c r="U9" s="122">
        <v>0</v>
      </c>
      <c r="V9" s="123">
        <f t="shared" si="27"/>
        <v>0</v>
      </c>
      <c r="W9" s="2409" t="s">
        <v>204</v>
      </c>
      <c r="X9" s="2394" t="str">
        <f t="shared" si="28"/>
        <v/>
      </c>
      <c r="Y9" s="1604" t="s">
        <v>363</v>
      </c>
      <c r="Z9" s="1131" t="str">
        <f>IF(Lähtötiedot!$F$8&lt;&gt;"A","T","A")</f>
        <v>T</v>
      </c>
      <c r="AA9" s="1408">
        <f t="shared" si="7"/>
        <v>0</v>
      </c>
      <c r="AB9" s="1192">
        <v>1</v>
      </c>
      <c r="AC9" s="1192">
        <v>0.04</v>
      </c>
      <c r="AD9" s="1402">
        <f t="shared" si="8"/>
        <v>0</v>
      </c>
      <c r="AE9" s="1402">
        <f t="shared" si="9"/>
        <v>0</v>
      </c>
      <c r="AF9" s="1192">
        <v>0.05</v>
      </c>
      <c r="AG9" s="1138">
        <f t="shared" si="10"/>
        <v>0</v>
      </c>
      <c r="AI9" s="1397">
        <f t="shared" si="11"/>
        <v>0</v>
      </c>
      <c r="AJ9" s="1138">
        <f t="shared" si="12"/>
        <v>0</v>
      </c>
      <c r="AK9" s="1397">
        <f t="shared" si="13"/>
        <v>0</v>
      </c>
      <c r="AL9" s="1138">
        <f t="shared" si="14"/>
        <v>0</v>
      </c>
      <c r="AM9" s="1397">
        <f t="shared" si="15"/>
        <v>0</v>
      </c>
      <c r="AN9" s="1138">
        <f t="shared" si="16"/>
        <v>0</v>
      </c>
      <c r="AO9" s="1397">
        <f t="shared" si="17"/>
        <v>0</v>
      </c>
      <c r="AP9" s="1138">
        <f t="shared" si="18"/>
        <v>0</v>
      </c>
      <c r="AQ9" s="1397">
        <f t="shared" si="19"/>
        <v>0</v>
      </c>
      <c r="AR9" s="1138">
        <f t="shared" si="20"/>
        <v>0</v>
      </c>
      <c r="AT9" s="1397">
        <f t="shared" si="21"/>
        <v>0</v>
      </c>
      <c r="AU9" s="1138">
        <f t="shared" si="22"/>
        <v>0</v>
      </c>
      <c r="AV9" s="1397">
        <f t="shared" si="29"/>
        <v>0</v>
      </c>
      <c r="AW9" s="1138">
        <f t="shared" si="30"/>
        <v>0</v>
      </c>
      <c r="AX9" s="1397">
        <f t="shared" si="44"/>
        <v>0</v>
      </c>
      <c r="AY9" s="1138">
        <f t="shared" si="31"/>
        <v>0</v>
      </c>
      <c r="AZ9" s="1397">
        <f t="shared" si="32"/>
        <v>0</v>
      </c>
      <c r="BA9" s="1138">
        <f t="shared" si="33"/>
        <v>0</v>
      </c>
      <c r="BB9" s="1397">
        <f t="shared" si="34"/>
        <v>0</v>
      </c>
      <c r="BC9" s="1138">
        <f t="shared" si="35"/>
        <v>0</v>
      </c>
      <c r="BD9" s="1138"/>
      <c r="BE9" s="1397">
        <f t="shared" si="23"/>
        <v>0</v>
      </c>
      <c r="BF9" s="1138">
        <f t="shared" si="24"/>
        <v>0</v>
      </c>
      <c r="BG9" s="1397">
        <f t="shared" si="36"/>
        <v>0</v>
      </c>
      <c r="BH9" s="1138">
        <f t="shared" si="37"/>
        <v>0</v>
      </c>
      <c r="BI9" s="1397">
        <f t="shared" si="38"/>
        <v>0</v>
      </c>
      <c r="BJ9" s="1138">
        <f t="shared" si="39"/>
        <v>0</v>
      </c>
      <c r="BK9" s="1397">
        <f t="shared" si="40"/>
        <v>0</v>
      </c>
      <c r="BL9" s="1138">
        <f t="shared" si="41"/>
        <v>0</v>
      </c>
      <c r="BM9" s="1397">
        <f t="shared" si="42"/>
        <v>0</v>
      </c>
      <c r="BN9" s="1138">
        <f t="shared" si="43"/>
        <v>0</v>
      </c>
      <c r="BO9" s="1131">
        <f>VLOOKUP(W9,Lähtötiedot!$C$102:$D$112,2,FALSE)</f>
        <v>0</v>
      </c>
    </row>
    <row r="10" spans="1:67">
      <c r="A10" s="112"/>
      <c r="B10" s="113"/>
      <c r="C10" s="124">
        <v>1</v>
      </c>
      <c r="D10" s="1503" t="b">
        <f>_xlfn.IFNA(W10=VLOOKUP(W10,Lähtötiedot!$A$60:$A$70,1,FALSE),"VÄÄRIN!")</f>
        <v>1</v>
      </c>
      <c r="E10" s="116">
        <v>0</v>
      </c>
      <c r="F10" s="1126">
        <v>0</v>
      </c>
      <c r="G10" s="996">
        <v>0</v>
      </c>
      <c r="H10" s="1918">
        <f t="shared" si="25"/>
        <v>0</v>
      </c>
      <c r="I10" s="993">
        <f t="shared" si="0"/>
        <v>0</v>
      </c>
      <c r="J10" s="118">
        <f t="shared" si="1"/>
        <v>0</v>
      </c>
      <c r="K10" s="1127">
        <f t="shared" si="2"/>
        <v>0</v>
      </c>
      <c r="L10" s="1127" t="e">
        <f t="shared" si="26"/>
        <v>#VALUE!</v>
      </c>
      <c r="M10" s="118">
        <f t="shared" si="3"/>
        <v>0</v>
      </c>
      <c r="N10" s="119">
        <v>0.01</v>
      </c>
      <c r="O10" s="85">
        <f t="shared" si="4"/>
        <v>1.0099999999999991</v>
      </c>
      <c r="P10" s="93" t="str">
        <f t="shared" si="5"/>
        <v>Ei käytössä</v>
      </c>
      <c r="Q10" s="120">
        <f t="shared" si="6"/>
        <v>0</v>
      </c>
      <c r="R10" s="1558">
        <v>0</v>
      </c>
      <c r="S10" s="1556">
        <v>0</v>
      </c>
      <c r="T10" s="1556">
        <v>0</v>
      </c>
      <c r="U10" s="122">
        <v>0</v>
      </c>
      <c r="V10" s="123">
        <f t="shared" si="27"/>
        <v>0</v>
      </c>
      <c r="W10" s="2409" t="s">
        <v>204</v>
      </c>
      <c r="X10" s="2394" t="str">
        <f t="shared" si="28"/>
        <v/>
      </c>
      <c r="Y10" s="1604" t="s">
        <v>363</v>
      </c>
      <c r="Z10" s="1131" t="str">
        <f>IF(Lähtötiedot!$F$8&lt;&gt;"A","T","A")</f>
        <v>T</v>
      </c>
      <c r="AA10" s="1408">
        <f t="shared" si="7"/>
        <v>0</v>
      </c>
      <c r="AB10" s="1192">
        <v>1</v>
      </c>
      <c r="AC10" s="1192">
        <v>0.04</v>
      </c>
      <c r="AD10" s="1402">
        <f t="shared" si="8"/>
        <v>0</v>
      </c>
      <c r="AE10" s="1402">
        <f t="shared" si="9"/>
        <v>0</v>
      </c>
      <c r="AF10" s="1192">
        <v>0.05</v>
      </c>
      <c r="AG10" s="1138">
        <f t="shared" si="10"/>
        <v>0</v>
      </c>
      <c r="AI10" s="1397">
        <f t="shared" si="11"/>
        <v>0</v>
      </c>
      <c r="AJ10" s="1138">
        <f t="shared" si="12"/>
        <v>0</v>
      </c>
      <c r="AK10" s="1397">
        <f t="shared" si="13"/>
        <v>0</v>
      </c>
      <c r="AL10" s="1138">
        <f t="shared" si="14"/>
        <v>0</v>
      </c>
      <c r="AM10" s="1397">
        <f t="shared" si="15"/>
        <v>0</v>
      </c>
      <c r="AN10" s="1138">
        <f t="shared" si="16"/>
        <v>0</v>
      </c>
      <c r="AO10" s="1397">
        <f t="shared" si="17"/>
        <v>0</v>
      </c>
      <c r="AP10" s="1138">
        <f t="shared" si="18"/>
        <v>0</v>
      </c>
      <c r="AQ10" s="1397">
        <f t="shared" si="19"/>
        <v>0</v>
      </c>
      <c r="AR10" s="1138">
        <f t="shared" si="20"/>
        <v>0</v>
      </c>
      <c r="AT10" s="1397">
        <f t="shared" si="21"/>
        <v>0</v>
      </c>
      <c r="AU10" s="1138">
        <f t="shared" si="22"/>
        <v>0</v>
      </c>
      <c r="AV10" s="1397">
        <f t="shared" si="29"/>
        <v>0</v>
      </c>
      <c r="AW10" s="1138">
        <f t="shared" si="30"/>
        <v>0</v>
      </c>
      <c r="AX10" s="1397">
        <f t="shared" si="44"/>
        <v>0</v>
      </c>
      <c r="AY10" s="1138">
        <f t="shared" si="31"/>
        <v>0</v>
      </c>
      <c r="AZ10" s="1397">
        <f t="shared" si="32"/>
        <v>0</v>
      </c>
      <c r="BA10" s="1138">
        <f t="shared" si="33"/>
        <v>0</v>
      </c>
      <c r="BB10" s="1397">
        <f t="shared" si="34"/>
        <v>0</v>
      </c>
      <c r="BC10" s="1138">
        <f t="shared" si="35"/>
        <v>0</v>
      </c>
      <c r="BD10" s="1138"/>
      <c r="BE10" s="1397">
        <f t="shared" si="23"/>
        <v>0</v>
      </c>
      <c r="BF10" s="1138">
        <f t="shared" si="24"/>
        <v>0</v>
      </c>
      <c r="BG10" s="1397">
        <f t="shared" si="36"/>
        <v>0</v>
      </c>
      <c r="BH10" s="1138">
        <f t="shared" si="37"/>
        <v>0</v>
      </c>
      <c r="BI10" s="1397">
        <f t="shared" si="38"/>
        <v>0</v>
      </c>
      <c r="BJ10" s="1138">
        <f t="shared" si="39"/>
        <v>0</v>
      </c>
      <c r="BK10" s="1397">
        <f t="shared" si="40"/>
        <v>0</v>
      </c>
      <c r="BL10" s="1138">
        <f t="shared" si="41"/>
        <v>0</v>
      </c>
      <c r="BM10" s="1397">
        <f t="shared" si="42"/>
        <v>0</v>
      </c>
      <c r="BN10" s="1138">
        <f t="shared" si="43"/>
        <v>0</v>
      </c>
      <c r="BO10" s="1131">
        <f>VLOOKUP(W10,Lähtötiedot!$C$102:$D$112,2,FALSE)</f>
        <v>0</v>
      </c>
    </row>
    <row r="11" spans="1:67">
      <c r="A11" s="112"/>
      <c r="B11" s="113"/>
      <c r="C11" s="124">
        <v>1</v>
      </c>
      <c r="D11" s="1503" t="b">
        <f>_xlfn.IFNA(W11=VLOOKUP(W11,Lähtötiedot!$A$60:$A$70,1,FALSE),"VÄÄRIN!")</f>
        <v>1</v>
      </c>
      <c r="E11" s="116">
        <v>0</v>
      </c>
      <c r="F11" s="1126">
        <v>0</v>
      </c>
      <c r="G11" s="996">
        <v>0</v>
      </c>
      <c r="H11" s="1918">
        <f t="shared" si="25"/>
        <v>0</v>
      </c>
      <c r="I11" s="993">
        <f t="shared" si="0"/>
        <v>0</v>
      </c>
      <c r="J11" s="118">
        <f t="shared" si="1"/>
        <v>0</v>
      </c>
      <c r="K11" s="1127">
        <f t="shared" si="2"/>
        <v>0</v>
      </c>
      <c r="L11" s="1127" t="e">
        <f t="shared" si="26"/>
        <v>#VALUE!</v>
      </c>
      <c r="M11" s="118">
        <f t="shared" si="3"/>
        <v>0</v>
      </c>
      <c r="N11" s="119">
        <v>0.01</v>
      </c>
      <c r="O11" s="85">
        <f t="shared" si="4"/>
        <v>1.0099999999999991</v>
      </c>
      <c r="P11" s="93" t="str">
        <f t="shared" si="5"/>
        <v>Ei käytössä</v>
      </c>
      <c r="Q11" s="120">
        <f t="shared" si="6"/>
        <v>0</v>
      </c>
      <c r="R11" s="1558">
        <v>0</v>
      </c>
      <c r="S11" s="1556">
        <v>0</v>
      </c>
      <c r="T11" s="1556">
        <v>0</v>
      </c>
      <c r="U11" s="122">
        <v>0</v>
      </c>
      <c r="V11" s="123">
        <f t="shared" si="27"/>
        <v>0</v>
      </c>
      <c r="W11" s="2409" t="s">
        <v>204</v>
      </c>
      <c r="X11" s="2394" t="str">
        <f t="shared" si="28"/>
        <v/>
      </c>
      <c r="Y11" s="1604" t="s">
        <v>363</v>
      </c>
      <c r="Z11" s="1131" t="str">
        <f>IF(Lähtötiedot!$F$8&lt;&gt;"A","T","A")</f>
        <v>T</v>
      </c>
      <c r="AA11" s="1408">
        <f t="shared" si="7"/>
        <v>0</v>
      </c>
      <c r="AB11" s="1192">
        <v>1</v>
      </c>
      <c r="AC11" s="1192">
        <v>0.04</v>
      </c>
      <c r="AD11" s="1402">
        <f t="shared" si="8"/>
        <v>0</v>
      </c>
      <c r="AE11" s="1402">
        <f t="shared" si="9"/>
        <v>0</v>
      </c>
      <c r="AF11" s="1192">
        <v>0.05</v>
      </c>
      <c r="AG11" s="1138">
        <f t="shared" si="10"/>
        <v>0</v>
      </c>
      <c r="AI11" s="1397">
        <f t="shared" si="11"/>
        <v>0</v>
      </c>
      <c r="AJ11" s="1138">
        <f t="shared" si="12"/>
        <v>0</v>
      </c>
      <c r="AK11" s="1397">
        <f t="shared" si="13"/>
        <v>0</v>
      </c>
      <c r="AL11" s="1138">
        <f t="shared" si="14"/>
        <v>0</v>
      </c>
      <c r="AM11" s="1397">
        <f t="shared" si="15"/>
        <v>0</v>
      </c>
      <c r="AN11" s="1138">
        <f t="shared" si="16"/>
        <v>0</v>
      </c>
      <c r="AO11" s="1397">
        <f t="shared" si="17"/>
        <v>0</v>
      </c>
      <c r="AP11" s="1138">
        <f t="shared" si="18"/>
        <v>0</v>
      </c>
      <c r="AQ11" s="1397">
        <f t="shared" si="19"/>
        <v>0</v>
      </c>
      <c r="AR11" s="1138">
        <f t="shared" si="20"/>
        <v>0</v>
      </c>
      <c r="AT11" s="1397">
        <f t="shared" si="21"/>
        <v>0</v>
      </c>
      <c r="AU11" s="1138">
        <f t="shared" si="22"/>
        <v>0</v>
      </c>
      <c r="AV11" s="1397">
        <f t="shared" si="29"/>
        <v>0</v>
      </c>
      <c r="AW11" s="1138">
        <f t="shared" si="30"/>
        <v>0</v>
      </c>
      <c r="AX11" s="1397">
        <f t="shared" si="44"/>
        <v>0</v>
      </c>
      <c r="AY11" s="1138">
        <f t="shared" si="31"/>
        <v>0</v>
      </c>
      <c r="AZ11" s="1397">
        <f t="shared" si="32"/>
        <v>0</v>
      </c>
      <c r="BA11" s="1138">
        <f t="shared" si="33"/>
        <v>0</v>
      </c>
      <c r="BB11" s="1397">
        <f t="shared" si="34"/>
        <v>0</v>
      </c>
      <c r="BC11" s="1138">
        <f t="shared" si="35"/>
        <v>0</v>
      </c>
      <c r="BD11" s="1138"/>
      <c r="BE11" s="1397">
        <f t="shared" si="23"/>
        <v>0</v>
      </c>
      <c r="BF11" s="1138">
        <f t="shared" si="24"/>
        <v>0</v>
      </c>
      <c r="BG11" s="1397">
        <f t="shared" si="36"/>
        <v>0</v>
      </c>
      <c r="BH11" s="1138">
        <f t="shared" si="37"/>
        <v>0</v>
      </c>
      <c r="BI11" s="1397">
        <f t="shared" si="38"/>
        <v>0</v>
      </c>
      <c r="BJ11" s="1138">
        <f t="shared" si="39"/>
        <v>0</v>
      </c>
      <c r="BK11" s="1397">
        <f t="shared" si="40"/>
        <v>0</v>
      </c>
      <c r="BL11" s="1138">
        <f t="shared" si="41"/>
        <v>0</v>
      </c>
      <c r="BM11" s="1397">
        <f t="shared" si="42"/>
        <v>0</v>
      </c>
      <c r="BN11" s="1138">
        <f t="shared" si="43"/>
        <v>0</v>
      </c>
      <c r="BO11" s="1131">
        <f>VLOOKUP(W11,Lähtötiedot!$C$102:$D$112,2,FALSE)</f>
        <v>0</v>
      </c>
    </row>
    <row r="12" spans="1:67">
      <c r="A12" s="112"/>
      <c r="B12" s="113"/>
      <c r="C12" s="124">
        <v>1</v>
      </c>
      <c r="D12" s="1503" t="b">
        <f>_xlfn.IFNA(W12=VLOOKUP(W12,Lähtötiedot!$A$60:$A$70,1,FALSE),"VÄÄRIN!")</f>
        <v>1</v>
      </c>
      <c r="E12" s="116">
        <v>0</v>
      </c>
      <c r="F12" s="1126">
        <v>0</v>
      </c>
      <c r="G12" s="996">
        <v>0</v>
      </c>
      <c r="H12" s="1918">
        <f t="shared" si="25"/>
        <v>0</v>
      </c>
      <c r="I12" s="993">
        <f t="shared" si="0"/>
        <v>0</v>
      </c>
      <c r="J12" s="118">
        <f t="shared" si="1"/>
        <v>0</v>
      </c>
      <c r="K12" s="1127">
        <f t="shared" si="2"/>
        <v>0</v>
      </c>
      <c r="L12" s="1127" t="e">
        <f t="shared" si="26"/>
        <v>#VALUE!</v>
      </c>
      <c r="M12" s="118">
        <f t="shared" si="3"/>
        <v>0</v>
      </c>
      <c r="N12" s="119">
        <v>0.01</v>
      </c>
      <c r="O12" s="85">
        <f t="shared" si="4"/>
        <v>1.0099999999999991</v>
      </c>
      <c r="P12" s="93" t="str">
        <f t="shared" si="5"/>
        <v>Ei käytössä</v>
      </c>
      <c r="Q12" s="120">
        <f t="shared" si="6"/>
        <v>0</v>
      </c>
      <c r="R12" s="1558">
        <v>0</v>
      </c>
      <c r="S12" s="1556">
        <v>0</v>
      </c>
      <c r="T12" s="1556">
        <v>0</v>
      </c>
      <c r="U12" s="122">
        <v>0</v>
      </c>
      <c r="V12" s="123">
        <f t="shared" si="27"/>
        <v>0</v>
      </c>
      <c r="W12" s="2409" t="s">
        <v>204</v>
      </c>
      <c r="X12" s="2394" t="str">
        <f t="shared" si="28"/>
        <v/>
      </c>
      <c r="Y12" s="1604" t="s">
        <v>363</v>
      </c>
      <c r="Z12" s="1131" t="str">
        <f>IF(Lähtötiedot!$F$8&lt;&gt;"A","T","A")</f>
        <v>T</v>
      </c>
      <c r="AA12" s="1408">
        <f t="shared" si="7"/>
        <v>0</v>
      </c>
      <c r="AB12" s="1192">
        <v>1</v>
      </c>
      <c r="AC12" s="1192">
        <v>0.04</v>
      </c>
      <c r="AD12" s="1402">
        <f t="shared" si="8"/>
        <v>0</v>
      </c>
      <c r="AE12" s="1402">
        <f t="shared" si="9"/>
        <v>0</v>
      </c>
      <c r="AF12" s="1192">
        <v>0.05</v>
      </c>
      <c r="AG12" s="1138">
        <f t="shared" si="10"/>
        <v>0</v>
      </c>
      <c r="AI12" s="1397">
        <f t="shared" si="11"/>
        <v>0</v>
      </c>
      <c r="AJ12" s="1138">
        <f t="shared" si="12"/>
        <v>0</v>
      </c>
      <c r="AK12" s="1397">
        <f t="shared" si="13"/>
        <v>0</v>
      </c>
      <c r="AL12" s="1138">
        <f t="shared" si="14"/>
        <v>0</v>
      </c>
      <c r="AM12" s="1397">
        <f t="shared" si="15"/>
        <v>0</v>
      </c>
      <c r="AN12" s="1138">
        <f t="shared" si="16"/>
        <v>0</v>
      </c>
      <c r="AO12" s="1397">
        <f t="shared" si="17"/>
        <v>0</v>
      </c>
      <c r="AP12" s="1138">
        <f t="shared" si="18"/>
        <v>0</v>
      </c>
      <c r="AQ12" s="1397">
        <f t="shared" si="19"/>
        <v>0</v>
      </c>
      <c r="AR12" s="1138">
        <f t="shared" si="20"/>
        <v>0</v>
      </c>
      <c r="AT12" s="1397">
        <f t="shared" si="21"/>
        <v>0</v>
      </c>
      <c r="AU12" s="1138">
        <f t="shared" si="22"/>
        <v>0</v>
      </c>
      <c r="AV12" s="1397">
        <f t="shared" si="29"/>
        <v>0</v>
      </c>
      <c r="AW12" s="1138">
        <f t="shared" si="30"/>
        <v>0</v>
      </c>
      <c r="AX12" s="1397">
        <f t="shared" si="44"/>
        <v>0</v>
      </c>
      <c r="AY12" s="1138">
        <f t="shared" si="31"/>
        <v>0</v>
      </c>
      <c r="AZ12" s="1397">
        <f t="shared" si="32"/>
        <v>0</v>
      </c>
      <c r="BA12" s="1138">
        <f t="shared" si="33"/>
        <v>0</v>
      </c>
      <c r="BB12" s="1397">
        <f t="shared" si="34"/>
        <v>0</v>
      </c>
      <c r="BC12" s="1138">
        <f t="shared" si="35"/>
        <v>0</v>
      </c>
      <c r="BD12" s="1138"/>
      <c r="BE12" s="1397">
        <f t="shared" si="23"/>
        <v>0</v>
      </c>
      <c r="BF12" s="1138">
        <f t="shared" si="24"/>
        <v>0</v>
      </c>
      <c r="BG12" s="1397">
        <f t="shared" si="36"/>
        <v>0</v>
      </c>
      <c r="BH12" s="1138">
        <f t="shared" si="37"/>
        <v>0</v>
      </c>
      <c r="BI12" s="1397">
        <f t="shared" si="38"/>
        <v>0</v>
      </c>
      <c r="BJ12" s="1138">
        <f t="shared" si="39"/>
        <v>0</v>
      </c>
      <c r="BK12" s="1397">
        <f t="shared" si="40"/>
        <v>0</v>
      </c>
      <c r="BL12" s="1138">
        <f t="shared" si="41"/>
        <v>0</v>
      </c>
      <c r="BM12" s="1397">
        <f t="shared" si="42"/>
        <v>0</v>
      </c>
      <c r="BN12" s="1138">
        <f t="shared" si="43"/>
        <v>0</v>
      </c>
      <c r="BO12" s="1131">
        <f>VLOOKUP(W12,Lähtötiedot!$C$102:$D$112,2,FALSE)</f>
        <v>0</v>
      </c>
    </row>
    <row r="13" spans="1:67">
      <c r="A13" s="112"/>
      <c r="B13" s="113"/>
      <c r="C13" s="124">
        <v>1</v>
      </c>
      <c r="D13" s="1503" t="b">
        <f>_xlfn.IFNA(W13=VLOOKUP(W13,Lähtötiedot!$A$60:$A$70,1,FALSE),"VÄÄRIN!")</f>
        <v>1</v>
      </c>
      <c r="E13" s="116">
        <v>0</v>
      </c>
      <c r="F13" s="1126">
        <v>0</v>
      </c>
      <c r="G13" s="996">
        <v>0</v>
      </c>
      <c r="H13" s="1918">
        <f t="shared" si="25"/>
        <v>0</v>
      </c>
      <c r="I13" s="993">
        <f t="shared" si="0"/>
        <v>0</v>
      </c>
      <c r="J13" s="118">
        <f t="shared" si="1"/>
        <v>0</v>
      </c>
      <c r="K13" s="1127">
        <f t="shared" si="2"/>
        <v>0</v>
      </c>
      <c r="L13" s="1127" t="e">
        <f t="shared" si="26"/>
        <v>#VALUE!</v>
      </c>
      <c r="M13" s="118">
        <f t="shared" si="3"/>
        <v>0</v>
      </c>
      <c r="N13" s="119">
        <v>0.01</v>
      </c>
      <c r="O13" s="85">
        <f t="shared" si="4"/>
        <v>1.0099999999999991</v>
      </c>
      <c r="P13" s="93" t="str">
        <f t="shared" si="5"/>
        <v>Ei käytössä</v>
      </c>
      <c r="Q13" s="120">
        <f t="shared" si="6"/>
        <v>0</v>
      </c>
      <c r="R13" s="1558">
        <v>0</v>
      </c>
      <c r="S13" s="1556">
        <v>0</v>
      </c>
      <c r="T13" s="1556">
        <v>0</v>
      </c>
      <c r="U13" s="122">
        <v>0</v>
      </c>
      <c r="V13" s="123">
        <f t="shared" si="27"/>
        <v>0</v>
      </c>
      <c r="W13" s="2409" t="s">
        <v>204</v>
      </c>
      <c r="X13" s="2394" t="str">
        <f t="shared" si="28"/>
        <v/>
      </c>
      <c r="Y13" s="1604" t="s">
        <v>363</v>
      </c>
      <c r="Z13" s="1131" t="str">
        <f>IF(Lähtötiedot!$F$8&lt;&gt;"A","T","A")</f>
        <v>T</v>
      </c>
      <c r="AA13" s="1408">
        <f t="shared" si="7"/>
        <v>0</v>
      </c>
      <c r="AB13" s="1192">
        <v>1</v>
      </c>
      <c r="AC13" s="1192">
        <v>0.04</v>
      </c>
      <c r="AD13" s="1402">
        <f t="shared" si="8"/>
        <v>0</v>
      </c>
      <c r="AE13" s="1402">
        <f t="shared" si="9"/>
        <v>0</v>
      </c>
      <c r="AF13" s="1192">
        <v>0.05</v>
      </c>
      <c r="AG13" s="1138">
        <f t="shared" si="10"/>
        <v>0</v>
      </c>
      <c r="AI13" s="1397">
        <f t="shared" si="11"/>
        <v>0</v>
      </c>
      <c r="AJ13" s="1138">
        <f t="shared" si="12"/>
        <v>0</v>
      </c>
      <c r="AK13" s="1397">
        <f t="shared" si="13"/>
        <v>0</v>
      </c>
      <c r="AL13" s="1138">
        <f t="shared" si="14"/>
        <v>0</v>
      </c>
      <c r="AM13" s="1397">
        <f t="shared" si="15"/>
        <v>0</v>
      </c>
      <c r="AN13" s="1138">
        <f t="shared" si="16"/>
        <v>0</v>
      </c>
      <c r="AO13" s="1397">
        <f t="shared" si="17"/>
        <v>0</v>
      </c>
      <c r="AP13" s="1138">
        <f t="shared" si="18"/>
        <v>0</v>
      </c>
      <c r="AQ13" s="1397">
        <f t="shared" si="19"/>
        <v>0</v>
      </c>
      <c r="AR13" s="1138">
        <f t="shared" si="20"/>
        <v>0</v>
      </c>
      <c r="AT13" s="1397">
        <f t="shared" si="21"/>
        <v>0</v>
      </c>
      <c r="AU13" s="1138">
        <f t="shared" si="22"/>
        <v>0</v>
      </c>
      <c r="AV13" s="1397">
        <f t="shared" si="29"/>
        <v>0</v>
      </c>
      <c r="AW13" s="1138">
        <f t="shared" si="30"/>
        <v>0</v>
      </c>
      <c r="AX13" s="1397">
        <f t="shared" si="44"/>
        <v>0</v>
      </c>
      <c r="AY13" s="1138">
        <f t="shared" si="31"/>
        <v>0</v>
      </c>
      <c r="AZ13" s="1397">
        <f t="shared" si="32"/>
        <v>0</v>
      </c>
      <c r="BA13" s="1138">
        <f t="shared" si="33"/>
        <v>0</v>
      </c>
      <c r="BB13" s="1397">
        <f t="shared" si="34"/>
        <v>0</v>
      </c>
      <c r="BC13" s="1138">
        <f t="shared" si="35"/>
        <v>0</v>
      </c>
      <c r="BD13" s="1138"/>
      <c r="BE13" s="1397">
        <f t="shared" si="23"/>
        <v>0</v>
      </c>
      <c r="BF13" s="1138">
        <f t="shared" si="24"/>
        <v>0</v>
      </c>
      <c r="BG13" s="1397">
        <f t="shared" si="36"/>
        <v>0</v>
      </c>
      <c r="BH13" s="1138">
        <f t="shared" si="37"/>
        <v>0</v>
      </c>
      <c r="BI13" s="1397">
        <f t="shared" si="38"/>
        <v>0</v>
      </c>
      <c r="BJ13" s="1138">
        <f t="shared" si="39"/>
        <v>0</v>
      </c>
      <c r="BK13" s="1397">
        <f t="shared" si="40"/>
        <v>0</v>
      </c>
      <c r="BL13" s="1138">
        <f t="shared" si="41"/>
        <v>0</v>
      </c>
      <c r="BM13" s="1397">
        <f t="shared" si="42"/>
        <v>0</v>
      </c>
      <c r="BN13" s="1138">
        <f t="shared" si="43"/>
        <v>0</v>
      </c>
      <c r="BO13" s="1131">
        <f>VLOOKUP(W13,Lähtötiedot!$C$102:$D$112,2,FALSE)</f>
        <v>0</v>
      </c>
    </row>
    <row r="14" spans="1:67">
      <c r="A14" s="112"/>
      <c r="B14" s="113"/>
      <c r="C14" s="124">
        <v>1</v>
      </c>
      <c r="D14" s="1503" t="b">
        <f>_xlfn.IFNA(W14=VLOOKUP(W14,Lähtötiedot!$A$60:$A$70,1,FALSE),"VÄÄRIN!")</f>
        <v>1</v>
      </c>
      <c r="E14" s="116">
        <v>0</v>
      </c>
      <c r="F14" s="1126">
        <v>0</v>
      </c>
      <c r="G14" s="996">
        <v>0</v>
      </c>
      <c r="H14" s="1918">
        <f t="shared" si="25"/>
        <v>0</v>
      </c>
      <c r="I14" s="993">
        <f t="shared" si="0"/>
        <v>0</v>
      </c>
      <c r="J14" s="118">
        <f t="shared" si="1"/>
        <v>0</v>
      </c>
      <c r="K14" s="1127">
        <f t="shared" si="2"/>
        <v>0</v>
      </c>
      <c r="L14" s="1127" t="e">
        <f t="shared" si="26"/>
        <v>#VALUE!</v>
      </c>
      <c r="M14" s="118">
        <f t="shared" si="3"/>
        <v>0</v>
      </c>
      <c r="N14" s="119">
        <v>0.01</v>
      </c>
      <c r="O14" s="85">
        <f t="shared" si="4"/>
        <v>1.0099999999999991</v>
      </c>
      <c r="P14" s="93" t="str">
        <f t="shared" si="5"/>
        <v>Ei käytössä</v>
      </c>
      <c r="Q14" s="120">
        <f t="shared" si="6"/>
        <v>0</v>
      </c>
      <c r="R14" s="1558">
        <v>0</v>
      </c>
      <c r="S14" s="1556">
        <v>0</v>
      </c>
      <c r="T14" s="1556">
        <v>0</v>
      </c>
      <c r="U14" s="122">
        <v>0</v>
      </c>
      <c r="V14" s="123">
        <f t="shared" si="27"/>
        <v>0</v>
      </c>
      <c r="W14" s="2409" t="s">
        <v>204</v>
      </c>
      <c r="X14" s="2394" t="str">
        <f t="shared" si="28"/>
        <v/>
      </c>
      <c r="Y14" s="1604" t="s">
        <v>363</v>
      </c>
      <c r="Z14" s="1131" t="str">
        <f>IF(Lähtötiedot!$F$8&lt;&gt;"A","T","A")</f>
        <v>T</v>
      </c>
      <c r="AA14" s="1408">
        <f t="shared" si="7"/>
        <v>0</v>
      </c>
      <c r="AB14" s="1192">
        <v>1</v>
      </c>
      <c r="AC14" s="1192">
        <v>0.04</v>
      </c>
      <c r="AD14" s="1402">
        <f t="shared" si="8"/>
        <v>0</v>
      </c>
      <c r="AE14" s="1402">
        <f t="shared" si="9"/>
        <v>0</v>
      </c>
      <c r="AF14" s="1192">
        <v>0.05</v>
      </c>
      <c r="AG14" s="1138">
        <f t="shared" si="10"/>
        <v>0</v>
      </c>
      <c r="AI14" s="1397">
        <f t="shared" si="11"/>
        <v>0</v>
      </c>
      <c r="AJ14" s="1138">
        <f t="shared" si="12"/>
        <v>0</v>
      </c>
      <c r="AK14" s="1397">
        <f t="shared" si="13"/>
        <v>0</v>
      </c>
      <c r="AL14" s="1138">
        <f t="shared" si="14"/>
        <v>0</v>
      </c>
      <c r="AM14" s="1397">
        <f t="shared" si="15"/>
        <v>0</v>
      </c>
      <c r="AN14" s="1138">
        <f t="shared" si="16"/>
        <v>0</v>
      </c>
      <c r="AO14" s="1397">
        <f t="shared" si="17"/>
        <v>0</v>
      </c>
      <c r="AP14" s="1138">
        <f t="shared" si="18"/>
        <v>0</v>
      </c>
      <c r="AQ14" s="1397">
        <f t="shared" si="19"/>
        <v>0</v>
      </c>
      <c r="AR14" s="1138">
        <f t="shared" si="20"/>
        <v>0</v>
      </c>
      <c r="AT14" s="1397">
        <f t="shared" si="21"/>
        <v>0</v>
      </c>
      <c r="AU14" s="1138">
        <f t="shared" si="22"/>
        <v>0</v>
      </c>
      <c r="AV14" s="1397">
        <f t="shared" si="29"/>
        <v>0</v>
      </c>
      <c r="AW14" s="1138">
        <f t="shared" si="30"/>
        <v>0</v>
      </c>
      <c r="AX14" s="1397">
        <f t="shared" si="44"/>
        <v>0</v>
      </c>
      <c r="AY14" s="1138">
        <f t="shared" si="31"/>
        <v>0</v>
      </c>
      <c r="AZ14" s="1397">
        <f t="shared" si="32"/>
        <v>0</v>
      </c>
      <c r="BA14" s="1138">
        <f t="shared" si="33"/>
        <v>0</v>
      </c>
      <c r="BB14" s="1397">
        <f t="shared" si="34"/>
        <v>0</v>
      </c>
      <c r="BC14" s="1138">
        <f t="shared" si="35"/>
        <v>0</v>
      </c>
      <c r="BD14" s="1138"/>
      <c r="BE14" s="1397">
        <f t="shared" si="23"/>
        <v>0</v>
      </c>
      <c r="BF14" s="1138">
        <f t="shared" si="24"/>
        <v>0</v>
      </c>
      <c r="BG14" s="1397">
        <f t="shared" si="36"/>
        <v>0</v>
      </c>
      <c r="BH14" s="1138">
        <f t="shared" si="37"/>
        <v>0</v>
      </c>
      <c r="BI14" s="1397">
        <f t="shared" si="38"/>
        <v>0</v>
      </c>
      <c r="BJ14" s="1138">
        <f t="shared" si="39"/>
        <v>0</v>
      </c>
      <c r="BK14" s="1397">
        <f t="shared" si="40"/>
        <v>0</v>
      </c>
      <c r="BL14" s="1138">
        <f t="shared" si="41"/>
        <v>0</v>
      </c>
      <c r="BM14" s="1397">
        <f t="shared" si="42"/>
        <v>0</v>
      </c>
      <c r="BN14" s="1138">
        <f t="shared" si="43"/>
        <v>0</v>
      </c>
      <c r="BO14" s="1131">
        <f>VLOOKUP(W14,Lähtötiedot!$C$102:$D$112,2,FALSE)</f>
        <v>0</v>
      </c>
    </row>
    <row r="15" spans="1:67">
      <c r="A15" s="112"/>
      <c r="B15" s="113"/>
      <c r="C15" s="124">
        <v>1</v>
      </c>
      <c r="D15" s="1503" t="b">
        <f>_xlfn.IFNA(W15=VLOOKUP(W15,Lähtötiedot!$A$60:$A$70,1,FALSE),"VÄÄRIN!")</f>
        <v>1</v>
      </c>
      <c r="E15" s="116">
        <v>0</v>
      </c>
      <c r="F15" s="1126">
        <v>0</v>
      </c>
      <c r="G15" s="996">
        <v>0</v>
      </c>
      <c r="H15" s="1918">
        <f t="shared" si="25"/>
        <v>0</v>
      </c>
      <c r="I15" s="993">
        <f t="shared" si="0"/>
        <v>0</v>
      </c>
      <c r="J15" s="118">
        <f t="shared" si="1"/>
        <v>0</v>
      </c>
      <c r="K15" s="1127">
        <f t="shared" si="2"/>
        <v>0</v>
      </c>
      <c r="L15" s="1127" t="e">
        <f t="shared" si="26"/>
        <v>#VALUE!</v>
      </c>
      <c r="M15" s="118">
        <f t="shared" si="3"/>
        <v>0</v>
      </c>
      <c r="N15" s="119">
        <v>0.01</v>
      </c>
      <c r="O15" s="85">
        <f t="shared" si="4"/>
        <v>1.0099999999999991</v>
      </c>
      <c r="P15" s="93" t="str">
        <f t="shared" si="5"/>
        <v>Ei käytössä</v>
      </c>
      <c r="Q15" s="120">
        <f t="shared" si="6"/>
        <v>0</v>
      </c>
      <c r="R15" s="1558">
        <v>0</v>
      </c>
      <c r="S15" s="1556">
        <v>0</v>
      </c>
      <c r="T15" s="1556">
        <v>0</v>
      </c>
      <c r="U15" s="122">
        <v>0</v>
      </c>
      <c r="V15" s="123">
        <f t="shared" si="27"/>
        <v>0</v>
      </c>
      <c r="W15" s="2409" t="s">
        <v>204</v>
      </c>
      <c r="X15" s="2394" t="str">
        <f t="shared" si="28"/>
        <v/>
      </c>
      <c r="Y15" s="1604" t="s">
        <v>363</v>
      </c>
      <c r="Z15" s="1131" t="str">
        <f>IF(Lähtötiedot!$F$8&lt;&gt;"A","T","A")</f>
        <v>T</v>
      </c>
      <c r="AA15" s="1408">
        <f t="shared" si="7"/>
        <v>0</v>
      </c>
      <c r="AB15" s="1192">
        <v>1</v>
      </c>
      <c r="AC15" s="1192">
        <v>0.04</v>
      </c>
      <c r="AD15" s="1402">
        <f t="shared" si="8"/>
        <v>0</v>
      </c>
      <c r="AE15" s="1402">
        <f t="shared" si="9"/>
        <v>0</v>
      </c>
      <c r="AF15" s="1192">
        <v>0.05</v>
      </c>
      <c r="AG15" s="1138">
        <f t="shared" si="10"/>
        <v>0</v>
      </c>
      <c r="AI15" s="1397">
        <f t="shared" si="11"/>
        <v>0</v>
      </c>
      <c r="AJ15" s="1138">
        <f t="shared" si="12"/>
        <v>0</v>
      </c>
      <c r="AK15" s="1397">
        <f t="shared" si="13"/>
        <v>0</v>
      </c>
      <c r="AL15" s="1138">
        <f t="shared" si="14"/>
        <v>0</v>
      </c>
      <c r="AM15" s="1397">
        <f t="shared" si="15"/>
        <v>0</v>
      </c>
      <c r="AN15" s="1138">
        <f t="shared" si="16"/>
        <v>0</v>
      </c>
      <c r="AO15" s="1397">
        <f t="shared" si="17"/>
        <v>0</v>
      </c>
      <c r="AP15" s="1138">
        <f t="shared" si="18"/>
        <v>0</v>
      </c>
      <c r="AQ15" s="1397">
        <f t="shared" si="19"/>
        <v>0</v>
      </c>
      <c r="AR15" s="1138">
        <f t="shared" si="20"/>
        <v>0</v>
      </c>
      <c r="AT15" s="1397">
        <f t="shared" si="21"/>
        <v>0</v>
      </c>
      <c r="AU15" s="1138">
        <f t="shared" si="22"/>
        <v>0</v>
      </c>
      <c r="AV15" s="1397">
        <f t="shared" si="29"/>
        <v>0</v>
      </c>
      <c r="AW15" s="1138">
        <f t="shared" si="30"/>
        <v>0</v>
      </c>
      <c r="AX15" s="1397">
        <f t="shared" si="44"/>
        <v>0</v>
      </c>
      <c r="AY15" s="1138">
        <f t="shared" si="31"/>
        <v>0</v>
      </c>
      <c r="AZ15" s="1397">
        <f t="shared" si="32"/>
        <v>0</v>
      </c>
      <c r="BA15" s="1138">
        <f t="shared" si="33"/>
        <v>0</v>
      </c>
      <c r="BB15" s="1397">
        <f t="shared" si="34"/>
        <v>0</v>
      </c>
      <c r="BC15" s="1138">
        <f t="shared" si="35"/>
        <v>0</v>
      </c>
      <c r="BD15" s="1138"/>
      <c r="BE15" s="1397">
        <f t="shared" si="23"/>
        <v>0</v>
      </c>
      <c r="BF15" s="1138">
        <f t="shared" si="24"/>
        <v>0</v>
      </c>
      <c r="BG15" s="1397">
        <f t="shared" si="36"/>
        <v>0</v>
      </c>
      <c r="BH15" s="1138">
        <f t="shared" si="37"/>
        <v>0</v>
      </c>
      <c r="BI15" s="1397">
        <f t="shared" si="38"/>
        <v>0</v>
      </c>
      <c r="BJ15" s="1138">
        <f t="shared" si="39"/>
        <v>0</v>
      </c>
      <c r="BK15" s="1397">
        <f t="shared" si="40"/>
        <v>0</v>
      </c>
      <c r="BL15" s="1138">
        <f t="shared" si="41"/>
        <v>0</v>
      </c>
      <c r="BM15" s="1397">
        <f t="shared" si="42"/>
        <v>0</v>
      </c>
      <c r="BN15" s="1138">
        <f t="shared" si="43"/>
        <v>0</v>
      </c>
      <c r="BO15" s="1131">
        <f>VLOOKUP(W15,Lähtötiedot!$C$102:$D$112,2,FALSE)</f>
        <v>0</v>
      </c>
    </row>
    <row r="16" spans="1:67">
      <c r="A16" s="112"/>
      <c r="B16" s="113"/>
      <c r="C16" s="124">
        <v>1</v>
      </c>
      <c r="D16" s="1503" t="b">
        <f>_xlfn.IFNA(W16=VLOOKUP(W16,Lähtötiedot!$A$60:$A$70,1,FALSE),"VÄÄRIN!")</f>
        <v>1</v>
      </c>
      <c r="E16" s="116">
        <v>0</v>
      </c>
      <c r="F16" s="1126">
        <v>0</v>
      </c>
      <c r="G16" s="996">
        <v>0</v>
      </c>
      <c r="H16" s="1918">
        <f t="shared" si="25"/>
        <v>0</v>
      </c>
      <c r="I16" s="993">
        <f t="shared" si="0"/>
        <v>0</v>
      </c>
      <c r="J16" s="118">
        <f t="shared" si="1"/>
        <v>0</v>
      </c>
      <c r="K16" s="1127">
        <f t="shared" si="2"/>
        <v>0</v>
      </c>
      <c r="L16" s="1127" t="e">
        <f t="shared" si="26"/>
        <v>#VALUE!</v>
      </c>
      <c r="M16" s="118">
        <f t="shared" si="3"/>
        <v>0</v>
      </c>
      <c r="N16" s="119">
        <v>0.01</v>
      </c>
      <c r="O16" s="85">
        <f t="shared" si="4"/>
        <v>1.0099999999999991</v>
      </c>
      <c r="P16" s="93" t="str">
        <f t="shared" si="5"/>
        <v>Ei käytössä</v>
      </c>
      <c r="Q16" s="120">
        <f t="shared" si="6"/>
        <v>0</v>
      </c>
      <c r="R16" s="1558">
        <v>0</v>
      </c>
      <c r="S16" s="1556">
        <v>0</v>
      </c>
      <c r="T16" s="1556">
        <v>0</v>
      </c>
      <c r="U16" s="122">
        <v>0</v>
      </c>
      <c r="V16" s="123">
        <f t="shared" si="27"/>
        <v>0</v>
      </c>
      <c r="W16" s="2409" t="s">
        <v>204</v>
      </c>
      <c r="X16" s="2394" t="str">
        <f t="shared" si="28"/>
        <v/>
      </c>
      <c r="Y16" s="1604" t="s">
        <v>363</v>
      </c>
      <c r="Z16" s="1131" t="str">
        <f>IF(Lähtötiedot!$F$8&lt;&gt;"A","T","A")</f>
        <v>T</v>
      </c>
      <c r="AA16" s="1408">
        <f t="shared" si="7"/>
        <v>0</v>
      </c>
      <c r="AB16" s="1192">
        <v>1</v>
      </c>
      <c r="AC16" s="1192">
        <v>0.04</v>
      </c>
      <c r="AD16" s="1402">
        <f t="shared" si="8"/>
        <v>0</v>
      </c>
      <c r="AE16" s="1402">
        <f t="shared" si="9"/>
        <v>0</v>
      </c>
      <c r="AF16" s="1192">
        <v>0.05</v>
      </c>
      <c r="AG16" s="1138">
        <f t="shared" si="10"/>
        <v>0</v>
      </c>
      <c r="AI16" s="1397">
        <f t="shared" si="11"/>
        <v>0</v>
      </c>
      <c r="AJ16" s="1138">
        <f t="shared" si="12"/>
        <v>0</v>
      </c>
      <c r="AK16" s="1397">
        <f t="shared" si="13"/>
        <v>0</v>
      </c>
      <c r="AL16" s="1138">
        <f t="shared" si="14"/>
        <v>0</v>
      </c>
      <c r="AM16" s="1397">
        <f t="shared" si="15"/>
        <v>0</v>
      </c>
      <c r="AN16" s="1138">
        <f t="shared" si="16"/>
        <v>0</v>
      </c>
      <c r="AO16" s="1397">
        <f t="shared" si="17"/>
        <v>0</v>
      </c>
      <c r="AP16" s="1138">
        <f t="shared" si="18"/>
        <v>0</v>
      </c>
      <c r="AQ16" s="1397">
        <f t="shared" si="19"/>
        <v>0</v>
      </c>
      <c r="AR16" s="1138">
        <f t="shared" si="20"/>
        <v>0</v>
      </c>
      <c r="AT16" s="1397">
        <f t="shared" si="21"/>
        <v>0</v>
      </c>
      <c r="AU16" s="1138">
        <f t="shared" si="22"/>
        <v>0</v>
      </c>
      <c r="AV16" s="1397">
        <f t="shared" si="29"/>
        <v>0</v>
      </c>
      <c r="AW16" s="1138">
        <f t="shared" si="30"/>
        <v>0</v>
      </c>
      <c r="AX16" s="1397">
        <f t="shared" si="44"/>
        <v>0</v>
      </c>
      <c r="AY16" s="1138">
        <f t="shared" si="31"/>
        <v>0</v>
      </c>
      <c r="AZ16" s="1397">
        <f t="shared" si="32"/>
        <v>0</v>
      </c>
      <c r="BA16" s="1138">
        <f t="shared" si="33"/>
        <v>0</v>
      </c>
      <c r="BB16" s="1397">
        <f t="shared" si="34"/>
        <v>0</v>
      </c>
      <c r="BC16" s="1138">
        <f t="shared" si="35"/>
        <v>0</v>
      </c>
      <c r="BD16" s="1138"/>
      <c r="BE16" s="1397">
        <f t="shared" si="23"/>
        <v>0</v>
      </c>
      <c r="BF16" s="1138">
        <f t="shared" si="24"/>
        <v>0</v>
      </c>
      <c r="BG16" s="1397">
        <f t="shared" si="36"/>
        <v>0</v>
      </c>
      <c r="BH16" s="1138">
        <f t="shared" si="37"/>
        <v>0</v>
      </c>
      <c r="BI16" s="1397">
        <f t="shared" si="38"/>
        <v>0</v>
      </c>
      <c r="BJ16" s="1138">
        <f t="shared" si="39"/>
        <v>0</v>
      </c>
      <c r="BK16" s="1397">
        <f t="shared" si="40"/>
        <v>0</v>
      </c>
      <c r="BL16" s="1138">
        <f t="shared" si="41"/>
        <v>0</v>
      </c>
      <c r="BM16" s="1397">
        <f t="shared" si="42"/>
        <v>0</v>
      </c>
      <c r="BN16" s="1138">
        <f t="shared" si="43"/>
        <v>0</v>
      </c>
      <c r="BO16" s="1131">
        <f>VLOOKUP(W16,Lähtötiedot!$C$102:$D$112,2,FALSE)</f>
        <v>0</v>
      </c>
    </row>
    <row r="17" spans="1:67">
      <c r="A17" s="125"/>
      <c r="B17" s="113"/>
      <c r="C17" s="124">
        <v>1</v>
      </c>
      <c r="D17" s="1503" t="b">
        <f>_xlfn.IFNA(W17=VLOOKUP(W17,Lähtötiedot!$A$60:$A$70,1,FALSE),"VÄÄRIN!")</f>
        <v>1</v>
      </c>
      <c r="E17" s="116">
        <v>0</v>
      </c>
      <c r="F17" s="1126">
        <v>0</v>
      </c>
      <c r="G17" s="996">
        <v>0</v>
      </c>
      <c r="H17" s="1918">
        <f t="shared" si="25"/>
        <v>0</v>
      </c>
      <c r="I17" s="993">
        <f t="shared" si="0"/>
        <v>0</v>
      </c>
      <c r="J17" s="118">
        <f t="shared" si="1"/>
        <v>0</v>
      </c>
      <c r="K17" s="1127">
        <f t="shared" si="2"/>
        <v>0</v>
      </c>
      <c r="L17" s="1127" t="e">
        <f t="shared" si="26"/>
        <v>#VALUE!</v>
      </c>
      <c r="M17" s="118">
        <f t="shared" si="3"/>
        <v>0</v>
      </c>
      <c r="N17" s="119">
        <v>0.01</v>
      </c>
      <c r="O17" s="85">
        <f t="shared" si="4"/>
        <v>1.0099999999999991</v>
      </c>
      <c r="P17" s="93" t="str">
        <f t="shared" si="5"/>
        <v>Ei käytössä</v>
      </c>
      <c r="Q17" s="120">
        <f t="shared" si="6"/>
        <v>0</v>
      </c>
      <c r="R17" s="1558">
        <v>0</v>
      </c>
      <c r="S17" s="1556">
        <v>0</v>
      </c>
      <c r="T17" s="1556">
        <v>0</v>
      </c>
      <c r="U17" s="122">
        <v>0</v>
      </c>
      <c r="V17" s="123">
        <f t="shared" si="27"/>
        <v>0</v>
      </c>
      <c r="W17" s="2409" t="s">
        <v>204</v>
      </c>
      <c r="X17" s="2394" t="str">
        <f t="shared" si="28"/>
        <v/>
      </c>
      <c r="Y17" s="1604" t="s">
        <v>7</v>
      </c>
      <c r="Z17" s="1131" t="str">
        <f>IF(Lähtötiedot!$F$8&lt;&gt;"A","T","A")</f>
        <v>T</v>
      </c>
      <c r="AA17" s="1408">
        <f t="shared" si="7"/>
        <v>0</v>
      </c>
      <c r="AB17" s="1192">
        <v>1</v>
      </c>
      <c r="AC17" s="1192">
        <v>0.04</v>
      </c>
      <c r="AD17" s="1402">
        <f t="shared" si="8"/>
        <v>0</v>
      </c>
      <c r="AE17" s="1402">
        <f t="shared" si="9"/>
        <v>0</v>
      </c>
      <c r="AF17" s="1192">
        <v>0.05</v>
      </c>
      <c r="AG17" s="1138">
        <f t="shared" si="10"/>
        <v>0</v>
      </c>
      <c r="AI17" s="1397">
        <f t="shared" si="11"/>
        <v>0</v>
      </c>
      <c r="AJ17" s="1138">
        <f t="shared" si="12"/>
        <v>0</v>
      </c>
      <c r="AK17" s="1397">
        <f t="shared" si="13"/>
        <v>0</v>
      </c>
      <c r="AL17" s="1138">
        <f t="shared" si="14"/>
        <v>0</v>
      </c>
      <c r="AM17" s="1397">
        <f t="shared" si="15"/>
        <v>0</v>
      </c>
      <c r="AN17" s="1138">
        <f t="shared" si="16"/>
        <v>0</v>
      </c>
      <c r="AO17" s="1397">
        <f t="shared" si="17"/>
        <v>0</v>
      </c>
      <c r="AP17" s="1138">
        <f t="shared" si="18"/>
        <v>0</v>
      </c>
      <c r="AQ17" s="1397">
        <f t="shared" si="19"/>
        <v>0</v>
      </c>
      <c r="AR17" s="1138">
        <f t="shared" si="20"/>
        <v>0</v>
      </c>
      <c r="AT17" s="1397">
        <f t="shared" si="21"/>
        <v>0</v>
      </c>
      <c r="AU17" s="1138">
        <f t="shared" si="22"/>
        <v>0</v>
      </c>
      <c r="AV17" s="1397">
        <f t="shared" si="29"/>
        <v>0</v>
      </c>
      <c r="AW17" s="1138">
        <f t="shared" si="30"/>
        <v>0</v>
      </c>
      <c r="AX17" s="1397">
        <f t="shared" si="44"/>
        <v>0</v>
      </c>
      <c r="AY17" s="1138">
        <f t="shared" si="31"/>
        <v>0</v>
      </c>
      <c r="AZ17" s="1397">
        <f t="shared" si="32"/>
        <v>0</v>
      </c>
      <c r="BA17" s="1138">
        <f t="shared" si="33"/>
        <v>0</v>
      </c>
      <c r="BB17" s="1397">
        <f t="shared" si="34"/>
        <v>0</v>
      </c>
      <c r="BC17" s="1138">
        <f t="shared" si="35"/>
        <v>0</v>
      </c>
      <c r="BD17" s="1138"/>
      <c r="BE17" s="1397">
        <f t="shared" si="23"/>
        <v>0</v>
      </c>
      <c r="BF17" s="1138">
        <f t="shared" si="24"/>
        <v>0</v>
      </c>
      <c r="BG17" s="1397">
        <f t="shared" si="36"/>
        <v>0</v>
      </c>
      <c r="BH17" s="1138">
        <f t="shared" si="37"/>
        <v>0</v>
      </c>
      <c r="BI17" s="1397">
        <f t="shared" si="38"/>
        <v>0</v>
      </c>
      <c r="BJ17" s="1138">
        <f t="shared" si="39"/>
        <v>0</v>
      </c>
      <c r="BK17" s="1397">
        <f t="shared" si="40"/>
        <v>0</v>
      </c>
      <c r="BL17" s="1138">
        <f t="shared" si="41"/>
        <v>0</v>
      </c>
      <c r="BM17" s="1397">
        <f t="shared" si="42"/>
        <v>0</v>
      </c>
      <c r="BN17" s="1138">
        <f t="shared" si="43"/>
        <v>0</v>
      </c>
      <c r="BO17" s="1131">
        <f>VLOOKUP(W17,Lähtötiedot!$C$102:$D$112,2,FALSE)</f>
        <v>0</v>
      </c>
    </row>
    <row r="18" spans="1:67" ht="13.5" thickBot="1">
      <c r="A18" s="829"/>
      <c r="B18" s="113"/>
      <c r="C18" s="124">
        <v>1</v>
      </c>
      <c r="D18" s="1503" t="b">
        <f>_xlfn.IFNA(W18=VLOOKUP(W18,Lähtötiedot!$A$60:$A$70,1,FALSE),"VÄÄRIN!")</f>
        <v>1</v>
      </c>
      <c r="E18" s="116">
        <v>0</v>
      </c>
      <c r="F18" s="1126">
        <v>0</v>
      </c>
      <c r="G18" s="996">
        <v>0</v>
      </c>
      <c r="H18" s="1918">
        <f t="shared" si="25"/>
        <v>0</v>
      </c>
      <c r="I18" s="993">
        <f t="shared" si="0"/>
        <v>0</v>
      </c>
      <c r="J18" s="118">
        <f t="shared" si="1"/>
        <v>0</v>
      </c>
      <c r="K18" s="1127">
        <f t="shared" si="2"/>
        <v>0</v>
      </c>
      <c r="L18" s="1127" t="e">
        <f t="shared" si="26"/>
        <v>#VALUE!</v>
      </c>
      <c r="M18" s="118">
        <f t="shared" si="3"/>
        <v>0</v>
      </c>
      <c r="N18" s="119">
        <v>0.01</v>
      </c>
      <c r="O18" s="85">
        <f t="shared" si="4"/>
        <v>1.0099999999999991</v>
      </c>
      <c r="P18" s="93" t="str">
        <f t="shared" si="5"/>
        <v>Ei käytössä</v>
      </c>
      <c r="Q18" s="120">
        <f t="shared" si="6"/>
        <v>0</v>
      </c>
      <c r="R18" s="1558">
        <v>0</v>
      </c>
      <c r="S18" s="1556">
        <v>0</v>
      </c>
      <c r="T18" s="1556">
        <v>0</v>
      </c>
      <c r="U18" s="122">
        <v>0</v>
      </c>
      <c r="V18" s="123">
        <f t="shared" si="27"/>
        <v>0</v>
      </c>
      <c r="W18" s="2409" t="s">
        <v>204</v>
      </c>
      <c r="X18" s="2394" t="str">
        <f t="shared" si="28"/>
        <v/>
      </c>
      <c r="Y18" s="1604" t="s">
        <v>7</v>
      </c>
      <c r="Z18" s="1131" t="str">
        <f>IF(Lähtötiedot!$F$8&lt;&gt;"A","T","A")</f>
        <v>T</v>
      </c>
      <c r="AA18" s="1408">
        <f t="shared" si="7"/>
        <v>0</v>
      </c>
      <c r="AB18" s="1192">
        <v>1</v>
      </c>
      <c r="AC18" s="1192">
        <v>0.04</v>
      </c>
      <c r="AD18" s="1402">
        <f t="shared" si="8"/>
        <v>0</v>
      </c>
      <c r="AE18" s="1402">
        <f t="shared" si="9"/>
        <v>0</v>
      </c>
      <c r="AF18" s="1192">
        <v>0.05</v>
      </c>
      <c r="AG18" s="1138">
        <f t="shared" si="10"/>
        <v>0</v>
      </c>
      <c r="AI18" s="1397">
        <f t="shared" si="11"/>
        <v>0</v>
      </c>
      <c r="AJ18" s="1138">
        <f t="shared" si="12"/>
        <v>0</v>
      </c>
      <c r="AK18" s="1397">
        <f t="shared" si="13"/>
        <v>0</v>
      </c>
      <c r="AL18" s="1138">
        <f t="shared" si="14"/>
        <v>0</v>
      </c>
      <c r="AM18" s="1397">
        <f t="shared" si="15"/>
        <v>0</v>
      </c>
      <c r="AN18" s="1138">
        <f t="shared" si="16"/>
        <v>0</v>
      </c>
      <c r="AO18" s="1397">
        <f t="shared" si="17"/>
        <v>0</v>
      </c>
      <c r="AP18" s="1138">
        <f t="shared" si="18"/>
        <v>0</v>
      </c>
      <c r="AQ18" s="1397">
        <f t="shared" si="19"/>
        <v>0</v>
      </c>
      <c r="AR18" s="1138">
        <f t="shared" si="20"/>
        <v>0</v>
      </c>
      <c r="AT18" s="1397">
        <f t="shared" si="21"/>
        <v>0</v>
      </c>
      <c r="AU18" s="1138">
        <f t="shared" si="22"/>
        <v>0</v>
      </c>
      <c r="AV18" s="1397">
        <f t="shared" si="29"/>
        <v>0</v>
      </c>
      <c r="AW18" s="1138">
        <f t="shared" si="30"/>
        <v>0</v>
      </c>
      <c r="AX18" s="1397">
        <f t="shared" si="44"/>
        <v>0</v>
      </c>
      <c r="AY18" s="1138">
        <f t="shared" si="31"/>
        <v>0</v>
      </c>
      <c r="AZ18" s="1397">
        <f t="shared" si="32"/>
        <v>0</v>
      </c>
      <c r="BA18" s="1138">
        <f t="shared" si="33"/>
        <v>0</v>
      </c>
      <c r="BB18" s="1397">
        <f t="shared" si="34"/>
        <v>0</v>
      </c>
      <c r="BC18" s="1138">
        <f t="shared" si="35"/>
        <v>0</v>
      </c>
      <c r="BD18" s="1138"/>
      <c r="BE18" s="1397">
        <f t="shared" si="23"/>
        <v>0</v>
      </c>
      <c r="BF18" s="1138">
        <f t="shared" si="24"/>
        <v>0</v>
      </c>
      <c r="BG18" s="1397">
        <f t="shared" si="36"/>
        <v>0</v>
      </c>
      <c r="BH18" s="1138">
        <f t="shared" si="37"/>
        <v>0</v>
      </c>
      <c r="BI18" s="1397">
        <f t="shared" si="38"/>
        <v>0</v>
      </c>
      <c r="BJ18" s="1138">
        <f t="shared" si="39"/>
        <v>0</v>
      </c>
      <c r="BK18" s="1397">
        <f t="shared" si="40"/>
        <v>0</v>
      </c>
      <c r="BL18" s="1138">
        <f t="shared" si="41"/>
        <v>0</v>
      </c>
      <c r="BM18" s="1397">
        <f t="shared" si="42"/>
        <v>0</v>
      </c>
      <c r="BN18" s="1138">
        <f t="shared" si="43"/>
        <v>0</v>
      </c>
      <c r="BO18" s="1131">
        <f>VLOOKUP(W18,Lähtötiedot!$C$102:$D$112,2,FALSE)</f>
        <v>0</v>
      </c>
    </row>
    <row r="19" spans="1:67" ht="13.5" thickBot="1">
      <c r="A19" s="1606" t="s">
        <v>365</v>
      </c>
      <c r="B19" s="1605"/>
      <c r="C19" s="124"/>
      <c r="D19" s="1503" t="b">
        <f>_xlfn.IFNA(W19=VLOOKUP(W19,Lähtötiedot!$A$60:$A$70,1,FALSE),"VÄÄRIN!")</f>
        <v>1</v>
      </c>
      <c r="E19" s="116">
        <v>0</v>
      </c>
      <c r="F19" s="1733">
        <f>Lähtötiedot!C6*G19</f>
        <v>0</v>
      </c>
      <c r="G19" s="1732">
        <v>2500</v>
      </c>
      <c r="H19" s="1918">
        <f t="shared" si="25"/>
        <v>2500</v>
      </c>
      <c r="I19" s="993">
        <f t="shared" si="0"/>
        <v>0</v>
      </c>
      <c r="J19" s="118">
        <f t="shared" si="1"/>
        <v>0</v>
      </c>
      <c r="K19" s="1127">
        <f>H19/IF(C19&gt;0,C19,1)</f>
        <v>2500</v>
      </c>
      <c r="L19" s="1127" t="e">
        <f>P19-Q19</f>
        <v>#VALUE!</v>
      </c>
      <c r="M19" s="118">
        <f t="shared" si="3"/>
        <v>2500</v>
      </c>
      <c r="N19" s="119">
        <v>0.01</v>
      </c>
      <c r="O19" s="85">
        <f t="shared" si="4"/>
        <v>1</v>
      </c>
      <c r="P19" s="93" t="str">
        <f t="shared" si="5"/>
        <v>Ei käytössä</v>
      </c>
      <c r="Q19" s="120">
        <f t="shared" si="6"/>
        <v>0</v>
      </c>
      <c r="R19" s="1558">
        <v>0</v>
      </c>
      <c r="S19" s="1556">
        <v>0</v>
      </c>
      <c r="T19" s="1556">
        <v>0</v>
      </c>
      <c r="U19" s="122">
        <v>0</v>
      </c>
      <c r="V19" s="123">
        <f t="shared" si="27"/>
        <v>2500</v>
      </c>
      <c r="W19" s="2409" t="s">
        <v>204</v>
      </c>
      <c r="X19" s="2394" t="str">
        <f t="shared" si="28"/>
        <v/>
      </c>
      <c r="Y19" s="1604"/>
      <c r="Z19" s="1131" t="str">
        <f>IF(Lähtötiedot!$F$8&lt;&gt;"A","T","A")</f>
        <v>T</v>
      </c>
      <c r="AA19" s="1408">
        <f t="shared" si="7"/>
        <v>-2500</v>
      </c>
      <c r="AB19" s="1192">
        <v>0</v>
      </c>
      <c r="AC19" s="1192">
        <v>0</v>
      </c>
      <c r="AD19" s="1402">
        <f t="shared" si="8"/>
        <v>0</v>
      </c>
      <c r="AE19" s="1402">
        <f t="shared" si="9"/>
        <v>0</v>
      </c>
      <c r="AF19" s="1192">
        <v>0.05</v>
      </c>
      <c r="AG19" s="1138">
        <f t="shared" si="10"/>
        <v>0</v>
      </c>
      <c r="AI19" s="1397">
        <f t="shared" si="11"/>
        <v>0</v>
      </c>
      <c r="AJ19" s="1138">
        <f t="shared" si="12"/>
        <v>0</v>
      </c>
      <c r="AK19" s="1397">
        <f t="shared" si="13"/>
        <v>0</v>
      </c>
      <c r="AL19" s="1138">
        <f t="shared" si="14"/>
        <v>0</v>
      </c>
      <c r="AM19" s="1397">
        <f t="shared" si="15"/>
        <v>0</v>
      </c>
      <c r="AN19" s="1138">
        <f t="shared" si="16"/>
        <v>0</v>
      </c>
      <c r="AO19" s="1397">
        <f t="shared" si="17"/>
        <v>0</v>
      </c>
      <c r="AP19" s="1138">
        <f t="shared" si="18"/>
        <v>0</v>
      </c>
      <c r="AQ19" s="1397">
        <f t="shared" si="19"/>
        <v>0</v>
      </c>
      <c r="AR19" s="1138">
        <f t="shared" si="20"/>
        <v>0</v>
      </c>
      <c r="AT19" s="1397">
        <f t="shared" si="21"/>
        <v>0</v>
      </c>
      <c r="AU19" s="1138">
        <f t="shared" si="22"/>
        <v>-2500</v>
      </c>
      <c r="AV19" s="1397">
        <f t="shared" si="29"/>
        <v>0</v>
      </c>
      <c r="AW19" s="1138">
        <f t="shared" si="30"/>
        <v>-2500</v>
      </c>
      <c r="AX19" s="1397">
        <f t="shared" si="44"/>
        <v>0</v>
      </c>
      <c r="AY19" s="1138">
        <f t="shared" si="31"/>
        <v>-2500</v>
      </c>
      <c r="AZ19" s="1397">
        <f t="shared" si="32"/>
        <v>0</v>
      </c>
      <c r="BA19" s="1138">
        <f t="shared" si="33"/>
        <v>-2500</v>
      </c>
      <c r="BB19" s="1397">
        <f t="shared" si="34"/>
        <v>0</v>
      </c>
      <c r="BC19" s="1138">
        <f t="shared" si="35"/>
        <v>-2500</v>
      </c>
      <c r="BD19" s="1138"/>
      <c r="BE19" s="1397">
        <f t="shared" si="23"/>
        <v>0</v>
      </c>
      <c r="BF19" s="1138">
        <f t="shared" si="24"/>
        <v>-2500</v>
      </c>
      <c r="BG19" s="1397">
        <f t="shared" si="36"/>
        <v>0</v>
      </c>
      <c r="BH19" s="1138">
        <f t="shared" si="37"/>
        <v>-2500</v>
      </c>
      <c r="BI19" s="1397">
        <f t="shared" si="38"/>
        <v>0</v>
      </c>
      <c r="BJ19" s="1138">
        <f t="shared" si="39"/>
        <v>-2500</v>
      </c>
      <c r="BK19" s="1397">
        <f t="shared" si="40"/>
        <v>0</v>
      </c>
      <c r="BL19" s="1138">
        <f t="shared" si="41"/>
        <v>-2500</v>
      </c>
      <c r="BM19" s="1397">
        <f t="shared" si="42"/>
        <v>0</v>
      </c>
      <c r="BN19" s="1138">
        <f t="shared" si="43"/>
        <v>-2500</v>
      </c>
      <c r="BO19" s="1131">
        <f>VLOOKUP(W19,Lähtötiedot!$C$102:$D$112,2,FALSE)</f>
        <v>0</v>
      </c>
    </row>
    <row r="20" spans="1:67" ht="13.5" thickBot="1">
      <c r="A20" s="1075" t="s">
        <v>366</v>
      </c>
      <c r="B20" s="113"/>
      <c r="C20" s="127">
        <v>35</v>
      </c>
      <c r="D20" s="1503" t="b">
        <f>_xlfn.IFNA(W20=VLOOKUP(W20,Lähtötiedot!$A$60:$A$70,1,FALSE),"VÄÄRIN!")</f>
        <v>1</v>
      </c>
      <c r="E20" s="827">
        <v>0</v>
      </c>
      <c r="F20" s="1733">
        <f>Lähtötiedot!C53*G20</f>
        <v>0</v>
      </c>
      <c r="G20" s="1732">
        <v>4000</v>
      </c>
      <c r="H20" s="1918">
        <f t="shared" si="25"/>
        <v>4000</v>
      </c>
      <c r="I20" s="993">
        <f t="shared" si="0"/>
        <v>0</v>
      </c>
      <c r="J20" s="118">
        <f>IF(Z20="T",H20-(H20/C20),H20-(M20))</f>
        <v>3885.7142857142858</v>
      </c>
      <c r="K20" s="1127">
        <f>H20/IF(C20&gt;0,C20,1)</f>
        <v>114.28571428571429</v>
      </c>
      <c r="L20" s="1127" t="e">
        <f t="shared" si="26"/>
        <v>#VALUE!</v>
      </c>
      <c r="M20" s="118">
        <f t="shared" si="3"/>
        <v>114.28571428571429</v>
      </c>
      <c r="N20" s="119">
        <v>0.01</v>
      </c>
      <c r="O20" s="85">
        <f t="shared" si="4"/>
        <v>3.4003681817336442E-2</v>
      </c>
      <c r="P20" s="93" t="str">
        <f t="shared" si="5"/>
        <v>Ei käytössä</v>
      </c>
      <c r="Q20" s="120">
        <f t="shared" si="6"/>
        <v>19.428571428571431</v>
      </c>
      <c r="R20" s="1559">
        <v>0</v>
      </c>
      <c r="S20" s="1556">
        <v>0</v>
      </c>
      <c r="T20" s="1557">
        <v>0</v>
      </c>
      <c r="U20" s="122">
        <v>0</v>
      </c>
      <c r="V20" s="131">
        <f>M20+Q20+R20+S20+T20+U20</f>
        <v>133.71428571428572</v>
      </c>
      <c r="W20" s="2409" t="s">
        <v>212</v>
      </c>
      <c r="X20" s="2412"/>
      <c r="Y20" s="1604"/>
      <c r="Z20" s="1131" t="str">
        <f>IF(Lähtötiedot!$F$8&lt;&gt;"A","T","A")</f>
        <v>T</v>
      </c>
      <c r="AA20" s="1408">
        <f t="shared" si="7"/>
        <v>-114.28571428571429</v>
      </c>
      <c r="AB20" s="1192">
        <v>0</v>
      </c>
      <c r="AC20" s="1192">
        <v>0</v>
      </c>
      <c r="AD20" s="1402">
        <f t="shared" si="8"/>
        <v>0</v>
      </c>
      <c r="AE20" s="1402">
        <f t="shared" si="9"/>
        <v>0</v>
      </c>
      <c r="AF20" s="1192">
        <v>0</v>
      </c>
      <c r="AG20" s="1138">
        <f t="shared" si="10"/>
        <v>0</v>
      </c>
      <c r="AI20" s="1397">
        <f t="shared" si="11"/>
        <v>0</v>
      </c>
      <c r="AJ20" s="1138">
        <f t="shared" si="12"/>
        <v>0</v>
      </c>
      <c r="AK20" s="1397">
        <f t="shared" si="13"/>
        <v>0</v>
      </c>
      <c r="AL20" s="1138">
        <f t="shared" si="14"/>
        <v>0</v>
      </c>
      <c r="AM20" s="1397">
        <f t="shared" si="15"/>
        <v>0</v>
      </c>
      <c r="AN20" s="1138">
        <f t="shared" si="16"/>
        <v>0</v>
      </c>
      <c r="AO20" s="1397">
        <f t="shared" si="17"/>
        <v>0</v>
      </c>
      <c r="AP20" s="1138">
        <f t="shared" si="18"/>
        <v>0</v>
      </c>
      <c r="AQ20" s="1397">
        <f t="shared" si="19"/>
        <v>0</v>
      </c>
      <c r="AR20" s="1138">
        <f t="shared" si="20"/>
        <v>0</v>
      </c>
      <c r="AT20" s="1397">
        <f t="shared" si="21"/>
        <v>0</v>
      </c>
      <c r="AU20" s="1138">
        <f t="shared" si="22"/>
        <v>-114.28571428571429</v>
      </c>
      <c r="AV20" s="1397">
        <f t="shared" si="29"/>
        <v>0</v>
      </c>
      <c r="AW20" s="1138">
        <f t="shared" si="30"/>
        <v>-114.28571428571429</v>
      </c>
      <c r="AX20" s="1397">
        <f t="shared" si="44"/>
        <v>0</v>
      </c>
      <c r="AY20" s="1138">
        <f t="shared" si="31"/>
        <v>-114.28571428571429</v>
      </c>
      <c r="AZ20" s="1397">
        <f t="shared" si="32"/>
        <v>0</v>
      </c>
      <c r="BA20" s="1138">
        <f t="shared" si="33"/>
        <v>-114.28571428571429</v>
      </c>
      <c r="BB20" s="1397">
        <f t="shared" si="34"/>
        <v>0</v>
      </c>
      <c r="BC20" s="1138">
        <f t="shared" si="35"/>
        <v>-114.28571428571429</v>
      </c>
      <c r="BD20" s="1138"/>
      <c r="BE20" s="1397">
        <f t="shared" si="23"/>
        <v>0</v>
      </c>
      <c r="BF20" s="1138">
        <f t="shared" si="24"/>
        <v>-114.28571428571429</v>
      </c>
      <c r="BG20" s="1397">
        <f t="shared" si="36"/>
        <v>0</v>
      </c>
      <c r="BH20" s="1138">
        <f t="shared" si="37"/>
        <v>-114.28571428571429</v>
      </c>
      <c r="BI20" s="1397">
        <f t="shared" si="38"/>
        <v>0</v>
      </c>
      <c r="BJ20" s="1138">
        <f t="shared" si="39"/>
        <v>-114.28571428571429</v>
      </c>
      <c r="BK20" s="1397">
        <f t="shared" si="40"/>
        <v>0</v>
      </c>
      <c r="BL20" s="1138">
        <f t="shared" si="41"/>
        <v>-114.28571428571429</v>
      </c>
      <c r="BM20" s="1397">
        <f t="shared" si="42"/>
        <v>0</v>
      </c>
      <c r="BN20" s="1138">
        <f t="shared" si="43"/>
        <v>-114.28571428571429</v>
      </c>
      <c r="BO20" s="1131">
        <f>VLOOKUP(W20,Lähtötiedot!$C$102:$D$112,2,FALSE)</f>
        <v>0</v>
      </c>
    </row>
    <row r="21" spans="1:67">
      <c r="A21" s="132" t="s">
        <v>3</v>
      </c>
      <c r="B21" s="133"/>
      <c r="C21" s="134"/>
      <c r="D21" s="134"/>
      <c r="E21" s="134"/>
      <c r="F21" s="135">
        <f>SUM(F5:F20)</f>
        <v>0</v>
      </c>
      <c r="G21" s="135">
        <f>SUM(G5:G20)</f>
        <v>6500</v>
      </c>
      <c r="H21" s="135"/>
      <c r="I21" s="136">
        <f>AVERAGE(I5:I18)</f>
        <v>0</v>
      </c>
      <c r="J21" s="118">
        <f>SUM(J5:J20)</f>
        <v>3885.7142857142858</v>
      </c>
      <c r="K21" s="118"/>
      <c r="L21" s="118"/>
      <c r="M21" s="135">
        <f>SUM(M5:M20)</f>
        <v>2614.2857142857142</v>
      </c>
      <c r="N21" s="137"/>
      <c r="O21" s="137"/>
      <c r="P21" s="137"/>
      <c r="Q21" s="138">
        <f t="shared" ref="Q21:V21" si="45">SUM(Q5:Q20)</f>
        <v>19.428571428571431</v>
      </c>
      <c r="R21" s="139">
        <f t="shared" si="45"/>
        <v>0</v>
      </c>
      <c r="S21" s="140">
        <f t="shared" si="45"/>
        <v>0</v>
      </c>
      <c r="T21" s="140">
        <f t="shared" si="45"/>
        <v>0</v>
      </c>
      <c r="U21" s="140">
        <f t="shared" si="45"/>
        <v>0</v>
      </c>
      <c r="V21" s="141">
        <f t="shared" si="45"/>
        <v>2633.7142857142858</v>
      </c>
      <c r="W21" s="2659" t="s">
        <v>315</v>
      </c>
      <c r="X21" s="1597"/>
      <c r="Y21" s="134"/>
      <c r="AA21" s="1410">
        <f t="shared" ref="AA21" si="46">SUM(AA5:AA20)</f>
        <v>-2614.2857142857142</v>
      </c>
      <c r="AD21" s="1409">
        <f t="shared" ref="AD21:AG21" si="47">SUM(AD5:AD20)</f>
        <v>0</v>
      </c>
      <c r="AE21" s="1409">
        <f t="shared" si="47"/>
        <v>0</v>
      </c>
      <c r="AG21" s="1409">
        <f t="shared" si="47"/>
        <v>0</v>
      </c>
      <c r="AI21" s="1409">
        <f t="shared" ref="AI21:AR21" si="48">SUM(AI5:AI20)</f>
        <v>0</v>
      </c>
      <c r="AJ21" s="1409">
        <f t="shared" si="48"/>
        <v>0</v>
      </c>
      <c r="AK21" s="1409">
        <f t="shared" si="48"/>
        <v>0</v>
      </c>
      <c r="AL21" s="1409">
        <f t="shared" si="48"/>
        <v>0</v>
      </c>
      <c r="AM21" s="1409">
        <f t="shared" si="48"/>
        <v>0</v>
      </c>
      <c r="AN21" s="1409">
        <f t="shared" si="48"/>
        <v>0</v>
      </c>
      <c r="AO21" s="1409">
        <f t="shared" si="48"/>
        <v>0</v>
      </c>
      <c r="AP21" s="1409">
        <f t="shared" si="48"/>
        <v>0</v>
      </c>
      <c r="AQ21" s="1409">
        <f t="shared" si="48"/>
        <v>0</v>
      </c>
      <c r="AR21" s="1409">
        <f t="shared" si="48"/>
        <v>0</v>
      </c>
      <c r="AT21" s="1409">
        <f>IF(SUM(AT5:AT20)&gt;0,(SUM(AT5:AT20)),0)</f>
        <v>0</v>
      </c>
      <c r="AU21" s="1409">
        <f t="shared" ref="AU21:AY21" si="49">IF(SUM(AU5:AU20)&gt;0,(SUM(AU5:AU20)),0)</f>
        <v>0</v>
      </c>
      <c r="AV21" s="1409">
        <f t="shared" si="49"/>
        <v>0</v>
      </c>
      <c r="AW21" s="1409">
        <f t="shared" si="49"/>
        <v>0</v>
      </c>
      <c r="AX21" s="1409">
        <f t="shared" si="49"/>
        <v>0</v>
      </c>
      <c r="AY21" s="1409">
        <f t="shared" si="49"/>
        <v>0</v>
      </c>
      <c r="AZ21" s="1409">
        <f>IF(SUM(AZ5:AZ20)&gt;0,(SUM(AZ5:AZ20)),0)</f>
        <v>0</v>
      </c>
      <c r="BA21" s="1409">
        <f t="shared" ref="BA21" si="50">IF(SUM(BA5:BA20)&gt;0,(SUM(BA5:BA20)),0)</f>
        <v>0</v>
      </c>
      <c r="BB21" s="1409">
        <f t="shared" ref="BB21" si="51">IF(SUM(BB5:BB20)&gt;0,(SUM(BB5:BB20)),0)</f>
        <v>0</v>
      </c>
      <c r="BC21" s="1409">
        <f t="shared" ref="BC21" si="52">IF(SUM(BC5:BC20)&gt;0,(SUM(BC5:BC20)),0)</f>
        <v>0</v>
      </c>
      <c r="BD21" s="1464"/>
      <c r="BE21" s="1409">
        <f t="shared" ref="BE21:BN21" si="53">SUM(BE5:BE20)</f>
        <v>0</v>
      </c>
      <c r="BF21" s="1409">
        <f t="shared" si="53"/>
        <v>-2614.2857142857142</v>
      </c>
      <c r="BG21" s="1409">
        <f t="shared" si="53"/>
        <v>0</v>
      </c>
      <c r="BH21" s="1409">
        <f t="shared" si="53"/>
        <v>-2614.2857142857142</v>
      </c>
      <c r="BI21" s="1409">
        <f t="shared" si="53"/>
        <v>0</v>
      </c>
      <c r="BJ21" s="1409">
        <f t="shared" si="53"/>
        <v>-2614.2857142857142</v>
      </c>
      <c r="BK21" s="1409">
        <f t="shared" si="53"/>
        <v>0</v>
      </c>
      <c r="BL21" s="1409">
        <f t="shared" si="53"/>
        <v>-2614.2857142857142</v>
      </c>
      <c r="BM21" s="1409">
        <f t="shared" si="53"/>
        <v>0</v>
      </c>
      <c r="BN21" s="1409">
        <f t="shared" si="53"/>
        <v>-2614.2857142857142</v>
      </c>
    </row>
    <row r="22" spans="1:67" ht="25.5" customHeight="1">
      <c r="A22" s="133" t="s">
        <v>135</v>
      </c>
      <c r="B22" s="830" t="e">
        <f>AVERAGE(B5:B20)</f>
        <v>#DIV/0!</v>
      </c>
      <c r="C22" s="142">
        <f>AVERAGE(C5:C12)</f>
        <v>3.875</v>
      </c>
      <c r="D22" s="142"/>
      <c r="E22" s="143"/>
      <c r="F22" s="144"/>
      <c r="G22" s="144"/>
      <c r="H22" s="144"/>
      <c r="I22" s="143"/>
      <c r="J22" s="145"/>
      <c r="K22" s="145"/>
      <c r="L22" s="145"/>
      <c r="M22" s="145"/>
      <c r="N22" s="146">
        <f>AVERAGE(N5:N20)</f>
        <v>0.01</v>
      </c>
      <c r="O22" s="147"/>
      <c r="P22" s="147"/>
      <c r="Q22" s="123"/>
      <c r="R22" s="145"/>
      <c r="S22" s="134"/>
      <c r="T22" s="134"/>
      <c r="U22" s="134"/>
      <c r="V22" s="1582" t="s">
        <v>316</v>
      </c>
      <c r="W22" s="2660"/>
      <c r="X22" s="1597"/>
      <c r="Y22" s="134"/>
    </row>
    <row r="23" spans="1:67" ht="14.25" customHeight="1" thickBot="1">
      <c r="A23" s="133"/>
      <c r="B23" s="1596"/>
      <c r="C23" s="143"/>
      <c r="D23" s="143"/>
      <c r="E23" s="143"/>
      <c r="F23" s="144"/>
      <c r="G23" s="144"/>
      <c r="H23" s="144"/>
      <c r="I23" s="143"/>
      <c r="J23" s="145"/>
      <c r="K23" s="145"/>
      <c r="L23" s="145"/>
      <c r="M23" s="145"/>
      <c r="N23" s="147"/>
      <c r="O23" s="147"/>
      <c r="P23" s="147"/>
      <c r="Q23" s="123"/>
      <c r="R23" s="145"/>
      <c r="S23" s="134"/>
      <c r="T23" s="134"/>
      <c r="U23" s="134"/>
      <c r="V23" s="1582"/>
      <c r="W23" s="1597"/>
      <c r="X23" s="1597"/>
      <c r="Y23" s="134"/>
      <c r="AD23" s="2672" t="s">
        <v>317</v>
      </c>
      <c r="AE23" s="2672"/>
      <c r="AF23" s="2672"/>
      <c r="AG23" s="2672"/>
      <c r="AH23" s="2672"/>
      <c r="AI23" s="2672"/>
      <c r="AJ23" s="2672"/>
      <c r="AK23" s="2672"/>
      <c r="AL23" s="2672"/>
      <c r="AM23" s="2672"/>
      <c r="AN23" s="2672"/>
      <c r="AO23" s="2672"/>
      <c r="AP23" s="2672"/>
      <c r="AQ23" s="2672"/>
      <c r="AR23" s="2672"/>
    </row>
    <row r="24" spans="1:67" ht="13.5" thickBot="1">
      <c r="F24" s="4" t="s">
        <v>287</v>
      </c>
      <c r="G24" s="2673" t="s">
        <v>367</v>
      </c>
      <c r="H24" s="105" t="s">
        <v>204</v>
      </c>
      <c r="M24" s="150">
        <f>SUMIFS(M$5:M$20,$W$5:$W$20,$H24,$Y$5:$Y$20,"K")</f>
        <v>0</v>
      </c>
      <c r="N24" s="149"/>
      <c r="O24" s="149"/>
      <c r="P24" s="149"/>
      <c r="Q24" s="150">
        <f t="shared" ref="Q24:V34" si="54">SUMIFS(Q$5:Q$20,$W$5:$W$20,$H24,$Y$5:$Y$20,"K")</f>
        <v>0</v>
      </c>
      <c r="R24" s="1577">
        <f t="shared" si="54"/>
        <v>0</v>
      </c>
      <c r="S24" s="1577">
        <f t="shared" si="54"/>
        <v>0</v>
      </c>
      <c r="T24" s="1577">
        <f t="shared" si="54"/>
        <v>0</v>
      </c>
      <c r="U24" s="1577">
        <f t="shared" si="54"/>
        <v>0</v>
      </c>
      <c r="V24" s="150">
        <f t="shared" si="54"/>
        <v>0</v>
      </c>
      <c r="W24" s="1577">
        <f>SUM(R24:U24)</f>
        <v>0</v>
      </c>
      <c r="X24" s="2408"/>
      <c r="Y24" s="1495"/>
      <c r="Z24" s="52"/>
      <c r="AA24" s="151" t="str">
        <f t="shared" ref="AA24:AA34" si="55">IF(V24=0,"",V24/$V$21)</f>
        <v/>
      </c>
      <c r="AD24" s="2410">
        <f t="shared" ref="AD24:AE34" si="56">SUMIFS(AD$5:AD$20,$W$5:$W$20,$H24,$Y$5:$Y$20,"K")</f>
        <v>0</v>
      </c>
      <c r="AE24" s="2410">
        <f t="shared" si="56"/>
        <v>0</v>
      </c>
      <c r="AG24" s="2410">
        <f>SUMIFS(AG$5:AG$20,$W$5:$W$20,$H24,$Y$5:$Y$20,"K")</f>
        <v>0</v>
      </c>
      <c r="AI24" s="2410">
        <f t="shared" ref="AI24:AR34" si="57">SUMIFS(AI$5:AI$20,$W$5:$W$20,$H24,$Y$5:$Y$20,"K")</f>
        <v>0</v>
      </c>
      <c r="AJ24" s="2410">
        <f t="shared" si="57"/>
        <v>0</v>
      </c>
      <c r="AK24" s="2410">
        <f t="shared" si="57"/>
        <v>0</v>
      </c>
      <c r="AL24" s="2410">
        <f t="shared" si="57"/>
        <v>0</v>
      </c>
      <c r="AM24" s="2410">
        <f t="shared" si="57"/>
        <v>0</v>
      </c>
      <c r="AN24" s="2410">
        <f t="shared" si="57"/>
        <v>0</v>
      </c>
      <c r="AO24" s="2410">
        <f t="shared" si="57"/>
        <v>0</v>
      </c>
      <c r="AP24" s="2410">
        <f t="shared" si="57"/>
        <v>0</v>
      </c>
      <c r="AQ24" s="2410">
        <f t="shared" si="57"/>
        <v>0</v>
      </c>
      <c r="AR24" s="2410">
        <f t="shared" si="57"/>
        <v>0</v>
      </c>
    </row>
    <row r="25" spans="1:67" ht="13.5" thickBot="1">
      <c r="F25" s="1598" t="str">
        <f>IF('Rakenna TULOSENNUSTE'!A108&lt;&gt;"",'Rakenna TULOSENNUSTE'!A108,"Ei")</f>
        <v>X</v>
      </c>
      <c r="G25" s="2673"/>
      <c r="H25" s="105" t="s">
        <v>236</v>
      </c>
      <c r="M25" s="150">
        <f t="shared" ref="M25:M32" si="58">SUMIFS(M$5:M$20,$W$5:$W$20,$H25,$Y$5:$Y$20,"K")</f>
        <v>0</v>
      </c>
      <c r="N25" s="149"/>
      <c r="O25" s="149"/>
      <c r="P25" s="149"/>
      <c r="Q25" s="150">
        <f t="shared" si="54"/>
        <v>0</v>
      </c>
      <c r="R25" s="1577">
        <f t="shared" si="54"/>
        <v>0</v>
      </c>
      <c r="S25" s="1577">
        <f t="shared" si="54"/>
        <v>0</v>
      </c>
      <c r="T25" s="1577">
        <f t="shared" si="54"/>
        <v>0</v>
      </c>
      <c r="U25" s="1577">
        <f t="shared" si="54"/>
        <v>0</v>
      </c>
      <c r="V25" s="150">
        <f t="shared" si="54"/>
        <v>0</v>
      </c>
      <c r="W25" s="1577">
        <f t="shared" ref="W25:W34" si="59">SUM(R25:U25)</f>
        <v>0</v>
      </c>
      <c r="X25" s="2408"/>
      <c r="Y25" s="1495"/>
      <c r="Z25" s="52"/>
      <c r="AA25" s="151" t="str">
        <f t="shared" si="55"/>
        <v/>
      </c>
      <c r="AD25" s="150">
        <f t="shared" si="56"/>
        <v>0</v>
      </c>
      <c r="AE25" s="150">
        <f t="shared" si="56"/>
        <v>0</v>
      </c>
      <c r="AG25" s="150">
        <f t="shared" ref="AG25:AG31" si="60">SUMIFS(AG$5:AG$20,$W$5:$W$20,$H25,$Y$5:$Y$20,"K")</f>
        <v>0</v>
      </c>
      <c r="AI25" s="150">
        <f t="shared" si="57"/>
        <v>0</v>
      </c>
      <c r="AJ25" s="150">
        <f t="shared" si="57"/>
        <v>0</v>
      </c>
      <c r="AK25" s="150">
        <f t="shared" si="57"/>
        <v>0</v>
      </c>
      <c r="AL25" s="150">
        <f t="shared" si="57"/>
        <v>0</v>
      </c>
      <c r="AM25" s="150">
        <f t="shared" si="57"/>
        <v>0</v>
      </c>
      <c r="AN25" s="150">
        <f t="shared" si="57"/>
        <v>0</v>
      </c>
      <c r="AO25" s="150">
        <f t="shared" si="57"/>
        <v>0</v>
      </c>
      <c r="AP25" s="150">
        <f t="shared" si="57"/>
        <v>0</v>
      </c>
      <c r="AQ25" s="150">
        <f t="shared" si="57"/>
        <v>0</v>
      </c>
      <c r="AR25" s="150">
        <f t="shared" si="57"/>
        <v>0</v>
      </c>
    </row>
    <row r="26" spans="1:67" ht="13.5" thickBot="1">
      <c r="A26" s="105"/>
      <c r="B26" s="105"/>
      <c r="F26" s="1598" t="str">
        <f>IF('Rakenna TULOSENNUSTE'!A109&lt;&gt;"",'Rakenna TULOSENNUSTE'!A109,"Ei")</f>
        <v>X</v>
      </c>
      <c r="G26" s="2673"/>
      <c r="H26" s="105" t="s">
        <v>210</v>
      </c>
      <c r="J26" s="152"/>
      <c r="K26" s="152"/>
      <c r="L26" s="152"/>
      <c r="M26" s="150">
        <f t="shared" si="58"/>
        <v>0</v>
      </c>
      <c r="N26" s="149"/>
      <c r="O26" s="149"/>
      <c r="P26" s="149"/>
      <c r="Q26" s="150">
        <f t="shared" si="54"/>
        <v>0</v>
      </c>
      <c r="R26" s="1577">
        <f t="shared" si="54"/>
        <v>0</v>
      </c>
      <c r="S26" s="1577">
        <f t="shared" si="54"/>
        <v>0</v>
      </c>
      <c r="T26" s="1577">
        <f t="shared" si="54"/>
        <v>0</v>
      </c>
      <c r="U26" s="1577">
        <f t="shared" si="54"/>
        <v>0</v>
      </c>
      <c r="V26" s="150">
        <f t="shared" si="54"/>
        <v>0</v>
      </c>
      <c r="W26" s="1577">
        <f t="shared" si="59"/>
        <v>0</v>
      </c>
      <c r="X26" s="2408"/>
      <c r="Y26" s="1495"/>
      <c r="Z26" s="52"/>
      <c r="AA26" s="151" t="str">
        <f t="shared" si="55"/>
        <v/>
      </c>
      <c r="AD26" s="150">
        <f t="shared" si="56"/>
        <v>0</v>
      </c>
      <c r="AE26" s="150">
        <f t="shared" si="56"/>
        <v>0</v>
      </c>
      <c r="AG26" s="150">
        <f t="shared" si="60"/>
        <v>0</v>
      </c>
      <c r="AI26" s="150">
        <f t="shared" si="57"/>
        <v>0</v>
      </c>
      <c r="AJ26" s="150">
        <f t="shared" si="57"/>
        <v>0</v>
      </c>
      <c r="AK26" s="150">
        <f t="shared" si="57"/>
        <v>0</v>
      </c>
      <c r="AL26" s="150">
        <f t="shared" si="57"/>
        <v>0</v>
      </c>
      <c r="AM26" s="150">
        <f t="shared" si="57"/>
        <v>0</v>
      </c>
      <c r="AN26" s="150">
        <f t="shared" si="57"/>
        <v>0</v>
      </c>
      <c r="AO26" s="150">
        <f t="shared" si="57"/>
        <v>0</v>
      </c>
      <c r="AP26" s="150">
        <f t="shared" si="57"/>
        <v>0</v>
      </c>
      <c r="AQ26" s="150">
        <f t="shared" si="57"/>
        <v>0</v>
      </c>
      <c r="AR26" s="150">
        <f t="shared" si="57"/>
        <v>0</v>
      </c>
    </row>
    <row r="27" spans="1:67" ht="13.5" thickBot="1">
      <c r="F27" s="1598" t="str">
        <f>IF('Rakenna TULOSENNUSTE'!A110&lt;&gt;"",'Rakenna TULOSENNUSTE'!A110,"Ei")</f>
        <v>X</v>
      </c>
      <c r="G27" s="2673"/>
      <c r="H27" s="105" t="s">
        <v>207</v>
      </c>
      <c r="M27" s="150">
        <f t="shared" si="58"/>
        <v>0</v>
      </c>
      <c r="N27" s="149"/>
      <c r="O27" s="149"/>
      <c r="P27" s="149"/>
      <c r="Q27" s="150">
        <f t="shared" si="54"/>
        <v>0</v>
      </c>
      <c r="R27" s="1577">
        <f t="shared" si="54"/>
        <v>0</v>
      </c>
      <c r="S27" s="1577">
        <f t="shared" si="54"/>
        <v>0</v>
      </c>
      <c r="T27" s="1577">
        <f t="shared" si="54"/>
        <v>0</v>
      </c>
      <c r="U27" s="1577">
        <f t="shared" si="54"/>
        <v>0</v>
      </c>
      <c r="V27" s="150">
        <f t="shared" si="54"/>
        <v>0</v>
      </c>
      <c r="W27" s="1577">
        <f t="shared" si="59"/>
        <v>0</v>
      </c>
      <c r="X27" s="2408"/>
      <c r="Y27" s="1495"/>
      <c r="Z27" s="52"/>
      <c r="AA27" s="151" t="str">
        <f t="shared" si="55"/>
        <v/>
      </c>
      <c r="AD27" s="150">
        <f t="shared" si="56"/>
        <v>0</v>
      </c>
      <c r="AE27" s="150">
        <f t="shared" si="56"/>
        <v>0</v>
      </c>
      <c r="AG27" s="150">
        <f t="shared" si="60"/>
        <v>0</v>
      </c>
      <c r="AI27" s="150">
        <f t="shared" si="57"/>
        <v>0</v>
      </c>
      <c r="AJ27" s="150">
        <f t="shared" si="57"/>
        <v>0</v>
      </c>
      <c r="AK27" s="150">
        <f t="shared" si="57"/>
        <v>0</v>
      </c>
      <c r="AL27" s="150">
        <f t="shared" si="57"/>
        <v>0</v>
      </c>
      <c r="AM27" s="150">
        <f t="shared" si="57"/>
        <v>0</v>
      </c>
      <c r="AN27" s="150">
        <f t="shared" si="57"/>
        <v>0</v>
      </c>
      <c r="AO27" s="150">
        <f t="shared" si="57"/>
        <v>0</v>
      </c>
      <c r="AP27" s="150">
        <f t="shared" si="57"/>
        <v>0</v>
      </c>
      <c r="AQ27" s="150">
        <f t="shared" si="57"/>
        <v>0</v>
      </c>
      <c r="AR27" s="150">
        <f t="shared" si="57"/>
        <v>0</v>
      </c>
    </row>
    <row r="28" spans="1:67" ht="13.5" thickBot="1">
      <c r="F28" s="1598" t="str">
        <f>IF('Rakenna TULOSENNUSTE'!A111&lt;&gt;"",'Rakenna TULOSENNUSTE'!A111,"Ei")</f>
        <v>X</v>
      </c>
      <c r="G28" s="2673"/>
      <c r="H28" s="105" t="s">
        <v>208</v>
      </c>
      <c r="M28" s="150">
        <f t="shared" si="58"/>
        <v>0</v>
      </c>
      <c r="N28" s="149"/>
      <c r="O28" s="149"/>
      <c r="P28" s="149"/>
      <c r="Q28" s="150">
        <f t="shared" si="54"/>
        <v>0</v>
      </c>
      <c r="R28" s="1577">
        <f t="shared" si="54"/>
        <v>0</v>
      </c>
      <c r="S28" s="1577">
        <f t="shared" si="54"/>
        <v>0</v>
      </c>
      <c r="T28" s="1577">
        <f t="shared" si="54"/>
        <v>0</v>
      </c>
      <c r="U28" s="1577">
        <f t="shared" si="54"/>
        <v>0</v>
      </c>
      <c r="V28" s="150">
        <f t="shared" si="54"/>
        <v>0</v>
      </c>
      <c r="W28" s="1577">
        <f t="shared" si="59"/>
        <v>0</v>
      </c>
      <c r="X28" s="2408"/>
      <c r="Y28" s="1495"/>
      <c r="Z28" s="134"/>
      <c r="AA28" s="151" t="str">
        <f t="shared" si="55"/>
        <v/>
      </c>
      <c r="AD28" s="150">
        <f t="shared" si="56"/>
        <v>0</v>
      </c>
      <c r="AE28" s="150">
        <f t="shared" si="56"/>
        <v>0</v>
      </c>
      <c r="AG28" s="150">
        <f t="shared" si="60"/>
        <v>0</v>
      </c>
      <c r="AI28" s="150">
        <f t="shared" si="57"/>
        <v>0</v>
      </c>
      <c r="AJ28" s="150">
        <f t="shared" si="57"/>
        <v>0</v>
      </c>
      <c r="AK28" s="150">
        <f t="shared" si="57"/>
        <v>0</v>
      </c>
      <c r="AL28" s="150">
        <f t="shared" si="57"/>
        <v>0</v>
      </c>
      <c r="AM28" s="150">
        <f t="shared" si="57"/>
        <v>0</v>
      </c>
      <c r="AN28" s="150">
        <f t="shared" si="57"/>
        <v>0</v>
      </c>
      <c r="AO28" s="150">
        <f t="shared" si="57"/>
        <v>0</v>
      </c>
      <c r="AP28" s="150">
        <f t="shared" si="57"/>
        <v>0</v>
      </c>
      <c r="AQ28" s="150">
        <f t="shared" si="57"/>
        <v>0</v>
      </c>
      <c r="AR28" s="150">
        <f t="shared" si="57"/>
        <v>0</v>
      </c>
    </row>
    <row r="29" spans="1:67" ht="15.75" customHeight="1" thickBot="1">
      <c r="A29" s="1"/>
      <c r="F29" s="1598" t="str">
        <f>IF('Rakenna TULOSENNUSTE'!A112&lt;&gt;"",'Rakenna TULOSENNUSTE'!A112,"Ei")</f>
        <v>x</v>
      </c>
      <c r="G29" s="2673"/>
      <c r="H29" s="105" t="s">
        <v>211</v>
      </c>
      <c r="I29" s="155"/>
      <c r="M29" s="150">
        <f t="shared" si="58"/>
        <v>0</v>
      </c>
      <c r="Q29" s="150">
        <f t="shared" si="54"/>
        <v>0</v>
      </c>
      <c r="R29" s="1577">
        <f t="shared" si="54"/>
        <v>0</v>
      </c>
      <c r="S29" s="1577">
        <f t="shared" si="54"/>
        <v>0</v>
      </c>
      <c r="T29" s="1577">
        <f t="shared" si="54"/>
        <v>0</v>
      </c>
      <c r="U29" s="1577">
        <f t="shared" si="54"/>
        <v>0</v>
      </c>
      <c r="V29" s="150">
        <f t="shared" si="54"/>
        <v>0</v>
      </c>
      <c r="W29" s="1577">
        <f t="shared" si="59"/>
        <v>0</v>
      </c>
      <c r="X29" s="2408"/>
      <c r="Y29" s="1495"/>
      <c r="Z29" s="134"/>
      <c r="AA29" s="151" t="str">
        <f t="shared" si="55"/>
        <v/>
      </c>
      <c r="AD29" s="150">
        <f t="shared" si="56"/>
        <v>0</v>
      </c>
      <c r="AE29" s="150">
        <f t="shared" si="56"/>
        <v>0</v>
      </c>
      <c r="AG29" s="150">
        <f t="shared" si="60"/>
        <v>0</v>
      </c>
      <c r="AI29" s="150">
        <f t="shared" si="57"/>
        <v>0</v>
      </c>
      <c r="AJ29" s="150">
        <f t="shared" si="57"/>
        <v>0</v>
      </c>
      <c r="AK29" s="150">
        <f t="shared" si="57"/>
        <v>0</v>
      </c>
      <c r="AL29" s="150">
        <f t="shared" si="57"/>
        <v>0</v>
      </c>
      <c r="AM29" s="150">
        <f t="shared" si="57"/>
        <v>0</v>
      </c>
      <c r="AN29" s="150">
        <f t="shared" si="57"/>
        <v>0</v>
      </c>
      <c r="AO29" s="150">
        <f t="shared" si="57"/>
        <v>0</v>
      </c>
      <c r="AP29" s="150">
        <f t="shared" si="57"/>
        <v>0</v>
      </c>
      <c r="AQ29" s="150">
        <f t="shared" si="57"/>
        <v>0</v>
      </c>
      <c r="AR29" s="150">
        <f t="shared" si="57"/>
        <v>0</v>
      </c>
    </row>
    <row r="30" spans="1:67" ht="15.75" customHeight="1" thickBot="1">
      <c r="A30" s="1"/>
      <c r="F30" s="1598" t="str">
        <f>IF('Rakenna TULOSENNUSTE'!A113&lt;&gt;"",'Rakenna TULOSENNUSTE'!A113,"Ei")</f>
        <v>Ei</v>
      </c>
      <c r="G30" s="2673"/>
      <c r="H30" s="105" t="s">
        <v>212</v>
      </c>
      <c r="I30" s="155"/>
      <c r="M30" s="150">
        <f t="shared" si="58"/>
        <v>0</v>
      </c>
      <c r="Q30" s="150">
        <f t="shared" si="54"/>
        <v>0</v>
      </c>
      <c r="R30" s="1577">
        <f t="shared" si="54"/>
        <v>0</v>
      </c>
      <c r="S30" s="1577">
        <f t="shared" si="54"/>
        <v>0</v>
      </c>
      <c r="T30" s="1577">
        <f t="shared" si="54"/>
        <v>0</v>
      </c>
      <c r="U30" s="1577">
        <f t="shared" si="54"/>
        <v>0</v>
      </c>
      <c r="V30" s="150">
        <f t="shared" si="54"/>
        <v>0</v>
      </c>
      <c r="W30" s="1577">
        <f t="shared" si="59"/>
        <v>0</v>
      </c>
      <c r="X30" s="2408"/>
      <c r="Y30" s="1495"/>
      <c r="Z30" s="134"/>
      <c r="AA30" s="151" t="str">
        <f t="shared" si="55"/>
        <v/>
      </c>
      <c r="AD30" s="150">
        <f t="shared" si="56"/>
        <v>0</v>
      </c>
      <c r="AE30" s="150">
        <f t="shared" si="56"/>
        <v>0</v>
      </c>
      <c r="AG30" s="150">
        <f t="shared" si="60"/>
        <v>0</v>
      </c>
      <c r="AI30" s="150">
        <f t="shared" si="57"/>
        <v>0</v>
      </c>
      <c r="AJ30" s="150">
        <f t="shared" si="57"/>
        <v>0</v>
      </c>
      <c r="AK30" s="150">
        <f t="shared" si="57"/>
        <v>0</v>
      </c>
      <c r="AL30" s="150">
        <f t="shared" si="57"/>
        <v>0</v>
      </c>
      <c r="AM30" s="150">
        <f t="shared" si="57"/>
        <v>0</v>
      </c>
      <c r="AN30" s="150">
        <f t="shared" si="57"/>
        <v>0</v>
      </c>
      <c r="AO30" s="150">
        <f t="shared" si="57"/>
        <v>0</v>
      </c>
      <c r="AP30" s="150">
        <f t="shared" si="57"/>
        <v>0</v>
      </c>
      <c r="AQ30" s="150">
        <f t="shared" si="57"/>
        <v>0</v>
      </c>
      <c r="AR30" s="150">
        <f t="shared" si="57"/>
        <v>0</v>
      </c>
    </row>
    <row r="31" spans="1:67" ht="12.75" customHeight="1" thickBot="1">
      <c r="B31"/>
      <c r="C31" s="156"/>
      <c r="D31" s="2657" t="s">
        <v>318</v>
      </c>
      <c r="E31"/>
      <c r="F31" s="1598" t="str">
        <f>IF('Rakenna TULOSENNUSTE'!A114&lt;&gt;"",'Rakenna TULOSENNUSTE'!A114,"Ei")</f>
        <v>Ei</v>
      </c>
      <c r="G31" s="2673"/>
      <c r="H31" s="105" t="s">
        <v>213</v>
      </c>
      <c r="I31" s="157"/>
      <c r="J31"/>
      <c r="K31"/>
      <c r="L31"/>
      <c r="M31" s="150">
        <f t="shared" si="58"/>
        <v>0</v>
      </c>
      <c r="N31" s="521"/>
      <c r="O31" s="521"/>
      <c r="P31" s="521"/>
      <c r="Q31" s="150">
        <f t="shared" si="54"/>
        <v>0</v>
      </c>
      <c r="R31" s="1577">
        <f t="shared" si="54"/>
        <v>0</v>
      </c>
      <c r="S31" s="1577">
        <f t="shared" si="54"/>
        <v>0</v>
      </c>
      <c r="T31" s="1577">
        <f t="shared" si="54"/>
        <v>0</v>
      </c>
      <c r="U31" s="1577">
        <f t="shared" si="54"/>
        <v>0</v>
      </c>
      <c r="V31" s="150">
        <f t="shared" si="54"/>
        <v>0</v>
      </c>
      <c r="W31" s="1577">
        <f t="shared" si="59"/>
        <v>0</v>
      </c>
      <c r="X31" s="2408"/>
      <c r="Y31" s="1495"/>
      <c r="Z31" s="134"/>
      <c r="AA31" s="151" t="str">
        <f t="shared" si="55"/>
        <v/>
      </c>
      <c r="AD31" s="150">
        <f t="shared" si="56"/>
        <v>0</v>
      </c>
      <c r="AE31" s="150">
        <f t="shared" si="56"/>
        <v>0</v>
      </c>
      <c r="AG31" s="150">
        <f t="shared" si="60"/>
        <v>0</v>
      </c>
      <c r="AI31" s="150">
        <f t="shared" si="57"/>
        <v>0</v>
      </c>
      <c r="AJ31" s="150">
        <f t="shared" si="57"/>
        <v>0</v>
      </c>
      <c r="AK31" s="150">
        <f t="shared" si="57"/>
        <v>0</v>
      </c>
      <c r="AL31" s="150">
        <f t="shared" si="57"/>
        <v>0</v>
      </c>
      <c r="AM31" s="150">
        <f t="shared" si="57"/>
        <v>0</v>
      </c>
      <c r="AN31" s="150">
        <f t="shared" si="57"/>
        <v>0</v>
      </c>
      <c r="AO31" s="150">
        <f t="shared" si="57"/>
        <v>0</v>
      </c>
      <c r="AP31" s="150">
        <f t="shared" si="57"/>
        <v>0</v>
      </c>
      <c r="AQ31" s="150">
        <f t="shared" si="57"/>
        <v>0</v>
      </c>
      <c r="AR31" s="150">
        <f t="shared" si="57"/>
        <v>0</v>
      </c>
    </row>
    <row r="32" spans="1:67" ht="12.75" customHeight="1" thickBot="1">
      <c r="B32"/>
      <c r="C32" s="156"/>
      <c r="D32" s="2657"/>
      <c r="E32"/>
      <c r="F32" s="1598" t="str">
        <f>IF('Rakenna TULOSENNUSTE'!A115&lt;&gt;"",'Rakenna TULOSENNUSTE'!A115,"Ei")</f>
        <v>X</v>
      </c>
      <c r="G32" s="2673"/>
      <c r="H32" t="str">
        <f>Lähtötiedot!J9</f>
        <v>mansikka</v>
      </c>
      <c r="I32" s="157"/>
      <c r="J32"/>
      <c r="K32"/>
      <c r="L32"/>
      <c r="M32" s="150">
        <f t="shared" si="58"/>
        <v>0</v>
      </c>
      <c r="N32" s="521"/>
      <c r="O32" s="521"/>
      <c r="P32" s="521"/>
      <c r="Q32" s="150">
        <f t="shared" si="54"/>
        <v>0</v>
      </c>
      <c r="R32" s="1577">
        <f t="shared" si="54"/>
        <v>0</v>
      </c>
      <c r="S32" s="1577">
        <f t="shared" si="54"/>
        <v>0</v>
      </c>
      <c r="T32" s="1577">
        <f t="shared" si="54"/>
        <v>0</v>
      </c>
      <c r="U32" s="1577">
        <f t="shared" si="54"/>
        <v>0</v>
      </c>
      <c r="V32" s="150">
        <f t="shared" si="54"/>
        <v>0</v>
      </c>
      <c r="W32" s="1577">
        <f>SUM(R32:U32)</f>
        <v>0</v>
      </c>
      <c r="X32" s="2408"/>
      <c r="Y32" s="1495"/>
      <c r="Z32" s="134"/>
      <c r="AA32" s="151" t="str">
        <f t="shared" si="55"/>
        <v/>
      </c>
      <c r="AD32" s="150">
        <f t="shared" si="56"/>
        <v>0</v>
      </c>
      <c r="AE32" s="150">
        <f t="shared" si="56"/>
        <v>0</v>
      </c>
      <c r="AG32" s="150">
        <f>SUMIFS(AG$5:AG$20,$W$5:$W$20,$H32,$Y$5:$Y$20,"K")</f>
        <v>0</v>
      </c>
      <c r="AI32" s="150">
        <f t="shared" si="57"/>
        <v>0</v>
      </c>
      <c r="AJ32" s="150">
        <f t="shared" si="57"/>
        <v>0</v>
      </c>
      <c r="AK32" s="150">
        <f t="shared" si="57"/>
        <v>0</v>
      </c>
      <c r="AL32" s="150">
        <f t="shared" si="57"/>
        <v>0</v>
      </c>
      <c r="AM32" s="150">
        <f t="shared" si="57"/>
        <v>0</v>
      </c>
      <c r="AN32" s="150">
        <f t="shared" si="57"/>
        <v>0</v>
      </c>
      <c r="AO32" s="150">
        <f t="shared" si="57"/>
        <v>0</v>
      </c>
      <c r="AP32" s="150">
        <f t="shared" si="57"/>
        <v>0</v>
      </c>
      <c r="AQ32" s="150">
        <f t="shared" si="57"/>
        <v>0</v>
      </c>
      <c r="AR32" s="150">
        <f t="shared" si="57"/>
        <v>0</v>
      </c>
    </row>
    <row r="33" spans="2:44" ht="12.75" customHeight="1" thickBot="1">
      <c r="B33"/>
      <c r="C33" s="156"/>
      <c r="D33" s="2657"/>
      <c r="E33"/>
      <c r="F33" s="1598" t="str">
        <f>IF('Rakenna TULOSENNUSTE'!A116&lt;&gt;"",'Rakenna TULOSENNUSTE'!A116,"Ei")</f>
        <v>X</v>
      </c>
      <c r="G33" s="2673"/>
      <c r="H33" s="134" t="str">
        <f>IF(Lähtötiedot!$K$9&lt;&gt;"",Lähtötiedot!$K$9,"-")</f>
        <v>herukka</v>
      </c>
      <c r="I33" s="157"/>
      <c r="J33"/>
      <c r="K33"/>
      <c r="L33"/>
      <c r="M33" s="150">
        <f>SUMIFS(M$5:M$20,$W$5:$W$20,#REF!,$Y$5:$Y$20,"K")</f>
        <v>0</v>
      </c>
      <c r="N33" s="521"/>
      <c r="O33" s="521"/>
      <c r="P33" s="521"/>
      <c r="Q33" s="150">
        <f t="shared" si="54"/>
        <v>0</v>
      </c>
      <c r="R33" s="1577">
        <f t="shared" si="54"/>
        <v>0</v>
      </c>
      <c r="S33" s="1577">
        <f t="shared" si="54"/>
        <v>0</v>
      </c>
      <c r="T33" s="1577">
        <f t="shared" si="54"/>
        <v>0</v>
      </c>
      <c r="U33" s="1577">
        <f t="shared" si="54"/>
        <v>0</v>
      </c>
      <c r="V33" s="150">
        <f t="shared" si="54"/>
        <v>0</v>
      </c>
      <c r="W33" s="1577">
        <f>SUM(R33:U33)</f>
        <v>0</v>
      </c>
      <c r="X33" s="2408"/>
      <c r="Y33" s="1495"/>
      <c r="AA33" s="1572" t="str">
        <f t="shared" si="55"/>
        <v/>
      </c>
      <c r="AD33" s="150">
        <f t="shared" si="56"/>
        <v>0</v>
      </c>
      <c r="AE33" s="150">
        <f t="shared" si="56"/>
        <v>0</v>
      </c>
      <c r="AG33" s="150">
        <f t="shared" ref="AG33:AG34" si="61">SUMIFS(AG$5:AG$20,$W$5:$W$20,$H33,$Y$5:$Y$20,"K")</f>
        <v>0</v>
      </c>
      <c r="AI33" s="150">
        <f t="shared" si="57"/>
        <v>0</v>
      </c>
      <c r="AJ33" s="150">
        <f t="shared" si="57"/>
        <v>0</v>
      </c>
      <c r="AK33" s="150">
        <f t="shared" si="57"/>
        <v>0</v>
      </c>
      <c r="AL33" s="150">
        <f t="shared" si="57"/>
        <v>0</v>
      </c>
      <c r="AM33" s="150">
        <f t="shared" si="57"/>
        <v>0</v>
      </c>
      <c r="AN33" s="150">
        <f t="shared" si="57"/>
        <v>0</v>
      </c>
      <c r="AO33" s="150">
        <f t="shared" si="57"/>
        <v>0</v>
      </c>
      <c r="AP33" s="150">
        <f t="shared" si="57"/>
        <v>0</v>
      </c>
      <c r="AQ33" s="150">
        <f t="shared" si="57"/>
        <v>0</v>
      </c>
      <c r="AR33" s="150">
        <f t="shared" si="57"/>
        <v>0</v>
      </c>
    </row>
    <row r="34" spans="2:44" ht="12.75" customHeight="1" thickBot="1">
      <c r="B34"/>
      <c r="C34" s="156"/>
      <c r="D34" s="2657"/>
      <c r="E34"/>
      <c r="F34" s="1598" t="str">
        <f>IF('Rakenna TULOSENNUSTE'!A117&lt;&gt;"",'Rakenna TULOSENNUSTE'!A117,"Ei")</f>
        <v>X</v>
      </c>
      <c r="G34" s="2673"/>
      <c r="H34" s="134" t="str">
        <f>IF(Lähtötiedot!$L$9&lt;&gt;"",Lähtötiedot!$L$9,"-")</f>
        <v>öljykasvit</v>
      </c>
      <c r="I34" s="157"/>
      <c r="J34"/>
      <c r="K34"/>
      <c r="L34"/>
      <c r="M34" s="1535">
        <f>SUMIFS(M$5:M$20,$W$5:$W$20,#REF!,$Y$5:$Y$20,"K")</f>
        <v>0</v>
      </c>
      <c r="N34" s="521"/>
      <c r="O34" s="521"/>
      <c r="P34" s="521"/>
      <c r="Q34" s="1535">
        <f t="shared" si="54"/>
        <v>0</v>
      </c>
      <c r="R34" s="1578">
        <f t="shared" si="54"/>
        <v>0</v>
      </c>
      <c r="S34" s="1578">
        <f t="shared" si="54"/>
        <v>0</v>
      </c>
      <c r="T34" s="1578">
        <f t="shared" si="54"/>
        <v>0</v>
      </c>
      <c r="U34" s="1578">
        <f t="shared" si="54"/>
        <v>0</v>
      </c>
      <c r="V34" s="1535">
        <f t="shared" si="54"/>
        <v>0</v>
      </c>
      <c r="W34" s="1577">
        <f t="shared" si="59"/>
        <v>0</v>
      </c>
      <c r="X34" s="2408"/>
      <c r="Y34" s="1495"/>
      <c r="AA34" s="1536" t="str">
        <f t="shared" si="55"/>
        <v/>
      </c>
      <c r="AD34" s="150">
        <f t="shared" si="56"/>
        <v>0</v>
      </c>
      <c r="AE34" s="150">
        <f t="shared" si="56"/>
        <v>0</v>
      </c>
      <c r="AG34" s="150">
        <f t="shared" si="61"/>
        <v>0</v>
      </c>
      <c r="AI34" s="150">
        <f t="shared" si="57"/>
        <v>0</v>
      </c>
      <c r="AJ34" s="150">
        <f t="shared" si="57"/>
        <v>0</v>
      </c>
      <c r="AK34" s="150">
        <f t="shared" si="57"/>
        <v>0</v>
      </c>
      <c r="AL34" s="150">
        <f t="shared" si="57"/>
        <v>0</v>
      </c>
      <c r="AM34" s="150">
        <f t="shared" si="57"/>
        <v>0</v>
      </c>
      <c r="AN34" s="150">
        <f t="shared" si="57"/>
        <v>0</v>
      </c>
      <c r="AO34" s="150">
        <f t="shared" si="57"/>
        <v>0</v>
      </c>
      <c r="AP34" s="150">
        <f t="shared" si="57"/>
        <v>0</v>
      </c>
      <c r="AQ34" s="150">
        <f t="shared" si="57"/>
        <v>0</v>
      </c>
      <c r="AR34" s="150">
        <f t="shared" si="57"/>
        <v>0</v>
      </c>
    </row>
    <row r="35" spans="2:44" ht="12.75" customHeight="1" thickBot="1">
      <c r="B35"/>
      <c r="C35" s="156"/>
      <c r="D35" s="2657"/>
      <c r="E35"/>
      <c r="F35" s="1598">
        <f>IF('Rakenna TULOSENNUSTE'!A118&lt;&gt;"",'Rakenna TULOSENNUSTE'!A118,"Ei")</f>
        <v>9</v>
      </c>
      <c r="G35" s="2673"/>
      <c r="H35" t="s">
        <v>3</v>
      </c>
      <c r="I35" s="157"/>
      <c r="J35"/>
      <c r="K35"/>
      <c r="L35"/>
      <c r="M35" s="13"/>
      <c r="N35" s="521"/>
      <c r="O35" s="521"/>
      <c r="P35" s="521"/>
      <c r="Q35" s="1600">
        <f t="shared" ref="Q35:W35" si="62">SUM(Q24:Q34)</f>
        <v>0</v>
      </c>
      <c r="R35" s="1600">
        <f t="shared" si="62"/>
        <v>0</v>
      </c>
      <c r="S35" s="1600">
        <f t="shared" si="62"/>
        <v>0</v>
      </c>
      <c r="T35" s="1600">
        <f t="shared" si="62"/>
        <v>0</v>
      </c>
      <c r="U35" s="1600">
        <f t="shared" si="62"/>
        <v>0</v>
      </c>
      <c r="V35" s="1600">
        <f t="shared" si="62"/>
        <v>0</v>
      </c>
      <c r="W35" s="1600">
        <f t="shared" si="62"/>
        <v>0</v>
      </c>
      <c r="X35" s="1600"/>
      <c r="Y35" s="1495"/>
      <c r="Z35" s="134"/>
      <c r="AA35" s="1495"/>
      <c r="AB35" s="134"/>
      <c r="AD35" s="1600">
        <f>SUM(AD24:AD34)</f>
        <v>0</v>
      </c>
      <c r="AE35" s="1600">
        <f>SUM(AE24:AE34)</f>
        <v>0</v>
      </c>
      <c r="AG35" s="1600">
        <f>SUM(AG24:AG34)</f>
        <v>0</v>
      </c>
      <c r="AI35" s="1600">
        <f t="shared" ref="AI35:AR35" si="63">SUM(AI24:AI34)</f>
        <v>0</v>
      </c>
      <c r="AJ35" s="1600">
        <f t="shared" si="63"/>
        <v>0</v>
      </c>
      <c r="AK35" s="1600">
        <f t="shared" si="63"/>
        <v>0</v>
      </c>
      <c r="AL35" s="1600">
        <f t="shared" si="63"/>
        <v>0</v>
      </c>
      <c r="AM35" s="1600">
        <f t="shared" si="63"/>
        <v>0</v>
      </c>
      <c r="AN35" s="1600">
        <f t="shared" si="63"/>
        <v>0</v>
      </c>
      <c r="AO35" s="1600">
        <f t="shared" si="63"/>
        <v>0</v>
      </c>
      <c r="AP35" s="1600">
        <f t="shared" si="63"/>
        <v>0</v>
      </c>
      <c r="AQ35" s="1600">
        <f t="shared" si="63"/>
        <v>0</v>
      </c>
      <c r="AR35" s="1600">
        <f t="shared" si="63"/>
        <v>0</v>
      </c>
    </row>
    <row r="36" spans="2:44" ht="13.5" customHeight="1" thickBot="1">
      <c r="B36"/>
      <c r="C36" s="156"/>
      <c r="D36" s="2657"/>
      <c r="E36"/>
      <c r="F36"/>
      <c r="G36"/>
      <c r="H36"/>
      <c r="I36" s="157"/>
      <c r="J36"/>
      <c r="K36"/>
      <c r="L36"/>
      <c r="M36"/>
      <c r="N36" s="158"/>
      <c r="O36" s="158"/>
      <c r="P36" s="158"/>
      <c r="Q36" s="158"/>
      <c r="R36" s="158"/>
      <c r="S36" s="158"/>
      <c r="Y36" s="1016"/>
      <c r="AA36" s="1537">
        <f>SUM(AA24:AA34)</f>
        <v>0</v>
      </c>
    </row>
    <row r="37" spans="2:44" ht="13.5" thickBot="1">
      <c r="B37"/>
      <c r="C37" s="156"/>
      <c r="D37" s="2657"/>
      <c r="E37" s="159" t="s">
        <v>319</v>
      </c>
      <c r="F37"/>
      <c r="G37"/>
      <c r="H37"/>
      <c r="I37" s="157"/>
      <c r="J37"/>
      <c r="K37"/>
      <c r="L37"/>
      <c r="M37"/>
      <c r="N37"/>
      <c r="O37"/>
      <c r="P37"/>
      <c r="Q37" s="38"/>
      <c r="R37"/>
      <c r="S37"/>
    </row>
    <row r="38" spans="2:44" ht="13.5" thickBot="1">
      <c r="G38" s="2671" t="s">
        <v>368</v>
      </c>
      <c r="H38" s="105" t="str">
        <f>H24</f>
        <v>kasvi</v>
      </c>
      <c r="M38" s="150">
        <f>SUMIFS(M$5:M$20,$W$5:$W$20,$H38,$Y$5:$Y$20,"M")</f>
        <v>0</v>
      </c>
      <c r="N38" s="149"/>
      <c r="O38" s="149"/>
      <c r="P38" s="149"/>
      <c r="Q38" s="150">
        <f t="shared" ref="Q38:V38" si="64">SUMIFS(Q$5:Q$20,$W$5:$W$20,$H38,$Y$5:$Y$20,"M")</f>
        <v>0</v>
      </c>
      <c r="R38" s="1577">
        <f t="shared" si="64"/>
        <v>0</v>
      </c>
      <c r="S38" s="1577">
        <f t="shared" si="64"/>
        <v>0</v>
      </c>
      <c r="T38" s="1577">
        <f t="shared" si="64"/>
        <v>0</v>
      </c>
      <c r="U38" s="1577">
        <f t="shared" si="64"/>
        <v>0</v>
      </c>
      <c r="V38" s="150">
        <f t="shared" si="64"/>
        <v>0</v>
      </c>
      <c r="W38" s="1577">
        <f t="shared" ref="W38:W48" si="65">SUM(R38:U38)</f>
        <v>0</v>
      </c>
      <c r="X38" s="2408"/>
      <c r="Y38" s="1495"/>
      <c r="Z38" s="52"/>
      <c r="AA38" s="151" t="str">
        <f t="shared" ref="AA38:AA48" si="66">IF(V38=0,"",V38/$V$21)</f>
        <v/>
      </c>
    </row>
    <row r="39" spans="2:44" ht="13.5" thickBot="1">
      <c r="G39" s="2671"/>
      <c r="H39" s="105" t="str">
        <f t="shared" ref="H39:H48" si="67">H25</f>
        <v>nurmi</v>
      </c>
      <c r="M39" s="150">
        <f t="shared" ref="M39:M48" si="68">SUMIFS(M$5:M$20,$W$5:$W$20,$H39,$Y$5:$Y$20,"M")</f>
        <v>0</v>
      </c>
      <c r="N39" s="149"/>
      <c r="O39" s="149"/>
      <c r="P39" s="149"/>
      <c r="Q39" s="150">
        <f t="shared" ref="Q39:V48" si="69">SUMIFS(Q$5:Q$20,$W$5:$W$20,$H39,$Y$5:$Y$20,"M")</f>
        <v>0</v>
      </c>
      <c r="R39" s="1577">
        <f t="shared" si="69"/>
        <v>0</v>
      </c>
      <c r="S39" s="1577">
        <f t="shared" si="69"/>
        <v>0</v>
      </c>
      <c r="T39" s="1577">
        <f t="shared" si="69"/>
        <v>0</v>
      </c>
      <c r="U39" s="1577">
        <f t="shared" si="69"/>
        <v>0</v>
      </c>
      <c r="V39" s="150">
        <f t="shared" si="69"/>
        <v>0</v>
      </c>
      <c r="W39" s="1577">
        <f t="shared" si="65"/>
        <v>0</v>
      </c>
      <c r="X39" s="2408"/>
      <c r="Y39" s="1495"/>
      <c r="Z39" s="52"/>
      <c r="AA39" s="151" t="str">
        <f t="shared" si="66"/>
        <v/>
      </c>
    </row>
    <row r="40" spans="2:44" ht="13.5" thickBot="1">
      <c r="G40" s="2671"/>
      <c r="H40" s="105" t="str">
        <f t="shared" si="67"/>
        <v>eläin</v>
      </c>
      <c r="J40" s="152"/>
      <c r="K40" s="152"/>
      <c r="L40" s="152"/>
      <c r="M40" s="150">
        <f t="shared" si="68"/>
        <v>0</v>
      </c>
      <c r="N40" s="149"/>
      <c r="O40" s="149"/>
      <c r="P40" s="149"/>
      <c r="Q40" s="150">
        <f t="shared" si="69"/>
        <v>0</v>
      </c>
      <c r="R40" s="1577">
        <f t="shared" si="69"/>
        <v>0</v>
      </c>
      <c r="S40" s="1577">
        <f t="shared" si="69"/>
        <v>0</v>
      </c>
      <c r="T40" s="1577">
        <f t="shared" si="69"/>
        <v>0</v>
      </c>
      <c r="U40" s="1577">
        <f t="shared" si="69"/>
        <v>0</v>
      </c>
      <c r="V40" s="150">
        <f t="shared" si="69"/>
        <v>0</v>
      </c>
      <c r="W40" s="1577">
        <f t="shared" si="65"/>
        <v>0</v>
      </c>
      <c r="X40" s="2408"/>
      <c r="Y40" s="1495"/>
      <c r="Z40" s="52"/>
      <c r="AA40" s="151" t="str">
        <f t="shared" si="66"/>
        <v/>
      </c>
    </row>
    <row r="41" spans="2:44" ht="13.5" thickBot="1">
      <c r="G41" s="2671"/>
      <c r="H41" s="105" t="str">
        <f t="shared" si="67"/>
        <v>puutarha</v>
      </c>
      <c r="M41" s="150">
        <f t="shared" si="68"/>
        <v>0</v>
      </c>
      <c r="N41" s="149"/>
      <c r="O41" s="149"/>
      <c r="P41" s="149"/>
      <c r="Q41" s="150">
        <f t="shared" si="69"/>
        <v>0</v>
      </c>
      <c r="R41" s="1577">
        <f t="shared" si="69"/>
        <v>0</v>
      </c>
      <c r="S41" s="1577">
        <f t="shared" si="69"/>
        <v>0</v>
      </c>
      <c r="T41" s="1577">
        <f t="shared" si="69"/>
        <v>0</v>
      </c>
      <c r="U41" s="1577">
        <f t="shared" si="69"/>
        <v>0</v>
      </c>
      <c r="V41" s="150">
        <f t="shared" si="69"/>
        <v>0</v>
      </c>
      <c r="W41" s="1577">
        <f t="shared" si="65"/>
        <v>0</v>
      </c>
      <c r="X41" s="2408"/>
      <c r="Y41" s="1495"/>
      <c r="Z41" s="52"/>
      <c r="AA41" s="151" t="str">
        <f t="shared" si="66"/>
        <v/>
      </c>
    </row>
    <row r="42" spans="2:44" ht="13.5" thickBot="1">
      <c r="G42" s="2671"/>
      <c r="H42" s="105" t="str">
        <f t="shared" si="67"/>
        <v>urakka</v>
      </c>
      <c r="M42" s="150">
        <f t="shared" si="68"/>
        <v>0</v>
      </c>
      <c r="N42" s="149"/>
      <c r="O42" s="149"/>
      <c r="P42" s="149"/>
      <c r="Q42" s="150">
        <f t="shared" si="69"/>
        <v>0</v>
      </c>
      <c r="R42" s="1577">
        <f t="shared" si="69"/>
        <v>0</v>
      </c>
      <c r="S42" s="1577">
        <f t="shared" si="69"/>
        <v>0</v>
      </c>
      <c r="T42" s="1577">
        <f t="shared" si="69"/>
        <v>0</v>
      </c>
      <c r="U42" s="1577">
        <f t="shared" si="69"/>
        <v>0</v>
      </c>
      <c r="V42" s="150">
        <f t="shared" si="69"/>
        <v>0</v>
      </c>
      <c r="W42" s="1577">
        <f t="shared" si="65"/>
        <v>0</v>
      </c>
      <c r="X42" s="2408"/>
      <c r="Y42" s="1495"/>
      <c r="Z42" s="134"/>
      <c r="AA42" s="151" t="str">
        <f t="shared" si="66"/>
        <v/>
      </c>
    </row>
    <row r="43" spans="2:44" ht="13.5" thickBot="1">
      <c r="G43" s="2671"/>
      <c r="H43" s="105" t="str">
        <f t="shared" si="67"/>
        <v>jatkoja</v>
      </c>
      <c r="I43" s="155"/>
      <c r="M43" s="150">
        <f t="shared" si="68"/>
        <v>0</v>
      </c>
      <c r="Q43" s="150">
        <f t="shared" si="69"/>
        <v>0</v>
      </c>
      <c r="R43" s="1577">
        <f t="shared" si="69"/>
        <v>0</v>
      </c>
      <c r="S43" s="1577">
        <f t="shared" si="69"/>
        <v>0</v>
      </c>
      <c r="T43" s="1577">
        <f t="shared" si="69"/>
        <v>0</v>
      </c>
      <c r="U43" s="1577">
        <f t="shared" si="69"/>
        <v>0</v>
      </c>
      <c r="V43" s="150">
        <f t="shared" si="69"/>
        <v>0</v>
      </c>
      <c r="W43" s="1577">
        <f t="shared" si="65"/>
        <v>0</v>
      </c>
      <c r="X43" s="2408"/>
      <c r="Y43" s="1495"/>
      <c r="Z43" s="134"/>
      <c r="AA43" s="151" t="str">
        <f t="shared" si="66"/>
        <v/>
      </c>
    </row>
    <row r="44" spans="2:44" ht="13.5" thickBot="1">
      <c r="G44" s="2671"/>
      <c r="H44" s="105" t="str">
        <f t="shared" si="67"/>
        <v>metsä</v>
      </c>
      <c r="I44" s="155"/>
      <c r="M44" s="150">
        <f t="shared" si="68"/>
        <v>0</v>
      </c>
      <c r="Q44" s="150">
        <f t="shared" si="69"/>
        <v>0</v>
      </c>
      <c r="R44" s="1577">
        <f t="shared" si="69"/>
        <v>0</v>
      </c>
      <c r="S44" s="1577">
        <f t="shared" si="69"/>
        <v>0</v>
      </c>
      <c r="T44" s="1577">
        <f t="shared" si="69"/>
        <v>0</v>
      </c>
      <c r="U44" s="1577">
        <f t="shared" si="69"/>
        <v>0</v>
      </c>
      <c r="V44" s="150">
        <f t="shared" si="69"/>
        <v>0</v>
      </c>
      <c r="W44" s="1577">
        <f t="shared" si="65"/>
        <v>0</v>
      </c>
      <c r="X44" s="2408"/>
      <c r="Y44" s="1495"/>
      <c r="Z44" s="134"/>
      <c r="AA44" s="151" t="str">
        <f t="shared" si="66"/>
        <v/>
      </c>
    </row>
    <row r="45" spans="2:44" ht="13.5" thickBot="1">
      <c r="G45" s="2671"/>
      <c r="H45" s="105" t="str">
        <f t="shared" si="67"/>
        <v>evl</v>
      </c>
      <c r="I45" s="157"/>
      <c r="J45"/>
      <c r="K45"/>
      <c r="L45"/>
      <c r="M45" s="150">
        <f t="shared" si="68"/>
        <v>0</v>
      </c>
      <c r="N45" s="521"/>
      <c r="O45" s="521"/>
      <c r="P45" s="521"/>
      <c r="Q45" s="150">
        <f t="shared" si="69"/>
        <v>0</v>
      </c>
      <c r="R45" s="1577">
        <f t="shared" si="69"/>
        <v>0</v>
      </c>
      <c r="S45" s="1577">
        <f t="shared" si="69"/>
        <v>0</v>
      </c>
      <c r="T45" s="1577">
        <f t="shared" si="69"/>
        <v>0</v>
      </c>
      <c r="U45" s="1577">
        <f t="shared" si="69"/>
        <v>0</v>
      </c>
      <c r="V45" s="150">
        <f t="shared" si="69"/>
        <v>0</v>
      </c>
      <c r="W45" s="1577">
        <f t="shared" si="65"/>
        <v>0</v>
      </c>
      <c r="X45" s="2408"/>
      <c r="Y45" s="1495"/>
      <c r="Z45" s="134"/>
      <c r="AA45" s="151" t="str">
        <f t="shared" si="66"/>
        <v/>
      </c>
    </row>
    <row r="46" spans="2:44" ht="13.5" thickBot="1">
      <c r="G46" s="2671"/>
      <c r="H46" s="105" t="str">
        <f t="shared" si="67"/>
        <v>mansikka</v>
      </c>
      <c r="I46" s="157"/>
      <c r="J46"/>
      <c r="K46"/>
      <c r="L46"/>
      <c r="M46" s="150">
        <f>SUMIFS(M$5:M$20,$W$5:$W$20,$H46,$Y$5:$Y$20,"M")</f>
        <v>0</v>
      </c>
      <c r="N46" s="521"/>
      <c r="O46" s="521"/>
      <c r="P46" s="521"/>
      <c r="Q46" s="150">
        <f t="shared" si="69"/>
        <v>0</v>
      </c>
      <c r="R46" s="1577">
        <f t="shared" si="69"/>
        <v>0</v>
      </c>
      <c r="S46" s="1577">
        <f t="shared" si="69"/>
        <v>0</v>
      </c>
      <c r="T46" s="1577">
        <f>SUMIFS(T$5:T$20,$W$5:$W$20,$H46,$Y$5:$Y$20,"M")</f>
        <v>0</v>
      </c>
      <c r="U46" s="1577">
        <f>SUMIFS(U$5:U$20,$W$5:$W$20,$H46,$Y$5:$Y$20,"M")</f>
        <v>0</v>
      </c>
      <c r="V46" s="150">
        <f t="shared" si="69"/>
        <v>0</v>
      </c>
      <c r="W46" s="1577">
        <f t="shared" si="65"/>
        <v>0</v>
      </c>
      <c r="X46" s="2408"/>
      <c r="Y46" s="1495"/>
      <c r="Z46" s="134"/>
      <c r="AA46" s="151" t="str">
        <f t="shared" si="66"/>
        <v/>
      </c>
    </row>
    <row r="47" spans="2:44" ht="13.5" thickBot="1">
      <c r="G47" s="2671"/>
      <c r="H47" s="105" t="str">
        <f t="shared" si="67"/>
        <v>herukka</v>
      </c>
      <c r="I47" s="157"/>
      <c r="J47"/>
      <c r="K47"/>
      <c r="L47"/>
      <c r="M47" s="150">
        <f t="shared" si="68"/>
        <v>0</v>
      </c>
      <c r="N47" s="521"/>
      <c r="O47" s="521"/>
      <c r="P47" s="521"/>
      <c r="Q47" s="150">
        <f t="shared" si="69"/>
        <v>0</v>
      </c>
      <c r="R47" s="1577">
        <f t="shared" si="69"/>
        <v>0</v>
      </c>
      <c r="S47" s="1577">
        <f t="shared" si="69"/>
        <v>0</v>
      </c>
      <c r="T47" s="1577">
        <f t="shared" si="69"/>
        <v>0</v>
      </c>
      <c r="U47" s="1577">
        <f>SUMIFS(U$5:U$20,$W$5:$W$20,$H47,$Y$5:$Y$20,"M")</f>
        <v>0</v>
      </c>
      <c r="V47" s="150">
        <f t="shared" si="69"/>
        <v>0</v>
      </c>
      <c r="W47" s="1577">
        <f t="shared" si="65"/>
        <v>0</v>
      </c>
      <c r="X47" s="2408"/>
      <c r="Y47" s="1495"/>
      <c r="Z47" s="134"/>
      <c r="AA47" s="1572" t="str">
        <f t="shared" si="66"/>
        <v/>
      </c>
    </row>
    <row r="48" spans="2:44">
      <c r="G48" s="2671"/>
      <c r="H48" s="1573" t="str">
        <f t="shared" si="67"/>
        <v>öljykasvit</v>
      </c>
      <c r="I48" s="1574"/>
      <c r="J48" s="868"/>
      <c r="K48" s="868"/>
      <c r="L48" s="868"/>
      <c r="M48" s="1535">
        <f t="shared" si="68"/>
        <v>0</v>
      </c>
      <c r="N48" s="869"/>
      <c r="O48" s="869"/>
      <c r="P48" s="869"/>
      <c r="Q48" s="1535">
        <f t="shared" si="69"/>
        <v>0</v>
      </c>
      <c r="R48" s="1578">
        <f t="shared" si="69"/>
        <v>0</v>
      </c>
      <c r="S48" s="1578">
        <f t="shared" si="69"/>
        <v>0</v>
      </c>
      <c r="T48" s="1578">
        <f t="shared" si="69"/>
        <v>0</v>
      </c>
      <c r="U48" s="1578">
        <f t="shared" si="69"/>
        <v>0</v>
      </c>
      <c r="V48" s="1535">
        <f t="shared" si="69"/>
        <v>0</v>
      </c>
      <c r="W48" s="1577">
        <f t="shared" si="65"/>
        <v>0</v>
      </c>
      <c r="X48" s="2408"/>
      <c r="Y48" s="1495"/>
      <c r="Z48" s="134"/>
      <c r="AA48" s="1536" t="str">
        <f t="shared" si="66"/>
        <v/>
      </c>
    </row>
    <row r="49" spans="7:27" ht="13.5" thickBot="1">
      <c r="G49" s="2671"/>
      <c r="H49"/>
      <c r="I49" s="157"/>
      <c r="J49"/>
      <c r="K49"/>
      <c r="L49"/>
      <c r="M49" s="13"/>
      <c r="N49" s="521"/>
      <c r="O49" s="521"/>
      <c r="P49" s="521"/>
      <c r="Q49" s="100"/>
      <c r="R49" s="100"/>
      <c r="S49" s="100"/>
      <c r="T49" s="100"/>
      <c r="U49" s="100"/>
      <c r="V49" s="100"/>
      <c r="Y49" s="1495"/>
      <c r="Z49" s="134"/>
      <c r="AA49" s="1495"/>
    </row>
    <row r="50" spans="7:27" ht="13.5" thickBot="1">
      <c r="G50"/>
      <c r="H50"/>
      <c r="I50" s="157"/>
      <c r="J50"/>
      <c r="K50"/>
      <c r="L50"/>
      <c r="M50"/>
      <c r="N50" s="158"/>
      <c r="O50" s="158"/>
      <c r="P50" s="158"/>
      <c r="Q50" s="158"/>
      <c r="R50" s="158"/>
      <c r="S50" s="158"/>
      <c r="Y50" s="1016"/>
      <c r="AA50" s="1537">
        <f>SUM(AA38:AA48)</f>
        <v>0</v>
      </c>
    </row>
    <row r="51" spans="7:27" ht="13.5" thickBot="1">
      <c r="AA51" s="1537">
        <f>SUM(AA50,AA36)</f>
        <v>0</v>
      </c>
    </row>
    <row r="95" spans="5:5">
      <c r="E95" s="103">
        <f>IF($B$83&lt;&gt;"ely",SUMIF('Muut kustannustiedot'!H32:H33,B95)*A95,SUMIF(Rakennukset!$Y$32:$Y$34,C95,Rakennukset!$AC$32:$AC$34)*A95)</f>
        <v>0</v>
      </c>
    </row>
  </sheetData>
  <sheetProtection sheet="1" formatCells="0" formatColumns="0" formatRows="0"/>
  <mergeCells count="14">
    <mergeCell ref="AT3:BC3"/>
    <mergeCell ref="BE3:BN3"/>
    <mergeCell ref="G24:G35"/>
    <mergeCell ref="Y1:Y4"/>
    <mergeCell ref="Z1:Z4"/>
    <mergeCell ref="X1:X4"/>
    <mergeCell ref="D31:D37"/>
    <mergeCell ref="W1:W4"/>
    <mergeCell ref="AB1:AB4"/>
    <mergeCell ref="G38:G49"/>
    <mergeCell ref="AJ2:AR2"/>
    <mergeCell ref="N3:Q3"/>
    <mergeCell ref="W21:W22"/>
    <mergeCell ref="AD23:AR23"/>
  </mergeCells>
  <conditionalFormatting sqref="W5:W20">
    <cfRule type="expression" dxfId="52" priority="3">
      <formula>$D5="VÄÄRIN!"</formula>
    </cfRule>
  </conditionalFormatting>
  <conditionalFormatting sqref="X5:X19">
    <cfRule type="cellIs" dxfId="51" priority="1" operator="equal">
      <formula>"""Virhe"""</formula>
    </cfRule>
    <cfRule type="cellIs" dxfId="50" priority="2" operator="equal">
      <formula>"Virhe!"</formula>
    </cfRule>
  </conditionalFormatting>
  <hyperlinks>
    <hyperlink ref="A2" r:id="rId1" xr:uid="{00000000-0004-0000-07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errorTitle="Kohdistus tarvitaan" error="Ilman kohdistusta laskelman tiedot eivät siirry oikealle laskelmalle." xr:uid="{00000000-0002-0000-0700-000000000000}">
          <x14:formula1>
            <xm:f>Lähtötiedot!$C$102:$C$112</xm:f>
          </x14:formula1>
          <xm:sqref>W5:W20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1"/>
  <dimension ref="A1:Q118"/>
  <sheetViews>
    <sheetView zoomScale="70" zoomScaleNormal="70" workbookViewId="0">
      <selection activeCell="A7" sqref="A7"/>
    </sheetView>
  </sheetViews>
  <sheetFormatPr defaultColWidth="8.85546875" defaultRowHeight="12.75"/>
  <cols>
    <col min="1" max="1" width="49.42578125" customWidth="1"/>
    <col min="2" max="2" width="40.5703125" customWidth="1"/>
    <col min="3" max="3" width="18.7109375" customWidth="1"/>
    <col min="4" max="4" width="17.5703125" customWidth="1"/>
    <col min="5" max="5" width="13.28515625" customWidth="1"/>
    <col min="6" max="6" width="19.42578125" customWidth="1"/>
    <col min="7" max="7" width="15.140625" customWidth="1"/>
    <col min="8" max="8" width="18.7109375" customWidth="1"/>
    <col min="9" max="9" width="36.7109375" customWidth="1"/>
    <col min="10" max="10" width="18.42578125" customWidth="1"/>
    <col min="11" max="11" width="18.28515625" customWidth="1"/>
    <col min="12" max="12" width="12" customWidth="1"/>
    <col min="13" max="13" width="15.7109375" customWidth="1"/>
    <col min="14" max="14" width="15.5703125" customWidth="1"/>
    <col min="15" max="15" width="15.140625" customWidth="1"/>
    <col min="16" max="16" width="14.28515625" customWidth="1"/>
    <col min="17" max="18" width="13.42578125" customWidth="1"/>
    <col min="19" max="19" width="11.140625" customWidth="1"/>
    <col min="20" max="20" width="12.140625" customWidth="1"/>
  </cols>
  <sheetData>
    <row r="1" spans="1:17" ht="24">
      <c r="A1" s="79" t="s">
        <v>412</v>
      </c>
      <c r="K1" s="2038" t="s">
        <v>1577</v>
      </c>
      <c r="L1" s="2039" t="s">
        <v>1590</v>
      </c>
      <c r="M1" s="2039" t="s">
        <v>1591</v>
      </c>
      <c r="N1" s="2039" t="s">
        <v>1592</v>
      </c>
      <c r="O1" s="2027" t="s">
        <v>1593</v>
      </c>
      <c r="P1" s="2027" t="s">
        <v>1594</v>
      </c>
      <c r="Q1" s="2039" t="s">
        <v>1595</v>
      </c>
    </row>
    <row r="2" spans="1:17" ht="18">
      <c r="A2" s="79" t="s">
        <v>413</v>
      </c>
      <c r="B2" s="1125" t="str">
        <f>Lähtötiedot!A10</f>
        <v>LaskeKasvi1</v>
      </c>
      <c r="C2" s="246"/>
      <c r="D2" s="1992" t="s">
        <v>189</v>
      </c>
      <c r="E2" s="884" t="str">
        <f>Lähtötiedot!E4</f>
        <v>C</v>
      </c>
    </row>
    <row r="3" spans="1:17" ht="18">
      <c r="A3" s="1111" t="str">
        <f>Lähtötiedot!F10</f>
        <v>kasvi</v>
      </c>
      <c r="B3" s="247" t="s">
        <v>188</v>
      </c>
      <c r="C3" s="247"/>
      <c r="D3" s="247"/>
      <c r="E3" s="248">
        <f>Lähtötiedot!C4</f>
        <v>2027</v>
      </c>
      <c r="F3" s="247"/>
      <c r="G3" s="4" t="s">
        <v>414</v>
      </c>
    </row>
    <row r="4" spans="1:17" ht="18.75" thickBot="1">
      <c r="B4" s="249" t="s">
        <v>415</v>
      </c>
      <c r="D4" s="250"/>
      <c r="E4" s="251">
        <f>Lähtötiedot!C10</f>
        <v>0</v>
      </c>
      <c r="F4" s="247" t="str">
        <f>Lähtötiedot!D10</f>
        <v>ha</v>
      </c>
      <c r="G4" s="1523">
        <f>IF(D50&gt;0,E4/D50,0)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422</v>
      </c>
      <c r="C7" s="255" t="s">
        <v>137</v>
      </c>
      <c r="D7" s="1104">
        <v>1</v>
      </c>
      <c r="E7" s="257">
        <v>0</v>
      </c>
      <c r="F7" s="258">
        <f t="shared" ref="F7:F17" si="0">D7*E7</f>
        <v>0</v>
      </c>
      <c r="G7" s="189" t="str">
        <f>IFERROR(F7/$F$18,"")</f>
        <v/>
      </c>
      <c r="H7" s="259">
        <f>IF($E$5&lt;&gt;1,F7,F7*$E$4)</f>
        <v>0</v>
      </c>
      <c r="I7" t="s">
        <v>423</v>
      </c>
    </row>
    <row r="8" spans="1:17" ht="15">
      <c r="A8" s="260" t="s">
        <v>424</v>
      </c>
      <c r="B8" s="261"/>
      <c r="C8" s="262" t="s">
        <v>235</v>
      </c>
      <c r="D8" s="261">
        <v>1</v>
      </c>
      <c r="E8" s="263">
        <v>0</v>
      </c>
      <c r="F8" s="258">
        <f t="shared" si="0"/>
        <v>0</v>
      </c>
      <c r="G8" s="189" t="str">
        <f t="shared" ref="G8:G18" si="1">IFERROR(F8/$F$18,"")</f>
        <v/>
      </c>
      <c r="H8" s="259">
        <f t="shared" ref="H8:H17" si="2">IF($E$5&lt;&gt;1,F8,F8*$E$4)</f>
        <v>0</v>
      </c>
    </row>
    <row r="9" spans="1:17" ht="15">
      <c r="A9" s="264" t="s">
        <v>424</v>
      </c>
      <c r="B9" s="265"/>
      <c r="C9" s="266" t="s">
        <v>235</v>
      </c>
      <c r="D9" s="265">
        <v>1</v>
      </c>
      <c r="E9" s="267">
        <v>0</v>
      </c>
      <c r="F9" s="258">
        <f t="shared" si="0"/>
        <v>0</v>
      </c>
      <c r="G9" s="189" t="str">
        <f t="shared" si="1"/>
        <v/>
      </c>
      <c r="H9" s="259">
        <f t="shared" si="2"/>
        <v>0</v>
      </c>
    </row>
    <row r="10" spans="1:17" ht="15">
      <c r="A10" s="264"/>
      <c r="B10" s="265"/>
      <c r="C10" s="266" t="s">
        <v>235</v>
      </c>
      <c r="D10" s="265">
        <v>1</v>
      </c>
      <c r="E10" s="267">
        <v>0</v>
      </c>
      <c r="F10" s="258">
        <f t="shared" si="0"/>
        <v>0</v>
      </c>
      <c r="G10" s="189" t="str">
        <f t="shared" si="1"/>
        <v/>
      </c>
      <c r="H10" s="259">
        <f t="shared" si="2"/>
        <v>0</v>
      </c>
    </row>
    <row r="11" spans="1:17" ht="15">
      <c r="A11" s="264"/>
      <c r="B11" s="265"/>
      <c r="C11" s="266" t="s">
        <v>235</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75" thickBot="1">
      <c r="A14" s="268"/>
      <c r="B14" s="269"/>
      <c r="C14" s="270" t="s">
        <v>235</v>
      </c>
      <c r="D14" s="269">
        <v>1</v>
      </c>
      <c r="E14" s="271">
        <v>0</v>
      </c>
      <c r="F14" s="258">
        <f t="shared" si="0"/>
        <v>0</v>
      </c>
      <c r="G14" s="189" t="str">
        <f t="shared" si="1"/>
        <v/>
      </c>
      <c r="H14" s="259">
        <f t="shared" si="2"/>
        <v>0</v>
      </c>
    </row>
    <row r="15" spans="1:17" ht="15">
      <c r="A15" s="272" t="s">
        <v>425</v>
      </c>
      <c r="B15" s="273"/>
      <c r="C15" s="274" t="s">
        <v>235</v>
      </c>
      <c r="D15" s="273">
        <v>1</v>
      </c>
      <c r="E15" s="275">
        <v>0</v>
      </c>
      <c r="F15" s="172">
        <f t="shared" si="0"/>
        <v>0</v>
      </c>
      <c r="G15" s="189" t="str">
        <f t="shared" si="1"/>
        <v/>
      </c>
      <c r="H15" s="259">
        <f t="shared" si="2"/>
        <v>0</v>
      </c>
    </row>
    <row r="16" spans="1:17" ht="15">
      <c r="A16" s="276"/>
      <c r="B16" s="277"/>
      <c r="C16" s="165" t="s">
        <v>235</v>
      </c>
      <c r="D16" s="277">
        <v>1</v>
      </c>
      <c r="E16" s="278">
        <v>0</v>
      </c>
      <c r="F16" s="172">
        <f t="shared" si="0"/>
        <v>0</v>
      </c>
      <c r="G16" s="189" t="str">
        <f t="shared" si="1"/>
        <v/>
      </c>
      <c r="H16" s="259">
        <f t="shared" si="2"/>
        <v>0</v>
      </c>
    </row>
    <row r="17" spans="1:17" ht="15">
      <c r="A17" s="279"/>
      <c r="B17" s="277"/>
      <c r="C17" s="165" t="s">
        <v>235</v>
      </c>
      <c r="D17" s="279">
        <v>1</v>
      </c>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1</v>
      </c>
      <c r="E22" s="176">
        <v>0</v>
      </c>
      <c r="F22" s="172">
        <f t="shared" ref="F22:F37" si="3">D22*E22</f>
        <v>0</v>
      </c>
      <c r="G22" s="189" t="e">
        <f t="shared" ref="G22:G35" si="4">F22/$F$63</f>
        <v>#DIV/0!</v>
      </c>
      <c r="H22" s="259">
        <f>IF($E$5&lt;&gt;1,F22,F22*$E$4)</f>
        <v>0</v>
      </c>
    </row>
    <row r="23" spans="1:17" s="14" customFormat="1" ht="15">
      <c r="A23" s="277" t="s">
        <v>432</v>
      </c>
      <c r="B23" s="277"/>
      <c r="C23" s="165" t="s">
        <v>137</v>
      </c>
      <c r="D23" s="282">
        <v>0</v>
      </c>
      <c r="E23" s="176">
        <v>0</v>
      </c>
      <c r="F23" s="172">
        <f t="shared" si="3"/>
        <v>0</v>
      </c>
      <c r="G23" s="189" t="e">
        <f t="shared" si="4"/>
        <v>#DIV/0!</v>
      </c>
      <c r="H23" s="259">
        <f t="shared" ref="H23:H37" si="5">IF($E$5&lt;&gt;1,F23,F23*$E$4)</f>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c r="B26" s="277"/>
      <c r="C26" s="165" t="s">
        <v>434</v>
      </c>
      <c r="D26" s="282">
        <v>0</v>
      </c>
      <c r="E26" s="176">
        <v>0</v>
      </c>
      <c r="F26" s="172">
        <f t="shared" si="3"/>
        <v>0</v>
      </c>
      <c r="G26" s="189" t="e">
        <f t="shared" si="4"/>
        <v>#DIV/0!</v>
      </c>
      <c r="H26" s="259">
        <f t="shared" si="5"/>
        <v>0</v>
      </c>
      <c r="I26"/>
    </row>
    <row r="27" spans="1:17" s="14" customFormat="1" ht="15">
      <c r="A27" s="277" t="s">
        <v>435</v>
      </c>
      <c r="B27" s="277" t="s">
        <v>436</v>
      </c>
      <c r="C27" s="165" t="s">
        <v>137</v>
      </c>
      <c r="D27" s="282">
        <v>0</v>
      </c>
      <c r="E27" s="176">
        <v>0</v>
      </c>
      <c r="F27" s="172">
        <f t="shared" si="3"/>
        <v>0</v>
      </c>
      <c r="G27" s="189" t="e">
        <f t="shared" si="4"/>
        <v>#DIV/0!</v>
      </c>
      <c r="H27" s="259">
        <f t="shared" si="5"/>
        <v>0</v>
      </c>
      <c r="I27"/>
    </row>
    <row r="28" spans="1:17" s="14" customFormat="1" ht="15">
      <c r="A28" s="277" t="s">
        <v>437</v>
      </c>
      <c r="B28" s="277"/>
      <c r="C28" s="165" t="s">
        <v>150</v>
      </c>
      <c r="D28" s="282">
        <v>1</v>
      </c>
      <c r="E28" s="176">
        <v>0</v>
      </c>
      <c r="F28" s="172">
        <f t="shared" si="3"/>
        <v>0</v>
      </c>
      <c r="G28" s="189" t="e">
        <f t="shared" si="4"/>
        <v>#DIV/0!</v>
      </c>
      <c r="H28" s="259">
        <f t="shared" si="5"/>
        <v>0</v>
      </c>
      <c r="I28"/>
    </row>
    <row r="29" spans="1:17"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7" s="14" customFormat="1" ht="15">
      <c r="A30" s="277" t="s">
        <v>440</v>
      </c>
      <c r="B30" s="2129" t="s">
        <v>1639</v>
      </c>
      <c r="C30" s="165" t="s">
        <v>137</v>
      </c>
      <c r="D30" s="282">
        <f>D7</f>
        <v>1</v>
      </c>
      <c r="E30" s="176">
        <v>0</v>
      </c>
      <c r="F30" s="172">
        <f t="shared" si="3"/>
        <v>0</v>
      </c>
      <c r="G30" s="189" t="e">
        <f t="shared" si="4"/>
        <v>#DIV/0!</v>
      </c>
      <c r="H30" s="259">
        <f t="shared" si="5"/>
        <v>0</v>
      </c>
      <c r="I30"/>
    </row>
    <row r="31" spans="1:17" ht="15.75" thickBot="1">
      <c r="A31" s="277" t="s">
        <v>441</v>
      </c>
      <c r="B31" s="277"/>
      <c r="C31" s="165" t="s">
        <v>137</v>
      </c>
      <c r="D31" s="282">
        <v>0</v>
      </c>
      <c r="E31" s="176">
        <v>0</v>
      </c>
      <c r="F31" s="172">
        <f t="shared" si="3"/>
        <v>0</v>
      </c>
      <c r="G31" s="189" t="e">
        <f t="shared" si="4"/>
        <v>#DIV/0!</v>
      </c>
      <c r="H31" s="259">
        <f t="shared" si="5"/>
        <v>0</v>
      </c>
      <c r="J31" s="14"/>
      <c r="K31" s="14"/>
    </row>
    <row r="32" spans="1:17"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Q34" s="841"/>
    </row>
    <row r="35" spans="1:17" ht="15">
      <c r="A35" s="277" t="s">
        <v>445</v>
      </c>
      <c r="B35" s="1166" t="s">
        <v>446</v>
      </c>
      <c r="C35" s="165" t="s">
        <v>15</v>
      </c>
      <c r="D35" s="282">
        <v>15</v>
      </c>
      <c r="E35" s="176">
        <v>18</v>
      </c>
      <c r="F35" s="172">
        <f>IF(E4&gt;0,D35*E35,0)</f>
        <v>0</v>
      </c>
      <c r="G35" s="189" t="e">
        <f t="shared" si="4"/>
        <v>#DIV/0!</v>
      </c>
      <c r="H35" s="2063">
        <f t="shared" si="5"/>
        <v>0</v>
      </c>
      <c r="I35" s="814"/>
      <c r="K35" s="25" t="s">
        <v>1608</v>
      </c>
      <c r="L35" s="1617">
        <f>IF(E5&lt;&gt;1,D35,D35*E4)</f>
        <v>0</v>
      </c>
      <c r="Q35" s="841"/>
    </row>
    <row r="36" spans="1:17" ht="15.75">
      <c r="A36" s="2059" t="s">
        <v>1598</v>
      </c>
      <c r="B36" s="2061" t="s">
        <v>1607</v>
      </c>
      <c r="C36" s="206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043" t="s">
        <v>447</v>
      </c>
      <c r="B37" s="2062"/>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769">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1518" t="s">
        <v>459</v>
      </c>
      <c r="C47" s="301"/>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B52" s="1226"/>
      <c r="C52" s="23"/>
      <c r="D52" s="23"/>
      <c r="E52" s="23"/>
      <c r="G52" s="52"/>
      <c r="H52" s="52"/>
    </row>
    <row r="53" spans="1:9" ht="16.5" thickBot="1">
      <c r="A53" s="168"/>
      <c r="B53" s="168"/>
      <c r="C53" s="1498" t="s">
        <v>464</v>
      </c>
      <c r="D53" s="170" t="s">
        <v>465</v>
      </c>
      <c r="E53" s="169"/>
      <c r="F53" s="1387" t="s">
        <v>466</v>
      </c>
      <c r="G53" s="52"/>
      <c r="H53" s="252" t="s">
        <v>420</v>
      </c>
    </row>
    <row r="54" spans="1:9" ht="16.5" thickBot="1">
      <c r="A54" s="2677"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 t="shared" ref="H54:H55" si="6">IF($E$5=1,F54*$E$4,F54)</f>
        <v>#DIV/0!</v>
      </c>
      <c r="I54" s="1522"/>
    </row>
    <row r="55" spans="1:9" ht="16.5" thickBot="1">
      <c r="A55" s="2678"/>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si="6"/>
        <v>#DIV/0!</v>
      </c>
    </row>
    <row r="56" spans="1:9" ht="16.5" thickBot="1">
      <c r="A56" s="2678"/>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IF($E$5=1,F56*$E$4,F56)</f>
        <v>#DIV/0!</v>
      </c>
    </row>
    <row r="57" spans="1:9" ht="16.5" thickBot="1">
      <c r="A57" s="2679"/>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IF($E$5=1,F57*$E$4,F57)</f>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c r="I59" s="10"/>
    </row>
    <row r="60" spans="1:9" ht="15.75">
      <c r="A60" s="1"/>
      <c r="B60" s="1"/>
      <c r="C60" s="14"/>
      <c r="D60" s="14"/>
      <c r="E60" s="14"/>
      <c r="F60" s="301"/>
    </row>
    <row r="61" spans="1:9" ht="18">
      <c r="A61" s="1" t="s">
        <v>471</v>
      </c>
      <c r="B61" s="52" t="s">
        <v>472</v>
      </c>
      <c r="C61" s="14"/>
      <c r="D61" s="14"/>
      <c r="E61" s="14"/>
      <c r="F61" s="289" t="e">
        <f>F48-F59</f>
        <v>#DIV/0!</v>
      </c>
      <c r="H61" s="290" t="e">
        <f>H48-H59</f>
        <v>#DIV/0!</v>
      </c>
      <c r="I61" s="10"/>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1</v>
      </c>
      <c r="D74" s="317"/>
      <c r="E74" s="313"/>
    </row>
    <row r="75" spans="1:9" ht="15.75">
      <c r="A75" s="1" t="s">
        <v>484</v>
      </c>
      <c r="B75" s="86" t="s">
        <v>485</v>
      </c>
      <c r="C75" s="14"/>
      <c r="D75" s="313"/>
      <c r="E75" s="318" t="e">
        <f>D73/C74</f>
        <v>#DIV/0!</v>
      </c>
      <c r="I75" t="s">
        <v>486</v>
      </c>
    </row>
    <row r="76" spans="1:9" ht="15">
      <c r="A76" s="315" t="s">
        <v>487</v>
      </c>
      <c r="B76" s="315" t="s">
        <v>488</v>
      </c>
      <c r="C76" s="315"/>
      <c r="D76" s="319">
        <f>SUM(F8:F14)</f>
        <v>0</v>
      </c>
      <c r="E76" s="320">
        <f>D76/D7</f>
        <v>0</v>
      </c>
      <c r="G76" s="81"/>
      <c r="H76" s="81"/>
      <c r="I76" t="s">
        <v>489</v>
      </c>
    </row>
    <row r="77" spans="1:9" ht="15.75">
      <c r="A77" s="1" t="s">
        <v>490</v>
      </c>
      <c r="B77" s="1"/>
      <c r="C77" s="14"/>
      <c r="D77" s="301"/>
      <c r="E77" s="318"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1</v>
      </c>
    </row>
    <row r="87" spans="1:13">
      <c r="B87" s="326" t="s">
        <v>496</v>
      </c>
      <c r="C87" s="163" t="s">
        <v>497</v>
      </c>
      <c r="D87" s="163"/>
      <c r="E87" s="327" t="e">
        <f>E85/E86</f>
        <v>#DIV/0!</v>
      </c>
    </row>
    <row r="89" spans="1:13" hidden="1">
      <c r="A89" s="3" t="s">
        <v>498</v>
      </c>
    </row>
    <row r="90" spans="1:13" hidden="1">
      <c r="A90" t="s">
        <v>499</v>
      </c>
      <c r="B90" s="8">
        <v>500</v>
      </c>
    </row>
    <row r="91" spans="1:13" hidden="1">
      <c r="A91" t="s">
        <v>500</v>
      </c>
      <c r="B91" s="37">
        <v>0.05</v>
      </c>
    </row>
    <row r="92" spans="1:13" hidden="1"/>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15">
        <f>A96-$B$90</f>
        <v>-1499</v>
      </c>
      <c r="B95" s="15">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c r="L95" s="11"/>
      <c r="M95" s="11"/>
    </row>
    <row r="96" spans="1:13" hidden="1">
      <c r="A96" s="15">
        <f>A97-$B$90</f>
        <v>-999</v>
      </c>
      <c r="B96" s="15">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35" t="e">
        <f>(B96-B97)/B97</f>
        <v>#DIV/0!</v>
      </c>
      <c r="M96" s="335">
        <v>0</v>
      </c>
    </row>
    <row r="97" spans="1:13" hidden="1">
      <c r="A97" s="15">
        <f>A98-$B$90</f>
        <v>-499</v>
      </c>
      <c r="B97" s="15">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35" t="e">
        <f>(B97-B98)/B98</f>
        <v>#DIV/0!</v>
      </c>
      <c r="M97" s="335">
        <v>0</v>
      </c>
    </row>
    <row r="98" spans="1:13" hidden="1">
      <c r="A98" s="336">
        <f>D7</f>
        <v>1</v>
      </c>
      <c r="B98" s="337">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35">
        <v>0</v>
      </c>
      <c r="M98" s="335" t="e">
        <f t="shared" ref="M98:M107" si="15">(G98-G97)/G97</f>
        <v>#DIV/0!</v>
      </c>
    </row>
    <row r="99" spans="1:13" hidden="1">
      <c r="A99" s="15">
        <f t="shared" ref="A99:A107" si="16">A98+$B$90</f>
        <v>501</v>
      </c>
      <c r="B99" s="15">
        <f t="shared" si="7"/>
        <v>0</v>
      </c>
      <c r="C99" s="328">
        <f t="shared" ref="C99:C107" si="17">(B99-B98)/(A99-A98)</f>
        <v>0</v>
      </c>
      <c r="D99" s="328" t="e">
        <f>($B$91*D98)+D98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35" t="e">
        <f t="shared" ref="L99:L107" si="18">(B99-B98)/B98</f>
        <v>#DIV/0!</v>
      </c>
      <c r="M99" s="335" t="e">
        <f t="shared" si="15"/>
        <v>#DIV/0!</v>
      </c>
    </row>
    <row r="100" spans="1:13" hidden="1">
      <c r="A100" s="15">
        <f t="shared" si="16"/>
        <v>1001</v>
      </c>
      <c r="B100" s="15">
        <f t="shared" si="7"/>
        <v>0</v>
      </c>
      <c r="C100" s="328">
        <f t="shared" si="17"/>
        <v>0</v>
      </c>
      <c r="D100" s="328" t="e">
        <f t="shared" ref="D100:D107" si="19">($B$91*D99)+D99</f>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35" t="e">
        <f t="shared" si="18"/>
        <v>#DIV/0!</v>
      </c>
      <c r="M100" s="335" t="e">
        <f t="shared" si="15"/>
        <v>#DIV/0!</v>
      </c>
    </row>
    <row r="101" spans="1:13" hidden="1">
      <c r="A101" s="15">
        <f t="shared" si="16"/>
        <v>1501</v>
      </c>
      <c r="B101" s="15">
        <f t="shared" si="7"/>
        <v>0</v>
      </c>
      <c r="C101" s="328">
        <f t="shared" si="17"/>
        <v>0</v>
      </c>
      <c r="D101" s="328" t="e">
        <f>($B$91*D100)+D100</f>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35" t="e">
        <f t="shared" si="18"/>
        <v>#DIV/0!</v>
      </c>
      <c r="M101" s="335" t="e">
        <f t="shared" si="15"/>
        <v>#DIV/0!</v>
      </c>
    </row>
    <row r="102" spans="1:13" hidden="1">
      <c r="A102" s="15">
        <f t="shared" si="16"/>
        <v>2001</v>
      </c>
      <c r="B102" s="15">
        <f t="shared" si="7"/>
        <v>0</v>
      </c>
      <c r="C102" s="328">
        <f t="shared" si="17"/>
        <v>0</v>
      </c>
      <c r="D102" s="328" t="e">
        <f>($B$91*D101)+D101</f>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35" t="e">
        <f t="shared" si="18"/>
        <v>#DIV/0!</v>
      </c>
      <c r="M102" s="335" t="e">
        <f t="shared" si="15"/>
        <v>#DIV/0!</v>
      </c>
    </row>
    <row r="103" spans="1:13" hidden="1">
      <c r="A103" s="15">
        <f t="shared" si="16"/>
        <v>2501</v>
      </c>
      <c r="B103" s="15">
        <f t="shared" si="7"/>
        <v>0</v>
      </c>
      <c r="C103" s="328">
        <f t="shared" si="17"/>
        <v>0</v>
      </c>
      <c r="D103" s="328" t="e">
        <f t="shared" si="19"/>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35" t="e">
        <f t="shared" si="18"/>
        <v>#DIV/0!</v>
      </c>
      <c r="M103" s="335" t="e">
        <f t="shared" si="15"/>
        <v>#DIV/0!</v>
      </c>
    </row>
    <row r="104" spans="1:13" hidden="1">
      <c r="A104" s="15">
        <f t="shared" si="16"/>
        <v>3001</v>
      </c>
      <c r="B104" s="15">
        <f t="shared" si="7"/>
        <v>0</v>
      </c>
      <c r="C104" s="328">
        <f t="shared" si="17"/>
        <v>0</v>
      </c>
      <c r="D104" s="328" t="e">
        <f t="shared" si="19"/>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35" t="e">
        <f t="shared" si="18"/>
        <v>#DIV/0!</v>
      </c>
      <c r="M104" s="335" t="e">
        <f t="shared" si="15"/>
        <v>#DIV/0!</v>
      </c>
    </row>
    <row r="105" spans="1:13" hidden="1">
      <c r="A105" s="15">
        <f t="shared" si="16"/>
        <v>3501</v>
      </c>
      <c r="B105" s="15">
        <f t="shared" si="7"/>
        <v>0</v>
      </c>
      <c r="C105" s="328">
        <f t="shared" si="17"/>
        <v>0</v>
      </c>
      <c r="D105" s="328" t="e">
        <f t="shared" si="19"/>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35" t="e">
        <f t="shared" si="18"/>
        <v>#DIV/0!</v>
      </c>
      <c r="M105" s="335" t="e">
        <f t="shared" si="15"/>
        <v>#DIV/0!</v>
      </c>
    </row>
    <row r="106" spans="1:13" hidden="1">
      <c r="A106" s="15">
        <f t="shared" si="16"/>
        <v>4001</v>
      </c>
      <c r="B106" s="15">
        <f t="shared" si="7"/>
        <v>0</v>
      </c>
      <c r="C106" s="328">
        <f t="shared" si="17"/>
        <v>0</v>
      </c>
      <c r="D106" s="328" t="e">
        <f t="shared" si="19"/>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35" t="e">
        <f t="shared" si="18"/>
        <v>#DIV/0!</v>
      </c>
      <c r="M106" s="335" t="e">
        <f t="shared" si="15"/>
        <v>#DIV/0!</v>
      </c>
    </row>
    <row r="107" spans="1:13" hidden="1">
      <c r="A107" s="15">
        <f t="shared" si="16"/>
        <v>4501</v>
      </c>
      <c r="B107" s="15">
        <f t="shared" si="7"/>
        <v>0</v>
      </c>
      <c r="C107" s="328">
        <f t="shared" si="17"/>
        <v>0</v>
      </c>
      <c r="D107" s="328" t="e">
        <f t="shared" si="19"/>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35" t="e">
        <f t="shared" si="18"/>
        <v>#DIV/0!</v>
      </c>
      <c r="M107" s="335" t="e">
        <f t="shared" si="15"/>
        <v>#DIV/0!</v>
      </c>
    </row>
    <row r="112" spans="1:13">
      <c r="E112" s="15"/>
    </row>
    <row r="113" spans="3:3">
      <c r="C113" s="339"/>
    </row>
    <row r="118" spans="3:3" ht="12.75" customHeight="1"/>
  </sheetData>
  <sheetProtection sheet="1" formatCells="0" formatColumns="0" formatRows="0"/>
  <mergeCells count="1">
    <mergeCell ref="A54:A57"/>
  </mergeCells>
  <hyperlinks>
    <hyperlink ref="B2" location="Lähtötiedot" display="Lähtötiedot" xr:uid="{00000000-0004-0000-0900-000000000000}"/>
    <hyperlink ref="B35" location="'Traktorin tuntihinta'!A1" display="Katso konelaskurista" xr:uid="{00000000-0004-0000-0900-000001000000}"/>
    <hyperlink ref="B30" location="'Viljan kuivauksen hintalaskuri'!A1" display="Avaa viljankuivurilaskuri" xr:uid="{00000000-0004-0000-09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Lähtötiedot!$A$88:$A$93</xm:f>
          </x14:formula1>
          <xm:sqref>K36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2"/>
  <dimension ref="A1:R107"/>
  <sheetViews>
    <sheetView zoomScale="70" zoomScaleNormal="70" workbookViewId="0">
      <selection activeCell="A8" sqref="A8"/>
    </sheetView>
  </sheetViews>
  <sheetFormatPr defaultColWidth="8.85546875" defaultRowHeight="12.75"/>
  <cols>
    <col min="1" max="1" width="47" customWidth="1"/>
    <col min="2" max="2" width="44.85546875" customWidth="1"/>
    <col min="3" max="3" width="18.7109375" customWidth="1"/>
    <col min="4" max="4" width="19.42578125" customWidth="1"/>
    <col min="5" max="5" width="16" customWidth="1"/>
    <col min="6" max="6" width="17.42578125" customWidth="1"/>
    <col min="7" max="7" width="9.7109375" customWidth="1"/>
    <col min="8" max="8" width="18.140625" customWidth="1"/>
    <col min="9" max="9" width="36.7109375" customWidth="1"/>
    <col min="10" max="10" width="17" customWidth="1"/>
    <col min="11" max="11" width="23.140625" customWidth="1"/>
    <col min="12" max="12" width="16.5703125" customWidth="1"/>
    <col min="13" max="13" width="18.5703125" customWidth="1"/>
    <col min="14" max="14" width="13.85546875" customWidth="1"/>
    <col min="15" max="15" width="13.5703125" customWidth="1"/>
    <col min="16" max="16" width="9.140625" customWidth="1"/>
  </cols>
  <sheetData>
    <row r="1" spans="1:18" ht="25.5">
      <c r="A1" s="79" t="s">
        <v>412</v>
      </c>
      <c r="K1" s="2038" t="s">
        <v>1577</v>
      </c>
      <c r="L1" s="2039" t="s">
        <v>1590</v>
      </c>
      <c r="M1" s="2039" t="s">
        <v>1591</v>
      </c>
      <c r="N1" s="2039" t="s">
        <v>1592</v>
      </c>
      <c r="O1" s="2027" t="s">
        <v>1593</v>
      </c>
      <c r="P1" s="2027" t="s">
        <v>1594</v>
      </c>
      <c r="Q1" s="2039" t="s">
        <v>1595</v>
      </c>
      <c r="R1" s="2039"/>
    </row>
    <row r="2" spans="1:18" ht="18">
      <c r="A2" s="79" t="s">
        <v>413</v>
      </c>
      <c r="B2" s="1125" t="str">
        <f>Lähtötiedot!A11</f>
        <v>LaskeKasvi 2</v>
      </c>
      <c r="C2" s="246"/>
      <c r="D2" s="1992" t="s">
        <v>189</v>
      </c>
      <c r="E2" s="884" t="str">
        <f>Lähtötiedot!E4</f>
        <v>C</v>
      </c>
    </row>
    <row r="3" spans="1:18" ht="18">
      <c r="A3" s="1111" t="str">
        <f>Lähtötiedot!F11</f>
        <v>kasvi</v>
      </c>
      <c r="B3" s="247" t="s">
        <v>188</v>
      </c>
      <c r="C3" s="247"/>
      <c r="D3" s="247"/>
      <c r="E3" s="248">
        <f>Lähtötiedot!C4</f>
        <v>2027</v>
      </c>
      <c r="F3" s="247"/>
      <c r="G3" s="4" t="s">
        <v>414</v>
      </c>
    </row>
    <row r="4" spans="1:18" ht="18.75" thickBot="1">
      <c r="B4" s="249" t="s">
        <v>415</v>
      </c>
      <c r="D4" s="250"/>
      <c r="E4" s="251">
        <f>Lähtötiedot!C11</f>
        <v>0</v>
      </c>
      <c r="F4" s="247" t="str">
        <f>Lähtötiedot!D11</f>
        <v>ha</v>
      </c>
      <c r="G4" s="1523">
        <f>IF(D50&gt;0,E4/D50,0)</f>
        <v>0</v>
      </c>
    </row>
    <row r="5" spans="1:18" ht="18.75" thickBot="1">
      <c r="A5" s="1" t="str">
        <f>IF($E$5&lt;&gt;1,"TUOTOT € "&amp;$E$4&amp;" "&amp; $F$4,"TUOTOT €/1 "&amp;$F$4)</f>
        <v>TUOTOT €/1 ha</v>
      </c>
      <c r="B5" s="249" t="s">
        <v>416</v>
      </c>
      <c r="E5" s="1394">
        <v>1</v>
      </c>
      <c r="F5" s="247"/>
    </row>
    <row r="6" spans="1:18" ht="16.5" thickBot="1">
      <c r="A6" s="1" t="s">
        <v>417</v>
      </c>
      <c r="B6" s="1" t="s">
        <v>418</v>
      </c>
      <c r="C6" s="252" t="s">
        <v>146</v>
      </c>
      <c r="D6" s="252" t="s">
        <v>147</v>
      </c>
      <c r="E6" s="252" t="s">
        <v>419</v>
      </c>
      <c r="F6" s="252" t="s">
        <v>235</v>
      </c>
      <c r="G6" s="521" t="s">
        <v>159</v>
      </c>
      <c r="H6" s="252" t="s">
        <v>420</v>
      </c>
    </row>
    <row r="7" spans="1:18" ht="15.75" thickBot="1">
      <c r="A7" s="253" t="s">
        <v>421</v>
      </c>
      <c r="B7" s="254"/>
      <c r="C7" s="255" t="s">
        <v>137</v>
      </c>
      <c r="D7" s="1104">
        <v>0</v>
      </c>
      <c r="E7" s="257">
        <v>0</v>
      </c>
      <c r="F7" s="258">
        <f t="shared" ref="F7:F17" si="0">D7*E7</f>
        <v>0</v>
      </c>
      <c r="G7" s="189" t="str">
        <f>IFERROR(F7/$F$18,"")</f>
        <v/>
      </c>
      <c r="H7" s="259">
        <f>IF($E$5&lt;&gt;1,F7,F7*$E$4)</f>
        <v>0</v>
      </c>
      <c r="I7" t="s">
        <v>423</v>
      </c>
    </row>
    <row r="8" spans="1:18" ht="15">
      <c r="A8" s="260" t="s">
        <v>424</v>
      </c>
      <c r="B8" s="261"/>
      <c r="C8" s="262" t="s">
        <v>235</v>
      </c>
      <c r="D8" s="261">
        <v>1</v>
      </c>
      <c r="E8" s="263">
        <v>0</v>
      </c>
      <c r="F8" s="258">
        <f t="shared" si="0"/>
        <v>0</v>
      </c>
      <c r="G8" s="189" t="str">
        <f t="shared" ref="G8:G18" si="1">IFERROR(F8/$F$18,"")</f>
        <v/>
      </c>
      <c r="H8" s="259">
        <f t="shared" ref="H8:H17" si="2">IF($E$5&lt;&gt;1,F8,F8*$E$4)</f>
        <v>0</v>
      </c>
    </row>
    <row r="9" spans="1:18" ht="15">
      <c r="A9" s="264" t="s">
        <v>424</v>
      </c>
      <c r="B9" s="265"/>
      <c r="C9" s="266" t="s">
        <v>235</v>
      </c>
      <c r="D9" s="265">
        <v>1</v>
      </c>
      <c r="E9" s="267">
        <v>0</v>
      </c>
      <c r="F9" s="258">
        <f t="shared" si="0"/>
        <v>0</v>
      </c>
      <c r="G9" s="189" t="str">
        <f t="shared" si="1"/>
        <v/>
      </c>
      <c r="H9" s="259">
        <f t="shared" si="2"/>
        <v>0</v>
      </c>
    </row>
    <row r="10" spans="1:18" ht="15">
      <c r="A10" s="264"/>
      <c r="B10" s="265"/>
      <c r="C10" s="266" t="s">
        <v>235</v>
      </c>
      <c r="D10" s="265">
        <v>1</v>
      </c>
      <c r="E10" s="267">
        <v>0</v>
      </c>
      <c r="F10" s="258">
        <f t="shared" si="0"/>
        <v>0</v>
      </c>
      <c r="G10" s="189" t="str">
        <f t="shared" si="1"/>
        <v/>
      </c>
      <c r="H10" s="259">
        <f t="shared" si="2"/>
        <v>0</v>
      </c>
    </row>
    <row r="11" spans="1:18" ht="15">
      <c r="A11" s="264"/>
      <c r="B11" s="265"/>
      <c r="C11" s="266" t="s">
        <v>235</v>
      </c>
      <c r="D11" s="265">
        <v>1</v>
      </c>
      <c r="E11" s="267">
        <v>0</v>
      </c>
      <c r="F11" s="258">
        <f t="shared" si="0"/>
        <v>0</v>
      </c>
      <c r="G11" s="189" t="str">
        <f t="shared" si="1"/>
        <v/>
      </c>
      <c r="H11" s="259">
        <f t="shared" si="2"/>
        <v>0</v>
      </c>
    </row>
    <row r="12" spans="1:18" ht="15">
      <c r="A12" s="264"/>
      <c r="B12" s="265"/>
      <c r="C12" s="266" t="s">
        <v>235</v>
      </c>
      <c r="D12" s="265">
        <v>1</v>
      </c>
      <c r="E12" s="267">
        <v>0</v>
      </c>
      <c r="F12" s="258">
        <f t="shared" si="0"/>
        <v>0</v>
      </c>
      <c r="G12" s="189" t="str">
        <f t="shared" si="1"/>
        <v/>
      </c>
      <c r="H12" s="259">
        <f t="shared" si="2"/>
        <v>0</v>
      </c>
    </row>
    <row r="13" spans="1:18" ht="15">
      <c r="A13" s="264"/>
      <c r="B13" s="265"/>
      <c r="C13" s="266" t="s">
        <v>235</v>
      </c>
      <c r="D13" s="265">
        <v>1</v>
      </c>
      <c r="E13" s="267">
        <v>0</v>
      </c>
      <c r="F13" s="258">
        <f t="shared" si="0"/>
        <v>0</v>
      </c>
      <c r="G13" s="189" t="str">
        <f t="shared" si="1"/>
        <v/>
      </c>
      <c r="H13" s="259">
        <f t="shared" si="2"/>
        <v>0</v>
      </c>
    </row>
    <row r="14" spans="1:18" ht="15.75" thickBot="1">
      <c r="A14" s="268"/>
      <c r="B14" s="269"/>
      <c r="C14" s="270" t="s">
        <v>235</v>
      </c>
      <c r="D14" s="269">
        <v>1</v>
      </c>
      <c r="E14" s="271">
        <v>0</v>
      </c>
      <c r="F14" s="258">
        <f t="shared" si="0"/>
        <v>0</v>
      </c>
      <c r="G14" s="189" t="str">
        <f t="shared" si="1"/>
        <v/>
      </c>
      <c r="H14" s="259">
        <f t="shared" si="2"/>
        <v>0</v>
      </c>
    </row>
    <row r="15" spans="1:18" ht="15">
      <c r="A15" s="272" t="s">
        <v>425</v>
      </c>
      <c r="B15" s="273"/>
      <c r="C15" s="274" t="s">
        <v>235</v>
      </c>
      <c r="D15" s="273"/>
      <c r="E15" s="275">
        <v>0</v>
      </c>
      <c r="F15" s="172">
        <f t="shared" si="0"/>
        <v>0</v>
      </c>
      <c r="G15" s="189" t="str">
        <f t="shared" si="1"/>
        <v/>
      </c>
      <c r="H15" s="259">
        <f t="shared" si="2"/>
        <v>0</v>
      </c>
    </row>
    <row r="16" spans="1:18" ht="15">
      <c r="A16" s="276"/>
      <c r="B16" s="277"/>
      <c r="C16" s="165" t="s">
        <v>235</v>
      </c>
      <c r="D16" s="277"/>
      <c r="E16" s="278">
        <v>0</v>
      </c>
      <c r="F16" s="172">
        <f t="shared" si="0"/>
        <v>0</v>
      </c>
      <c r="G16" s="189" t="str">
        <f t="shared" si="1"/>
        <v/>
      </c>
      <c r="H16" s="259">
        <f t="shared" si="2"/>
        <v>0</v>
      </c>
    </row>
    <row r="17" spans="1:18" ht="15.75" thickBot="1">
      <c r="A17" s="279"/>
      <c r="B17" s="277"/>
      <c r="C17" s="165" t="s">
        <v>235</v>
      </c>
      <c r="D17" s="279"/>
      <c r="E17" s="278">
        <v>0</v>
      </c>
      <c r="F17" s="172">
        <f t="shared" si="0"/>
        <v>0</v>
      </c>
      <c r="G17" s="189" t="str">
        <f t="shared" si="1"/>
        <v/>
      </c>
      <c r="H17" s="259">
        <f t="shared" si="2"/>
        <v>0</v>
      </c>
    </row>
    <row r="18" spans="1:18" ht="16.5" thickTop="1">
      <c r="A18" s="1" t="s">
        <v>426</v>
      </c>
      <c r="B18" s="1"/>
      <c r="C18" s="14"/>
      <c r="D18" s="14"/>
      <c r="E18" s="14"/>
      <c r="F18" s="178">
        <f>SUM(F7:F17)</f>
        <v>0</v>
      </c>
      <c r="G18" s="189" t="str">
        <f t="shared" si="1"/>
        <v/>
      </c>
      <c r="H18" s="281">
        <f>SUM(H7:H17)</f>
        <v>0</v>
      </c>
    </row>
    <row r="19" spans="1:18">
      <c r="G19" s="52"/>
      <c r="H19" s="52"/>
    </row>
    <row r="20" spans="1:18">
      <c r="G20" s="52"/>
      <c r="H20" s="52"/>
    </row>
    <row r="21" spans="1:18"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8" s="14" customFormat="1" ht="15">
      <c r="A22" s="277" t="s">
        <v>429</v>
      </c>
      <c r="B22" s="277"/>
      <c r="C22" s="165" t="s">
        <v>137</v>
      </c>
      <c r="D22" s="282">
        <v>0</v>
      </c>
      <c r="E22" s="176">
        <v>0</v>
      </c>
      <c r="F22" s="172">
        <f t="shared" ref="F22:F37" si="3">D22*E22</f>
        <v>0</v>
      </c>
      <c r="G22" s="189" t="e">
        <f t="shared" ref="G22:G35" si="4">F22/$F$63</f>
        <v>#DIV/0!</v>
      </c>
      <c r="H22" s="259">
        <f>IF($E$5&lt;&gt;1,F22,F22*$E$4)</f>
        <v>0</v>
      </c>
    </row>
    <row r="23" spans="1:18" s="14" customFormat="1" ht="15">
      <c r="A23" s="277" t="s">
        <v>432</v>
      </c>
      <c r="B23" s="277"/>
      <c r="C23" s="165" t="s">
        <v>137</v>
      </c>
      <c r="D23" s="282">
        <v>0</v>
      </c>
      <c r="E23" s="176">
        <v>0</v>
      </c>
      <c r="F23" s="172">
        <f t="shared" si="3"/>
        <v>0</v>
      </c>
      <c r="G23" s="189" t="e">
        <f t="shared" si="4"/>
        <v>#DIV/0!</v>
      </c>
      <c r="H23" s="259">
        <f t="shared" ref="H23:H37" si="5">IF($E$5&lt;&gt;1,F23,F23*$E$4)</f>
        <v>0</v>
      </c>
      <c r="I23"/>
    </row>
    <row r="24" spans="1:18" s="14" customFormat="1" ht="15">
      <c r="A24" s="277"/>
      <c r="B24" s="277"/>
      <c r="C24" s="165" t="s">
        <v>137</v>
      </c>
      <c r="D24" s="282">
        <v>0</v>
      </c>
      <c r="E24" s="176">
        <v>0</v>
      </c>
      <c r="F24" s="172">
        <f t="shared" si="3"/>
        <v>0</v>
      </c>
      <c r="G24" s="189" t="e">
        <f t="shared" si="4"/>
        <v>#DIV/0!</v>
      </c>
      <c r="H24" s="259">
        <f t="shared" si="5"/>
        <v>0</v>
      </c>
      <c r="I24"/>
    </row>
    <row r="25" spans="1:18" s="14" customFormat="1" ht="15">
      <c r="A25" s="277" t="s">
        <v>165</v>
      </c>
      <c r="B25" s="277"/>
      <c r="C25" s="165" t="s">
        <v>137</v>
      </c>
      <c r="D25" s="282">
        <v>0</v>
      </c>
      <c r="E25" s="176">
        <v>0</v>
      </c>
      <c r="F25" s="172">
        <f t="shared" si="3"/>
        <v>0</v>
      </c>
      <c r="G25" s="189" t="e">
        <f t="shared" si="4"/>
        <v>#DIV/0!</v>
      </c>
      <c r="H25" s="259">
        <f t="shared" si="5"/>
        <v>0</v>
      </c>
      <c r="I25"/>
    </row>
    <row r="26" spans="1:18" s="14" customFormat="1" ht="15">
      <c r="A26" s="277"/>
      <c r="B26" s="277"/>
      <c r="C26" s="165" t="s">
        <v>15</v>
      </c>
      <c r="D26" s="282">
        <v>0</v>
      </c>
      <c r="E26" s="176">
        <v>0</v>
      </c>
      <c r="F26" s="172">
        <f t="shared" si="3"/>
        <v>0</v>
      </c>
      <c r="G26" s="189" t="e">
        <f t="shared" si="4"/>
        <v>#DIV/0!</v>
      </c>
      <c r="H26" s="259">
        <f t="shared" si="5"/>
        <v>0</v>
      </c>
      <c r="I26"/>
    </row>
    <row r="27" spans="1:18" s="14" customFormat="1" ht="15">
      <c r="A27" s="277" t="s">
        <v>435</v>
      </c>
      <c r="B27" s="277"/>
      <c r="C27" s="165" t="s">
        <v>137</v>
      </c>
      <c r="D27" s="282">
        <v>0</v>
      </c>
      <c r="E27" s="176">
        <v>0</v>
      </c>
      <c r="F27" s="172">
        <f t="shared" si="3"/>
        <v>0</v>
      </c>
      <c r="G27" s="189" t="e">
        <f t="shared" si="4"/>
        <v>#DIV/0!</v>
      </c>
      <c r="H27" s="259">
        <f t="shared" si="5"/>
        <v>0</v>
      </c>
      <c r="I27"/>
    </row>
    <row r="28" spans="1:18" s="14" customFormat="1" ht="15">
      <c r="A28" s="277" t="s">
        <v>437</v>
      </c>
      <c r="B28" s="277"/>
      <c r="C28" s="165" t="s">
        <v>15</v>
      </c>
      <c r="D28" s="282">
        <v>0</v>
      </c>
      <c r="E28" s="176">
        <v>0</v>
      </c>
      <c r="F28" s="172">
        <f t="shared" si="3"/>
        <v>0</v>
      </c>
      <c r="G28" s="189" t="e">
        <f t="shared" si="4"/>
        <v>#DIV/0!</v>
      </c>
      <c r="H28" s="259">
        <f t="shared" si="5"/>
        <v>0</v>
      </c>
      <c r="I28"/>
    </row>
    <row r="29" spans="1:18"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8" s="14" customFormat="1" ht="15">
      <c r="A30" s="277" t="s">
        <v>440</v>
      </c>
      <c r="B30" s="2129" t="s">
        <v>1639</v>
      </c>
      <c r="C30" s="165" t="s">
        <v>150</v>
      </c>
      <c r="D30" s="282">
        <f>D7/5</f>
        <v>0</v>
      </c>
      <c r="E30" s="176">
        <v>0</v>
      </c>
      <c r="F30" s="172">
        <f t="shared" si="3"/>
        <v>0</v>
      </c>
      <c r="G30" s="189" t="e">
        <f t="shared" si="4"/>
        <v>#DIV/0!</v>
      </c>
      <c r="H30" s="259">
        <f t="shared" si="5"/>
        <v>0</v>
      </c>
      <c r="I30"/>
    </row>
    <row r="31" spans="1:18" ht="15.75" thickBot="1">
      <c r="A31" s="277" t="s">
        <v>441</v>
      </c>
      <c r="B31" s="277"/>
      <c r="C31" s="165" t="s">
        <v>442</v>
      </c>
      <c r="D31" s="282">
        <v>0</v>
      </c>
      <c r="E31" s="176">
        <v>0</v>
      </c>
      <c r="F31" s="172">
        <f t="shared" si="3"/>
        <v>0</v>
      </c>
      <c r="G31" s="189" t="e">
        <f t="shared" si="4"/>
        <v>#DIV/0!</v>
      </c>
      <c r="H31" s="259">
        <f t="shared" si="5"/>
        <v>0</v>
      </c>
      <c r="J31" s="14"/>
      <c r="K31" s="14"/>
    </row>
    <row r="32" spans="1:18"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13"/>
      <c r="R32" s="839"/>
    </row>
    <row r="33" spans="1:18"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R33" s="841"/>
    </row>
    <row r="34" spans="1:18"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R34" s="841"/>
    </row>
    <row r="35" spans="1:18" ht="15">
      <c r="A35" s="277" t="s">
        <v>445</v>
      </c>
      <c r="B35" s="1166" t="s">
        <v>519</v>
      </c>
      <c r="C35" s="165" t="s">
        <v>15</v>
      </c>
      <c r="D35" s="282">
        <v>10</v>
      </c>
      <c r="E35" s="176">
        <v>18</v>
      </c>
      <c r="F35" s="172">
        <f>IF(E4&gt;0,D35*E35,0)</f>
        <v>0</v>
      </c>
      <c r="G35" s="189" t="e">
        <f t="shared" si="4"/>
        <v>#DIV/0!</v>
      </c>
      <c r="H35" s="2063">
        <f>IF($E$5&lt;&gt;1,F35,F35*$E$4)</f>
        <v>0</v>
      </c>
      <c r="I35" s="814"/>
      <c r="K35" s="25" t="s">
        <v>1608</v>
      </c>
      <c r="L35" s="1617">
        <f>IF(E5&lt;&gt;1,D35,D35*E4)</f>
        <v>0</v>
      </c>
      <c r="R35" s="841"/>
    </row>
    <row r="36" spans="1:18" ht="15.75">
      <c r="A36" s="2044" t="s">
        <v>1598</v>
      </c>
      <c r="B36" s="2061" t="s">
        <v>1607</v>
      </c>
      <c r="C36" s="370" t="s">
        <v>1597</v>
      </c>
      <c r="D36" s="2040">
        <v>15</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52">
        <f>O36*0.27</f>
        <v>0</v>
      </c>
      <c r="R36" s="2097"/>
    </row>
    <row r="37" spans="1:18"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42"/>
      <c r="R37" s="2098"/>
    </row>
    <row r="38" spans="1:18" ht="16.5" thickTop="1">
      <c r="A38" s="1" t="s">
        <v>448</v>
      </c>
      <c r="B38" s="1"/>
      <c r="D38" s="14"/>
      <c r="E38" s="14"/>
      <c r="F38" s="178" t="e">
        <f>SUM(F22:F37)</f>
        <v>#DIV/0!</v>
      </c>
      <c r="G38" s="189" t="e">
        <f>F38/$F$63</f>
        <v>#DIV/0!</v>
      </c>
      <c r="H38" s="2091" t="e">
        <f>SUM(H22:H37)</f>
        <v>#DIV/0!</v>
      </c>
      <c r="I38" s="814"/>
      <c r="K38" s="1677" t="s">
        <v>1599</v>
      </c>
      <c r="O38" s="2057" t="e">
        <f>O36/E4</f>
        <v>#DIV/0!</v>
      </c>
      <c r="P38" s="1656"/>
      <c r="Q38" s="1656"/>
      <c r="R38" s="1665"/>
    </row>
    <row r="39" spans="1:18"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18"/>
      <c r="R39" s="843"/>
    </row>
    <row r="40" spans="1:18" ht="15.75">
      <c r="A40" s="1"/>
      <c r="B40" s="1"/>
      <c r="D40" s="14"/>
      <c r="E40" s="14"/>
      <c r="F40" s="291"/>
      <c r="G40" s="52"/>
      <c r="H40" s="52"/>
    </row>
    <row r="41" spans="1:18">
      <c r="C41" s="292" t="s">
        <v>451</v>
      </c>
      <c r="D41" s="293" t="s">
        <v>452</v>
      </c>
      <c r="G41" s="52"/>
      <c r="H41" s="52"/>
    </row>
    <row r="42" spans="1:18">
      <c r="A42" s="294" t="s">
        <v>453</v>
      </c>
      <c r="B42" s="295" t="s">
        <v>454</v>
      </c>
      <c r="C42" s="296" t="e">
        <f>SUM(F22:F35)+F46</f>
        <v>#DIV/0!</v>
      </c>
      <c r="D42" s="769">
        <v>0.5</v>
      </c>
      <c r="G42" s="52"/>
      <c r="H42" s="52"/>
    </row>
    <row r="43" spans="1:18">
      <c r="A43" s="52"/>
      <c r="B43" s="298"/>
      <c r="C43" s="59"/>
      <c r="G43" s="52"/>
      <c r="H43" s="52"/>
      <c r="I43" t="s">
        <v>455</v>
      </c>
    </row>
    <row r="44" spans="1:18">
      <c r="A44" s="52"/>
      <c r="B44" s="298"/>
      <c r="C44" s="59"/>
      <c r="G44" s="52"/>
      <c r="H44" s="52"/>
      <c r="I44" t="s">
        <v>456</v>
      </c>
    </row>
    <row r="45" spans="1:18">
      <c r="G45" s="52"/>
      <c r="H45" s="52"/>
      <c r="I45" t="s">
        <v>457</v>
      </c>
    </row>
    <row r="46" spans="1:18" ht="15">
      <c r="A46" s="168" t="s">
        <v>458</v>
      </c>
      <c r="C46" s="165" t="s">
        <v>15</v>
      </c>
      <c r="D46" s="90">
        <v>0</v>
      </c>
      <c r="E46" s="299">
        <v>15.9</v>
      </c>
      <c r="F46" s="172">
        <f>D46*E46</f>
        <v>0</v>
      </c>
      <c r="G46" s="189" t="e">
        <f>F46/$F$63</f>
        <v>#DIV/0!</v>
      </c>
      <c r="H46" s="1520">
        <f>IF($E$5&lt;&gt;1,F46,F46*$E$4)</f>
        <v>0</v>
      </c>
    </row>
    <row r="47" spans="1:18" ht="15">
      <c r="A47" s="187"/>
      <c r="C47" s="1518" t="s">
        <v>459</v>
      </c>
      <c r="D47" s="1519">
        <f>IF($E$5=1,$D$46*$E$4,$D$46)</f>
        <v>0</v>
      </c>
      <c r="E47" t="s">
        <v>167</v>
      </c>
    </row>
    <row r="48" spans="1:18"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498" t="s">
        <v>521</v>
      </c>
      <c r="D53" s="170" t="s">
        <v>465</v>
      </c>
      <c r="E53" s="169"/>
      <c r="F53" s="1387" t="s">
        <v>466</v>
      </c>
      <c r="G53" s="52"/>
      <c r="H53" s="252" t="s">
        <v>420</v>
      </c>
    </row>
    <row r="54" spans="1:9" ht="16.5" thickBot="1">
      <c r="A54" s="2677"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8"/>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8"/>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 t="shared" si="6"/>
        <v>#DIV/0!</v>
      </c>
    </row>
    <row r="57" spans="1:9" ht="16.5" thickBot="1">
      <c r="A57" s="2679"/>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v>0</v>
      </c>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0</v>
      </c>
    </row>
    <row r="87" spans="1:13">
      <c r="B87" s="326" t="s">
        <v>496</v>
      </c>
      <c r="C87" s="163" t="s">
        <v>497</v>
      </c>
      <c r="D87" s="163"/>
      <c r="E87" s="327" t="e">
        <f>E85/E86</f>
        <v>#DIV/0!</v>
      </c>
    </row>
    <row r="90" spans="1:13" hidden="1">
      <c r="A90" t="s">
        <v>499</v>
      </c>
      <c r="B90" s="8">
        <v>500</v>
      </c>
    </row>
    <row r="91" spans="1:13" hidden="1">
      <c r="A91" t="s">
        <v>500</v>
      </c>
      <c r="B91" s="37">
        <v>0.05</v>
      </c>
    </row>
    <row r="92" spans="1:13" hidden="1">
      <c r="A92" s="3" t="s">
        <v>498</v>
      </c>
    </row>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329">
        <f>A96-$B$90</f>
        <v>-1500</v>
      </c>
      <c r="B95" s="329">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row>
    <row r="96" spans="1:13" hidden="1">
      <c r="A96" s="329">
        <f>A97-$B$90</f>
        <v>-1000</v>
      </c>
      <c r="B96" s="329">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41" t="e">
        <f>(B96-B97)/B97</f>
        <v>#DIV/0!</v>
      </c>
      <c r="M96" s="341">
        <v>0</v>
      </c>
    </row>
    <row r="97" spans="1:13" hidden="1">
      <c r="A97" s="329">
        <f>A98-$B$90</f>
        <v>-500</v>
      </c>
      <c r="B97" s="329">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41" t="e">
        <f>(B97-B98)/B98</f>
        <v>#DIV/0!</v>
      </c>
      <c r="M97" s="341">
        <v>0</v>
      </c>
    </row>
    <row r="98" spans="1:13" hidden="1">
      <c r="A98" s="336">
        <f>D7</f>
        <v>0</v>
      </c>
      <c r="B98" s="336">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41">
        <v>0</v>
      </c>
      <c r="M98" s="341" t="e">
        <f t="shared" ref="M98:M107" si="15">(G98-G97)/G97</f>
        <v>#DIV/0!</v>
      </c>
    </row>
    <row r="99" spans="1:13" hidden="1">
      <c r="A99" s="329">
        <f t="shared" ref="A99:A107" si="16">A98+$B$90</f>
        <v>500</v>
      </c>
      <c r="B99" s="329">
        <f t="shared" si="7"/>
        <v>0</v>
      </c>
      <c r="C99" s="328">
        <f t="shared" ref="C99:C107" si="17">(B99-B98)/(A99-A98)</f>
        <v>0</v>
      </c>
      <c r="D99" s="328" t="e">
        <f t="shared" ref="D99:D107" si="18">($B$91*D98)+D98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41" t="e">
        <f t="shared" ref="L99:L107" si="19">(B99-B98)/B98</f>
        <v>#DIV/0!</v>
      </c>
      <c r="M99" s="341" t="e">
        <f t="shared" si="15"/>
        <v>#DIV/0!</v>
      </c>
    </row>
    <row r="100" spans="1:13" hidden="1">
      <c r="A100" s="329">
        <f t="shared" si="16"/>
        <v>1000</v>
      </c>
      <c r="B100" s="329">
        <f t="shared" si="7"/>
        <v>0</v>
      </c>
      <c r="C100" s="328">
        <f t="shared" si="17"/>
        <v>0</v>
      </c>
      <c r="D100" s="328" t="e">
        <f t="shared" si="18"/>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41" t="e">
        <f t="shared" si="19"/>
        <v>#DIV/0!</v>
      </c>
      <c r="M100" s="341" t="e">
        <f t="shared" si="15"/>
        <v>#DIV/0!</v>
      </c>
    </row>
    <row r="101" spans="1:13" hidden="1">
      <c r="A101" s="329">
        <f t="shared" si="16"/>
        <v>1500</v>
      </c>
      <c r="B101" s="329">
        <f t="shared" si="7"/>
        <v>0</v>
      </c>
      <c r="C101" s="328">
        <f t="shared" si="17"/>
        <v>0</v>
      </c>
      <c r="D101" s="328" t="e">
        <f t="shared" si="18"/>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41" t="e">
        <f t="shared" si="19"/>
        <v>#DIV/0!</v>
      </c>
      <c r="M101" s="341" t="e">
        <f t="shared" si="15"/>
        <v>#DIV/0!</v>
      </c>
    </row>
    <row r="102" spans="1:13" hidden="1">
      <c r="A102" s="329">
        <f t="shared" si="16"/>
        <v>2000</v>
      </c>
      <c r="B102" s="329">
        <f t="shared" si="7"/>
        <v>0</v>
      </c>
      <c r="C102" s="328">
        <f t="shared" si="17"/>
        <v>0</v>
      </c>
      <c r="D102" s="328" t="e">
        <f t="shared" si="18"/>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41" t="e">
        <f t="shared" si="19"/>
        <v>#DIV/0!</v>
      </c>
      <c r="M102" s="341" t="e">
        <f t="shared" si="15"/>
        <v>#DIV/0!</v>
      </c>
    </row>
    <row r="103" spans="1:13" hidden="1">
      <c r="A103" s="329">
        <f t="shared" si="16"/>
        <v>2500</v>
      </c>
      <c r="B103" s="329">
        <f t="shared" si="7"/>
        <v>0</v>
      </c>
      <c r="C103" s="328">
        <f t="shared" si="17"/>
        <v>0</v>
      </c>
      <c r="D103" s="328" t="e">
        <f t="shared" si="18"/>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41" t="e">
        <f t="shared" si="19"/>
        <v>#DIV/0!</v>
      </c>
      <c r="M103" s="341" t="e">
        <f t="shared" si="15"/>
        <v>#DIV/0!</v>
      </c>
    </row>
    <row r="104" spans="1:13" hidden="1">
      <c r="A104" s="329">
        <f t="shared" si="16"/>
        <v>3000</v>
      </c>
      <c r="B104" s="329">
        <f t="shared" si="7"/>
        <v>0</v>
      </c>
      <c r="C104" s="328">
        <f t="shared" si="17"/>
        <v>0</v>
      </c>
      <c r="D104" s="328" t="e">
        <f t="shared" si="18"/>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41" t="e">
        <f t="shared" si="19"/>
        <v>#DIV/0!</v>
      </c>
      <c r="M104" s="341" t="e">
        <f t="shared" si="15"/>
        <v>#DIV/0!</v>
      </c>
    </row>
    <row r="105" spans="1:13" hidden="1">
      <c r="A105" s="329">
        <f t="shared" si="16"/>
        <v>3500</v>
      </c>
      <c r="B105" s="329">
        <f t="shared" si="7"/>
        <v>0</v>
      </c>
      <c r="C105" s="328">
        <f t="shared" si="17"/>
        <v>0</v>
      </c>
      <c r="D105" s="328" t="e">
        <f t="shared" si="18"/>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41" t="e">
        <f t="shared" si="19"/>
        <v>#DIV/0!</v>
      </c>
      <c r="M105" s="341" t="e">
        <f t="shared" si="15"/>
        <v>#DIV/0!</v>
      </c>
    </row>
    <row r="106" spans="1:13" hidden="1">
      <c r="A106" s="329">
        <f t="shared" si="16"/>
        <v>4000</v>
      </c>
      <c r="B106" s="329">
        <f t="shared" si="7"/>
        <v>0</v>
      </c>
      <c r="C106" s="328">
        <f t="shared" si="17"/>
        <v>0</v>
      </c>
      <c r="D106" s="328" t="e">
        <f t="shared" si="18"/>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41" t="e">
        <f t="shared" si="19"/>
        <v>#DIV/0!</v>
      </c>
      <c r="M106" s="341" t="e">
        <f t="shared" si="15"/>
        <v>#DIV/0!</v>
      </c>
    </row>
    <row r="107" spans="1:13" hidden="1">
      <c r="A107" s="329">
        <f t="shared" si="16"/>
        <v>4500</v>
      </c>
      <c r="B107" s="329">
        <f t="shared" si="7"/>
        <v>0</v>
      </c>
      <c r="C107" s="328">
        <f t="shared" si="17"/>
        <v>0</v>
      </c>
      <c r="D107" s="328" t="e">
        <f t="shared" si="18"/>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41" t="e">
        <f t="shared" si="19"/>
        <v>#DIV/0!</v>
      </c>
      <c r="M107" s="341" t="e">
        <f t="shared" si="15"/>
        <v>#DIV/0!</v>
      </c>
    </row>
  </sheetData>
  <sheetProtection sheet="1" formatCells="0" formatColumns="0" formatRows="0"/>
  <mergeCells count="1">
    <mergeCell ref="A54:A57"/>
  </mergeCells>
  <hyperlinks>
    <hyperlink ref="B2" location="Lähtötiedot" display="Lähtötiedot" xr:uid="{00000000-0004-0000-0A00-000000000000}"/>
    <hyperlink ref="B35" location="'Traktorin tuntihinta'!A1" display="Konelaskuri" xr:uid="{00000000-0004-0000-0A00-000001000000}"/>
    <hyperlink ref="B30" location="'Viljan kuivauksen hintalaskuri'!A1" display="Avaa viljankuivurilaskuri" xr:uid="{00000000-0004-0000-0A00-000002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Lähtötiedot!$A$88:$A$93</xm:f>
          </x14:formula1>
          <xm:sqref>K36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3"/>
  <dimension ref="A1:Q105"/>
  <sheetViews>
    <sheetView zoomScale="70" zoomScaleNormal="70" workbookViewId="0">
      <selection activeCell="A7" sqref="A7"/>
    </sheetView>
  </sheetViews>
  <sheetFormatPr defaultColWidth="8.85546875" defaultRowHeight="12.75"/>
  <cols>
    <col min="1" max="1" width="47" customWidth="1"/>
    <col min="2" max="2" width="44.85546875" customWidth="1"/>
    <col min="3" max="3" width="18.7109375" customWidth="1"/>
    <col min="4" max="4" width="19.42578125" customWidth="1"/>
    <col min="5" max="5" width="17.140625" customWidth="1"/>
    <col min="6" max="6" width="17.42578125" customWidth="1"/>
    <col min="7" max="7" width="9.7109375" customWidth="1"/>
    <col min="8" max="8" width="21" customWidth="1"/>
    <col min="9" max="9" width="36.5703125" customWidth="1"/>
    <col min="10" max="10" width="18.5703125" customWidth="1"/>
    <col min="11" max="11" width="17.5703125" customWidth="1"/>
    <col min="12" max="12" width="16.7109375" customWidth="1"/>
    <col min="13" max="13" width="16.42578125" customWidth="1"/>
    <col min="14" max="14" width="16" customWidth="1"/>
    <col min="15" max="15" width="18.42578125" customWidth="1"/>
    <col min="16" max="16" width="9.140625" customWidth="1"/>
    <col min="17" max="17" width="13.57031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1125" t="str">
        <f>Lähtötiedot!A12</f>
        <v>LaskeSäilörehu</v>
      </c>
      <c r="C2" s="246"/>
      <c r="D2" s="1992" t="s">
        <v>189</v>
      </c>
      <c r="E2" s="884" t="str">
        <f>Lähtötiedot!E4</f>
        <v>C</v>
      </c>
    </row>
    <row r="3" spans="1:17" ht="18">
      <c r="A3" s="1108" t="str">
        <f>Lähtötiedot!F12</f>
        <v>kasvi</v>
      </c>
      <c r="B3" s="247" t="s">
        <v>188</v>
      </c>
      <c r="C3" s="247"/>
      <c r="D3" s="247"/>
      <c r="E3" s="248">
        <f>Lähtötiedot!C4</f>
        <v>2027</v>
      </c>
      <c r="F3" s="247"/>
      <c r="G3" s="4" t="s">
        <v>414</v>
      </c>
    </row>
    <row r="4" spans="1:17" ht="18.75" thickBot="1">
      <c r="B4" s="249" t="s">
        <v>415</v>
      </c>
      <c r="D4" s="250"/>
      <c r="E4" s="251">
        <f>Lähtötiedot!C12</f>
        <v>0</v>
      </c>
      <c r="F4" s="247" t="str">
        <f>Lähtötiedot!D12</f>
        <v>ha</v>
      </c>
      <c r="G4" s="1523">
        <f>IF(D52&gt;0,E4/D52,0)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c r="I6" s="1427" t="s">
        <v>522</v>
      </c>
    </row>
    <row r="7" spans="1:17" ht="15.75" thickBot="1">
      <c r="A7" s="253" t="s">
        <v>523</v>
      </c>
      <c r="B7" s="1187" t="s">
        <v>524</v>
      </c>
      <c r="C7" s="255" t="s">
        <v>162</v>
      </c>
      <c r="D7" s="1104">
        <v>0</v>
      </c>
      <c r="E7" s="342"/>
      <c r="F7" s="343"/>
      <c r="H7" s="344"/>
    </row>
    <row r="8" spans="1:17" ht="16.5" thickBot="1">
      <c r="A8" s="345" t="s">
        <v>46</v>
      </c>
      <c r="B8" s="346">
        <v>0.27</v>
      </c>
      <c r="C8" s="347" t="s">
        <v>525</v>
      </c>
      <c r="D8" s="348">
        <f>B8*D7</f>
        <v>0</v>
      </c>
      <c r="E8" s="257">
        <v>0</v>
      </c>
      <c r="F8" s="258">
        <f>D8*E8</f>
        <v>0</v>
      </c>
      <c r="G8" s="189" t="str">
        <f>IFERROR(F8/$F$20,"")</f>
        <v/>
      </c>
      <c r="H8" s="259">
        <f>IF($E$5&lt;&gt;1,F8,F8*$E$4)</f>
        <v>0</v>
      </c>
    </row>
    <row r="9" spans="1:17" ht="16.5" thickBot="1">
      <c r="A9" s="349" t="s">
        <v>526</v>
      </c>
      <c r="B9" s="350">
        <v>680</v>
      </c>
      <c r="C9" s="351"/>
      <c r="D9" s="352"/>
      <c r="E9" s="353"/>
      <c r="F9" s="343"/>
      <c r="G9" s="189"/>
      <c r="H9" s="344"/>
      <c r="I9" s="38">
        <f>0.016*B9*D8</f>
        <v>0</v>
      </c>
    </row>
    <row r="10" spans="1:17" ht="15">
      <c r="A10" s="260" t="s">
        <v>1824</v>
      </c>
      <c r="B10" s="261"/>
      <c r="C10" s="262" t="s">
        <v>235</v>
      </c>
      <c r="D10" s="261">
        <v>1</v>
      </c>
      <c r="E10" s="267">
        <v>0</v>
      </c>
      <c r="F10" s="258">
        <f t="shared" ref="F10:F19" si="0">D10*E10</f>
        <v>0</v>
      </c>
      <c r="G10" s="189" t="str">
        <f>IFERROR(F10/$F$20,"")</f>
        <v/>
      </c>
      <c r="H10" s="259">
        <f>IF($E$5&lt;&gt;1,F10,F10*$E$4)</f>
        <v>0</v>
      </c>
    </row>
    <row r="11" spans="1:17" ht="15">
      <c r="A11" s="264" t="s">
        <v>1825</v>
      </c>
      <c r="B11" s="265"/>
      <c r="C11" s="266" t="s">
        <v>235</v>
      </c>
      <c r="D11" s="265">
        <v>1</v>
      </c>
      <c r="E11" s="267">
        <v>0</v>
      </c>
      <c r="F11" s="258">
        <f t="shared" si="0"/>
        <v>0</v>
      </c>
      <c r="G11" s="189" t="str">
        <f t="shared" ref="G11:G20" si="1">IFERROR(F11/$F$20,"")</f>
        <v/>
      </c>
      <c r="H11" s="259">
        <f t="shared" ref="H11:H19" si="2">IF($E$5&lt;&gt;1,F11,F11*$E$4)</f>
        <v>0</v>
      </c>
    </row>
    <row r="12" spans="1:17" ht="15">
      <c r="A12" s="264" t="s">
        <v>1832</v>
      </c>
      <c r="B12" s="265"/>
      <c r="C12" s="266" t="s">
        <v>235</v>
      </c>
      <c r="D12" s="265">
        <v>1</v>
      </c>
      <c r="E12" s="267">
        <v>0</v>
      </c>
      <c r="F12" s="258">
        <f t="shared" si="0"/>
        <v>0</v>
      </c>
      <c r="G12" s="189" t="str">
        <f t="shared" si="1"/>
        <v/>
      </c>
      <c r="H12" s="259">
        <f t="shared" si="2"/>
        <v>0</v>
      </c>
    </row>
    <row r="13" spans="1:17" ht="15">
      <c r="A13" s="264" t="s">
        <v>1833</v>
      </c>
      <c r="B13" s="265"/>
      <c r="C13" s="266" t="s">
        <v>235</v>
      </c>
      <c r="D13" s="265">
        <v>1</v>
      </c>
      <c r="E13" s="267">
        <v>0</v>
      </c>
      <c r="F13" s="258">
        <f t="shared" si="0"/>
        <v>0</v>
      </c>
      <c r="G13" s="189" t="str">
        <f t="shared" si="1"/>
        <v/>
      </c>
      <c r="H13" s="259">
        <f t="shared" si="2"/>
        <v>0</v>
      </c>
    </row>
    <row r="14" spans="1:17" ht="15.75" thickBot="1">
      <c r="A14" s="264"/>
      <c r="B14" s="265"/>
      <c r="C14" s="266" t="s">
        <v>235</v>
      </c>
      <c r="D14" s="265">
        <v>1</v>
      </c>
      <c r="E14" s="267">
        <v>0</v>
      </c>
      <c r="F14" s="258">
        <f t="shared" si="0"/>
        <v>0</v>
      </c>
      <c r="G14" s="189" t="str">
        <f t="shared" si="1"/>
        <v/>
      </c>
      <c r="H14" s="259">
        <f t="shared" si="2"/>
        <v>0</v>
      </c>
    </row>
    <row r="15" spans="1:17" ht="15.75" thickBot="1">
      <c r="A15" s="264"/>
      <c r="B15" s="265"/>
      <c r="C15" s="266" t="s">
        <v>235</v>
      </c>
      <c r="D15" s="265">
        <v>1</v>
      </c>
      <c r="E15" s="263">
        <v>0</v>
      </c>
      <c r="F15" s="258">
        <f t="shared" si="0"/>
        <v>0</v>
      </c>
      <c r="G15" s="189" t="str">
        <f t="shared" si="1"/>
        <v/>
      </c>
      <c r="H15" s="259">
        <f t="shared" si="2"/>
        <v>0</v>
      </c>
    </row>
    <row r="16" spans="1:17" ht="15.75" thickBot="1">
      <c r="A16" s="268"/>
      <c r="B16" s="269"/>
      <c r="C16" s="270" t="s">
        <v>235</v>
      </c>
      <c r="D16" s="269">
        <v>1</v>
      </c>
      <c r="E16" s="263">
        <v>0</v>
      </c>
      <c r="F16" s="258">
        <f t="shared" si="0"/>
        <v>0</v>
      </c>
      <c r="G16" s="189" t="str">
        <f t="shared" si="1"/>
        <v/>
      </c>
      <c r="H16" s="259">
        <f t="shared" si="2"/>
        <v>0</v>
      </c>
    </row>
    <row r="17" spans="1:10" ht="15">
      <c r="A17" s="272" t="s">
        <v>425</v>
      </c>
      <c r="B17" s="273"/>
      <c r="C17" s="274" t="s">
        <v>235</v>
      </c>
      <c r="D17" s="273">
        <v>1</v>
      </c>
      <c r="E17" s="275">
        <v>0</v>
      </c>
      <c r="F17" s="172">
        <f t="shared" si="0"/>
        <v>0</v>
      </c>
      <c r="G17" s="189" t="str">
        <f t="shared" si="1"/>
        <v/>
      </c>
      <c r="H17" s="259">
        <f t="shared" si="2"/>
        <v>0</v>
      </c>
    </row>
    <row r="18" spans="1:10" ht="15">
      <c r="A18" s="276"/>
      <c r="B18" s="277"/>
      <c r="C18" s="165" t="s">
        <v>235</v>
      </c>
      <c r="D18" s="277">
        <v>1</v>
      </c>
      <c r="E18" s="278">
        <v>0</v>
      </c>
      <c r="F18" s="172">
        <f t="shared" si="0"/>
        <v>0</v>
      </c>
      <c r="G18" s="189" t="str">
        <f t="shared" si="1"/>
        <v/>
      </c>
      <c r="H18" s="259">
        <f t="shared" si="2"/>
        <v>0</v>
      </c>
    </row>
    <row r="19" spans="1:10" ht="15">
      <c r="A19" s="279"/>
      <c r="B19" s="277"/>
      <c r="C19" s="165" t="s">
        <v>235</v>
      </c>
      <c r="D19" s="279">
        <v>1</v>
      </c>
      <c r="E19" s="278">
        <v>0</v>
      </c>
      <c r="F19" s="172">
        <f t="shared" si="0"/>
        <v>0</v>
      </c>
      <c r="G19" s="189" t="str">
        <f t="shared" si="1"/>
        <v/>
      </c>
      <c r="H19" s="259">
        <f t="shared" si="2"/>
        <v>0</v>
      </c>
    </row>
    <row r="20" spans="1:10" ht="15.75">
      <c r="A20" s="1" t="s">
        <v>426</v>
      </c>
      <c r="B20" s="1"/>
      <c r="C20" s="14"/>
      <c r="D20" s="14"/>
      <c r="E20" s="14"/>
      <c r="F20" s="178">
        <f>SUM(F7:F19)</f>
        <v>0</v>
      </c>
      <c r="G20" s="189" t="str">
        <f t="shared" si="1"/>
        <v/>
      </c>
      <c r="H20" s="281">
        <f>SUM(H7:H19)</f>
        <v>0</v>
      </c>
    </row>
    <row r="21" spans="1:10">
      <c r="G21" s="52"/>
      <c r="H21" s="52"/>
    </row>
    <row r="22" spans="1:10">
      <c r="G22" s="52"/>
      <c r="H22" s="52"/>
    </row>
    <row r="23" spans="1:10" s="247" customFormat="1" ht="18">
      <c r="A23" s="1" t="str">
        <f>IF($E$5&lt;&gt;1,"Muuttuvat kustannukset € "&amp;$E$4&amp;" "&amp; $F$4,"Muuttuvat kustannukset €/1 "&amp;$F$4)</f>
        <v>Muuttuvat kustannukset €/1 ha</v>
      </c>
      <c r="B23" s="1" t="s">
        <v>427</v>
      </c>
      <c r="C23" s="252" t="s">
        <v>146</v>
      </c>
      <c r="D23" s="252" t="s">
        <v>147</v>
      </c>
      <c r="E23" s="252" t="s">
        <v>428</v>
      </c>
      <c r="F23" s="252" t="s">
        <v>235</v>
      </c>
      <c r="G23" s="521" t="s">
        <v>159</v>
      </c>
      <c r="H23" s="252" t="s">
        <v>420</v>
      </c>
    </row>
    <row r="24" spans="1:10" s="14" customFormat="1" ht="15">
      <c r="A24" s="277" t="s">
        <v>527</v>
      </c>
      <c r="B24" s="277" t="s">
        <v>528</v>
      </c>
      <c r="C24" s="165" t="s">
        <v>529</v>
      </c>
      <c r="D24" s="282">
        <f>170/I25</f>
        <v>56.666666666666664</v>
      </c>
      <c r="E24" s="176">
        <v>0</v>
      </c>
      <c r="F24" s="172">
        <f t="shared" ref="F24:F39" si="3">D24*E24</f>
        <v>0</v>
      </c>
      <c r="G24" s="189" t="str">
        <f t="shared" ref="G24:G33" si="4">IFERROR(F24/$F$65,"")</f>
        <v/>
      </c>
      <c r="H24" s="259">
        <f t="shared" ref="H24:H39" si="5">IF($E$5&lt;&gt;1,F24,F24*$E$4)</f>
        <v>0</v>
      </c>
      <c r="I24" t="s">
        <v>430</v>
      </c>
    </row>
    <row r="25" spans="1:10" s="14" customFormat="1" ht="15">
      <c r="A25" s="277" t="s">
        <v>530</v>
      </c>
      <c r="B25" s="277" t="s">
        <v>528</v>
      </c>
      <c r="C25" s="165" t="s">
        <v>529</v>
      </c>
      <c r="D25" s="282">
        <f>20/I25</f>
        <v>6.666666666666667</v>
      </c>
      <c r="E25" s="176">
        <v>0</v>
      </c>
      <c r="F25" s="172">
        <f t="shared" si="3"/>
        <v>0</v>
      </c>
      <c r="G25" s="189" t="str">
        <f t="shared" si="4"/>
        <v/>
      </c>
      <c r="H25" s="2063">
        <f t="shared" si="5"/>
        <v>0</v>
      </c>
      <c r="I25" s="1008">
        <v>3</v>
      </c>
      <c r="J25" s="14" t="s">
        <v>431</v>
      </c>
    </row>
    <row r="26" spans="1:10" s="14" customFormat="1" ht="15">
      <c r="A26" s="277" t="s">
        <v>531</v>
      </c>
      <c r="B26" s="277"/>
      <c r="C26" s="165"/>
      <c r="D26" s="282">
        <v>0</v>
      </c>
      <c r="E26" s="176">
        <v>0</v>
      </c>
      <c r="F26" s="172">
        <f t="shared" si="3"/>
        <v>0</v>
      </c>
      <c r="G26" s="189" t="str">
        <f t="shared" si="4"/>
        <v/>
      </c>
      <c r="H26" s="259">
        <f t="shared" si="5"/>
        <v>0</v>
      </c>
      <c r="I26"/>
    </row>
    <row r="27" spans="1:10" s="14" customFormat="1" ht="15">
      <c r="A27" s="277" t="s">
        <v>165</v>
      </c>
      <c r="B27" s="277"/>
      <c r="C27" s="165" t="s">
        <v>433</v>
      </c>
      <c r="D27" s="282">
        <v>0</v>
      </c>
      <c r="E27" s="176">
        <v>0</v>
      </c>
      <c r="F27" s="172">
        <f t="shared" si="3"/>
        <v>0</v>
      </c>
      <c r="G27" s="189" t="str">
        <f t="shared" si="4"/>
        <v/>
      </c>
      <c r="H27" s="259">
        <f t="shared" si="5"/>
        <v>0</v>
      </c>
      <c r="I27"/>
    </row>
    <row r="28" spans="1:10" s="14" customFormat="1" ht="15">
      <c r="A28" s="277"/>
      <c r="B28" s="277"/>
      <c r="C28" s="165"/>
      <c r="D28" s="282">
        <v>0</v>
      </c>
      <c r="E28" s="176">
        <v>0</v>
      </c>
      <c r="F28" s="172">
        <f t="shared" si="3"/>
        <v>0</v>
      </c>
      <c r="G28" s="189" t="str">
        <f t="shared" si="4"/>
        <v/>
      </c>
      <c r="H28" s="259">
        <f t="shared" si="5"/>
        <v>0</v>
      </c>
      <c r="I28"/>
    </row>
    <row r="29" spans="1:10" s="14" customFormat="1" ht="15">
      <c r="A29" s="277" t="s">
        <v>1835</v>
      </c>
      <c r="B29" s="277" t="s">
        <v>1834</v>
      </c>
      <c r="C29" s="165" t="s">
        <v>162</v>
      </c>
      <c r="D29" s="282">
        <v>0</v>
      </c>
      <c r="E29" s="176">
        <v>0</v>
      </c>
      <c r="F29" s="172">
        <f t="shared" si="3"/>
        <v>0</v>
      </c>
      <c r="G29" s="189" t="str">
        <f t="shared" si="4"/>
        <v/>
      </c>
      <c r="H29" s="259">
        <f t="shared" si="5"/>
        <v>0</v>
      </c>
      <c r="I29"/>
    </row>
    <row r="30" spans="1:10" s="14" customFormat="1" ht="15">
      <c r="A30" s="277" t="s">
        <v>1837</v>
      </c>
      <c r="B30" s="277" t="s">
        <v>1836</v>
      </c>
      <c r="C30" s="165"/>
      <c r="D30" s="282">
        <v>0</v>
      </c>
      <c r="E30" s="176">
        <v>0</v>
      </c>
      <c r="F30" s="172">
        <f t="shared" si="3"/>
        <v>0</v>
      </c>
      <c r="G30" s="189" t="str">
        <f t="shared" si="4"/>
        <v/>
      </c>
      <c r="H30" s="259">
        <f t="shared" si="5"/>
        <v>0</v>
      </c>
      <c r="I30"/>
    </row>
    <row r="31" spans="1:10" s="14" customFormat="1" ht="15">
      <c r="A31" s="277" t="s">
        <v>437</v>
      </c>
      <c r="B31" s="277" t="s">
        <v>1838</v>
      </c>
      <c r="C31" s="165"/>
      <c r="D31" s="282">
        <v>0</v>
      </c>
      <c r="E31" s="176">
        <v>0</v>
      </c>
      <c r="F31" s="172">
        <f t="shared" si="3"/>
        <v>0</v>
      </c>
      <c r="G31" s="189" t="str">
        <f t="shared" si="4"/>
        <v/>
      </c>
      <c r="H31" s="259">
        <f t="shared" si="5"/>
        <v>0</v>
      </c>
      <c r="I31"/>
    </row>
    <row r="32" spans="1:10" s="14" customFormat="1" ht="15">
      <c r="A32" s="277" t="s">
        <v>438</v>
      </c>
      <c r="B32" s="1165" t="s">
        <v>439</v>
      </c>
      <c r="C32" s="165" t="s">
        <v>434</v>
      </c>
      <c r="D32" s="282">
        <v>0</v>
      </c>
      <c r="E32" s="176">
        <v>0</v>
      </c>
      <c r="F32" s="172">
        <f t="shared" si="3"/>
        <v>0</v>
      </c>
      <c r="G32" s="189" t="str">
        <f t="shared" si="4"/>
        <v/>
      </c>
      <c r="H32" s="259">
        <f t="shared" si="5"/>
        <v>0</v>
      </c>
      <c r="I32"/>
    </row>
    <row r="33" spans="1:17" ht="15.75" thickBot="1">
      <c r="A33" s="277" t="s">
        <v>532</v>
      </c>
      <c r="B33" s="277"/>
      <c r="C33" s="165" t="s">
        <v>160</v>
      </c>
      <c r="D33" s="282">
        <v>0</v>
      </c>
      <c r="E33" s="176">
        <v>0</v>
      </c>
      <c r="F33" s="172">
        <f t="shared" si="3"/>
        <v>0</v>
      </c>
      <c r="G33" s="189" t="str">
        <f t="shared" si="4"/>
        <v/>
      </c>
      <c r="H33" s="259">
        <f t="shared" si="5"/>
        <v>0</v>
      </c>
      <c r="J33" s="14"/>
      <c r="K33" s="14"/>
    </row>
    <row r="34" spans="1:17" ht="15">
      <c r="A34" s="2072" t="s">
        <v>1612</v>
      </c>
      <c r="B34" s="2073" t="s">
        <v>1839</v>
      </c>
      <c r="C34" s="2074" t="s">
        <v>167</v>
      </c>
      <c r="D34" s="2075">
        <v>0</v>
      </c>
      <c r="E34" s="2076">
        <v>0</v>
      </c>
      <c r="F34" s="1335">
        <f t="shared" si="3"/>
        <v>0</v>
      </c>
      <c r="G34" s="2077" t="e">
        <f t="shared" ref="G34:G35" si="6">F34/$F$63</f>
        <v>#VALUE!</v>
      </c>
      <c r="H34" s="2088">
        <f t="shared" si="5"/>
        <v>0</v>
      </c>
      <c r="I34" s="2092" t="s">
        <v>1605</v>
      </c>
      <c r="J34" s="2078">
        <f>IF(E6&gt;0,IF(K34&gt;0,K34,D35+D34),0)</f>
        <v>0</v>
      </c>
      <c r="K34" s="2079">
        <v>0</v>
      </c>
      <c r="L34" s="813"/>
      <c r="M34" s="813"/>
      <c r="N34" s="813"/>
      <c r="O34" s="813"/>
      <c r="P34" s="813"/>
      <c r="Q34" s="839"/>
    </row>
    <row r="35" spans="1:17" ht="15.75" thickBot="1">
      <c r="A35" s="2080" t="s">
        <v>1611</v>
      </c>
      <c r="B35" s="2081"/>
      <c r="C35" s="2082" t="s">
        <v>167</v>
      </c>
      <c r="D35" s="2083">
        <v>0</v>
      </c>
      <c r="E35" s="2084">
        <v>0</v>
      </c>
      <c r="F35" s="2085">
        <f t="shared" si="3"/>
        <v>0</v>
      </c>
      <c r="G35" s="2086" t="e">
        <f t="shared" si="6"/>
        <v>#VALUE!</v>
      </c>
      <c r="H35" s="2089">
        <f t="shared" si="5"/>
        <v>0</v>
      </c>
      <c r="I35" s="2093" t="s">
        <v>1606</v>
      </c>
      <c r="J35" s="2087">
        <v>20</v>
      </c>
      <c r="K35" s="843"/>
      <c r="Q35" s="841"/>
    </row>
    <row r="36" spans="1:17" ht="15">
      <c r="A36" s="1545" t="s">
        <v>444</v>
      </c>
      <c r="B36" s="277"/>
      <c r="C36" s="1541" t="s">
        <v>235</v>
      </c>
      <c r="D36" s="1152">
        <v>1</v>
      </c>
      <c r="E36" s="1540">
        <f>SUMIF('Muut kustannustiedot'!H38:H48,A3,'Muut kustannustiedot'!V38:V48)*G4</f>
        <v>0</v>
      </c>
      <c r="F36" s="172" t="e">
        <f>IF(E5&lt;&gt;2,D36*E36/E4,E36*D36)</f>
        <v>#DIV/0!</v>
      </c>
      <c r="G36" s="189" t="e">
        <f>F36/$F$65</f>
        <v>#DIV/0!</v>
      </c>
      <c r="H36" s="2063" t="e">
        <f t="shared" si="5"/>
        <v>#DIV/0!</v>
      </c>
      <c r="I36" s="2094" t="s">
        <v>1609</v>
      </c>
      <c r="J36" s="1999">
        <f>IF(E5&lt;&gt;1,J34*J35,J34*J35*E4)</f>
        <v>0</v>
      </c>
      <c r="Q36" s="841"/>
    </row>
    <row r="37" spans="1:17" ht="15">
      <c r="A37" s="277" t="s">
        <v>445</v>
      </c>
      <c r="B37" s="1166" t="s">
        <v>446</v>
      </c>
      <c r="C37" s="165"/>
      <c r="D37" s="282">
        <v>0</v>
      </c>
      <c r="E37" s="176">
        <v>20</v>
      </c>
      <c r="F37" s="172">
        <f>IF(E4&gt;0,D37*E37,0)</f>
        <v>0</v>
      </c>
      <c r="G37" s="189" t="str">
        <f>IFERROR(F37/$F$65,"")</f>
        <v/>
      </c>
      <c r="H37" s="2063">
        <f t="shared" si="5"/>
        <v>0</v>
      </c>
      <c r="I37" s="814"/>
      <c r="K37" s="25" t="s">
        <v>1608</v>
      </c>
      <c r="L37" s="1617">
        <f>IF(E7&lt;&gt;1,D37,D37*E6)</f>
        <v>0</v>
      </c>
      <c r="Q37" s="841"/>
    </row>
    <row r="38" spans="1:17" ht="15.75">
      <c r="A38" s="2044" t="s">
        <v>1598</v>
      </c>
      <c r="B38" s="2061" t="s">
        <v>1607</v>
      </c>
      <c r="C38" s="370" t="s">
        <v>1597</v>
      </c>
      <c r="D38" s="2040">
        <v>25</v>
      </c>
      <c r="E38" s="2046">
        <f>IF(E5&lt;&gt;1,D37*D38,D37*D38*E4)</f>
        <v>0</v>
      </c>
      <c r="F38" s="2045"/>
      <c r="G38" s="2047"/>
      <c r="H38" s="2063"/>
      <c r="I38" s="2095" t="s">
        <v>1610</v>
      </c>
      <c r="J38" s="2096">
        <f>E38</f>
        <v>0</v>
      </c>
      <c r="K38" s="2048" t="s">
        <v>1580</v>
      </c>
      <c r="L38" s="2049">
        <f>IF(E4&gt;0,IF(E5&lt;&gt;1,E38,E38),0)</f>
        <v>0</v>
      </c>
      <c r="M38" s="2053">
        <f>L38/159</f>
        <v>0</v>
      </c>
      <c r="N38" s="2050">
        <f>VLOOKUP(K38,Lähtötiedot!$A$88:$F$93,6,FALSE)</f>
        <v>2.66</v>
      </c>
      <c r="O38" s="2051">
        <f>L38*N38</f>
        <v>0</v>
      </c>
      <c r="P38" s="2054">
        <f>O38/1000</f>
        <v>0</v>
      </c>
      <c r="Q38" s="2097">
        <f>O38*0.27</f>
        <v>0</v>
      </c>
    </row>
    <row r="39" spans="1:17" ht="16.5" thickBot="1">
      <c r="A39" s="284" t="s">
        <v>447</v>
      </c>
      <c r="B39" s="279"/>
      <c r="C39" s="285" t="s">
        <v>159</v>
      </c>
      <c r="D39" s="286" t="e">
        <f>C44*D44</f>
        <v>#DIV/0!</v>
      </c>
      <c r="E39" s="287">
        <v>0.01</v>
      </c>
      <c r="F39" s="172" t="e">
        <f t="shared" si="3"/>
        <v>#DIV/0!</v>
      </c>
      <c r="G39" s="189" t="str">
        <f>IFERROR(F39/$F$65,"")</f>
        <v/>
      </c>
      <c r="H39" s="2063" t="e">
        <f t="shared" si="5"/>
        <v>#DIV/0!</v>
      </c>
      <c r="I39" s="814"/>
      <c r="K39" s="1677" t="s">
        <v>1596</v>
      </c>
      <c r="L39" s="1656"/>
      <c r="M39" s="1656"/>
      <c r="N39" s="1656"/>
      <c r="O39" s="2056">
        <f>IF($E$4&gt;0,$O$38/(L37+J34),0)</f>
        <v>0</v>
      </c>
      <c r="P39" s="2041"/>
      <c r="Q39" s="2098"/>
    </row>
    <row r="40" spans="1:17" ht="16.5" thickTop="1">
      <c r="A40" s="1" t="s">
        <v>448</v>
      </c>
      <c r="B40" s="1"/>
      <c r="D40" s="14"/>
      <c r="E40" s="14"/>
      <c r="F40" s="178" t="e">
        <f>SUM(F24:F39)</f>
        <v>#DIV/0!</v>
      </c>
      <c r="G40" s="189" t="str">
        <f>IFERROR(F40/$F$65,"")</f>
        <v/>
      </c>
      <c r="H40" s="2091" t="e">
        <f>SUM(H24:H39)</f>
        <v>#DIV/0!</v>
      </c>
      <c r="I40" s="814"/>
      <c r="K40" s="1677" t="s">
        <v>1599</v>
      </c>
      <c r="O40" s="2057" t="e">
        <f>O38/E4</f>
        <v>#DIV/0!</v>
      </c>
      <c r="P40" s="1656"/>
      <c r="Q40" s="1665"/>
    </row>
    <row r="41" spans="1:17" ht="18.75" thickBot="1">
      <c r="A41" s="1" t="s">
        <v>449</v>
      </c>
      <c r="B41" s="52" t="s">
        <v>450</v>
      </c>
      <c r="D41" s="14"/>
      <c r="E41" s="14"/>
      <c r="F41" s="289" t="e">
        <f>F20-F40</f>
        <v>#DIV/0!</v>
      </c>
      <c r="G41" s="189"/>
      <c r="H41" s="290" t="e">
        <f>H20-H40</f>
        <v>#DIV/0!</v>
      </c>
      <c r="I41" s="815"/>
      <c r="J41" s="818"/>
      <c r="K41" s="2099" t="s">
        <v>1602</v>
      </c>
      <c r="L41" s="818"/>
      <c r="M41" s="818"/>
      <c r="N41" s="818"/>
      <c r="O41" s="2100">
        <f>IF($E$4&gt;0,$O$38/D8,0)</f>
        <v>0</v>
      </c>
      <c r="P41" s="818"/>
      <c r="Q41" s="843"/>
    </row>
    <row r="42" spans="1:17" ht="15.75">
      <c r="A42" s="1"/>
      <c r="B42" s="1"/>
      <c r="D42" s="14"/>
      <c r="E42" s="14"/>
      <c r="F42" s="291"/>
      <c r="G42" s="52"/>
      <c r="H42" s="52"/>
    </row>
    <row r="43" spans="1:17">
      <c r="C43" s="292" t="s">
        <v>451</v>
      </c>
      <c r="D43" s="293" t="s">
        <v>452</v>
      </c>
      <c r="G43" s="52"/>
      <c r="H43" s="52"/>
    </row>
    <row r="44" spans="1:17">
      <c r="A44" s="294" t="s">
        <v>453</v>
      </c>
      <c r="B44" s="295" t="s">
        <v>454</v>
      </c>
      <c r="C44" s="296" t="e">
        <f>SUM(F24:F37)+F48</f>
        <v>#DIV/0!</v>
      </c>
      <c r="D44" s="769">
        <v>0.5</v>
      </c>
      <c r="G44" s="52"/>
      <c r="H44" s="52"/>
    </row>
    <row r="45" spans="1:17">
      <c r="A45" s="52"/>
      <c r="B45" s="298"/>
      <c r="C45" s="59"/>
      <c r="G45" s="52"/>
      <c r="H45" s="52"/>
      <c r="I45" t="s">
        <v>455</v>
      </c>
    </row>
    <row r="46" spans="1:17">
      <c r="A46" s="52"/>
      <c r="B46" s="298"/>
      <c r="C46" s="59"/>
      <c r="G46" s="52"/>
      <c r="H46" s="52"/>
      <c r="I46" t="s">
        <v>456</v>
      </c>
    </row>
    <row r="47" spans="1:17">
      <c r="G47" s="52"/>
      <c r="H47" s="52"/>
      <c r="I47" t="s">
        <v>457</v>
      </c>
    </row>
    <row r="48" spans="1:17" ht="15">
      <c r="A48" s="168" t="s">
        <v>458</v>
      </c>
      <c r="C48" s="165" t="s">
        <v>15</v>
      </c>
      <c r="D48" s="90">
        <v>0</v>
      </c>
      <c r="E48" s="299">
        <v>15.9</v>
      </c>
      <c r="F48" s="172">
        <f>D48*E48</f>
        <v>0</v>
      </c>
      <c r="G48" s="189" t="str">
        <f>IFERROR(F48/$F$65,"")</f>
        <v/>
      </c>
      <c r="H48" s="1520">
        <f>IF($E$5&lt;&gt;1,F48,F48*$E$4)</f>
        <v>0</v>
      </c>
    </row>
    <row r="49" spans="1:9" ht="15">
      <c r="A49" s="187"/>
      <c r="B49" s="187"/>
      <c r="C49" s="1518" t="s">
        <v>459</v>
      </c>
      <c r="D49" s="1519">
        <f>IF($E$5=1,$D$48*$E$4,$D$48)</f>
        <v>0</v>
      </c>
      <c r="E49" t="s">
        <v>167</v>
      </c>
      <c r="F49" s="301"/>
      <c r="G49" s="52"/>
      <c r="H49" s="52"/>
    </row>
    <row r="50" spans="1:9" ht="18">
      <c r="A50" s="1" t="s">
        <v>460</v>
      </c>
      <c r="B50" s="52" t="s">
        <v>461</v>
      </c>
      <c r="C50" s="301"/>
      <c r="D50" s="301"/>
      <c r="E50" s="301"/>
      <c r="F50" s="289" t="e">
        <f>F41-F48</f>
        <v>#DIV/0!</v>
      </c>
      <c r="G50" s="189"/>
      <c r="H50" s="302" t="e">
        <f>H41-H48</f>
        <v>#DIV/0!</v>
      </c>
    </row>
    <row r="51" spans="1:9" ht="15">
      <c r="A51" s="187"/>
      <c r="B51" s="187"/>
      <c r="C51" s="301"/>
      <c r="D51" s="301"/>
      <c r="E51" s="301"/>
      <c r="F51" s="301"/>
      <c r="G51" s="52"/>
      <c r="H51" s="52"/>
    </row>
    <row r="52" spans="1:9" ht="15.75">
      <c r="B52" s="303" t="str">
        <f>A3</f>
        <v>kasvi</v>
      </c>
      <c r="D52" s="1496">
        <f>SUMIF(Lähtötiedot!$A$60:$A$70,$B$52,Lähtötiedot!$B$60:$B$71)</f>
        <v>0</v>
      </c>
      <c r="E52" t="s">
        <v>99</v>
      </c>
      <c r="G52" s="52"/>
      <c r="H52" s="52"/>
    </row>
    <row r="53" spans="1:9" ht="15.75">
      <c r="A53" s="1" t="s">
        <v>462</v>
      </c>
      <c r="B53" s="303" t="s">
        <v>463</v>
      </c>
      <c r="D53" s="1496">
        <f>Lähtötiedot!C8</f>
        <v>0</v>
      </c>
      <c r="E53" t="s">
        <v>99</v>
      </c>
      <c r="G53" s="52"/>
      <c r="H53" s="52"/>
    </row>
    <row r="54" spans="1:9">
      <c r="G54" s="52"/>
      <c r="H54" s="52"/>
    </row>
    <row r="55" spans="1:9" ht="16.5" thickBot="1">
      <c r="A55" s="168"/>
      <c r="B55" s="168"/>
      <c r="C55" s="1498" t="s">
        <v>521</v>
      </c>
      <c r="D55" s="170" t="s">
        <v>465</v>
      </c>
      <c r="E55" s="169"/>
      <c r="F55" s="1387" t="s">
        <v>466</v>
      </c>
      <c r="G55" s="52"/>
      <c r="H55" s="252" t="s">
        <v>420</v>
      </c>
    </row>
    <row r="56" spans="1:9" ht="16.5" thickBot="1">
      <c r="A56" s="2677" t="s">
        <v>467</v>
      </c>
      <c r="B56" s="878" t="s">
        <v>231</v>
      </c>
      <c r="C56" s="1497">
        <f>IF($E$5=1,SUMIF(Lähtötiedot!$F$10:$F$20,$B$52,Lähtötiedot!$C$10:$C$20),$E$4)</f>
        <v>0</v>
      </c>
      <c r="D56" s="1500">
        <f>SUMIF(Lähtötiedot!$A$60:$A$70,$B$52,Lähtötiedot!$D$60:$D$70)</f>
        <v>0</v>
      </c>
      <c r="E56" s="1227">
        <v>1</v>
      </c>
      <c r="F56" s="1501" t="e">
        <f>IF($E$5=1,IF($D$52=$E$4,D56/C56*E56,D56/C56*E56),D56*E56*$G$4)</f>
        <v>#DIV/0!</v>
      </c>
      <c r="G56" s="189" t="str">
        <f>IFERROR(F56/$F$65,"")</f>
        <v/>
      </c>
      <c r="H56" s="259" t="e">
        <f>IF($E$5=1,F56*$E$4,F56)</f>
        <v>#DIV/0!</v>
      </c>
    </row>
    <row r="57" spans="1:9" ht="16.5" thickBot="1">
      <c r="A57" s="2678"/>
      <c r="B57" s="878" t="s">
        <v>232</v>
      </c>
      <c r="C57" s="1497">
        <f>IF($E$5=1,SUMIF(Lähtötiedot!$F$10:$F$20,$B$52,Lähtötiedot!$C$10:$C$20),$E$4)</f>
        <v>0</v>
      </c>
      <c r="D57" s="1500">
        <f>SUMIF(Lähtötiedot!$A$60:$A$70,$B$52,Lähtötiedot!$E$60:$E$70)</f>
        <v>0</v>
      </c>
      <c r="E57" s="1227">
        <v>1</v>
      </c>
      <c r="F57" s="1501" t="e">
        <f t="shared" ref="F57" si="7">IF($E$5=1,IF($D$52=$E$4,D57/C57*E57,D57/C57*E57),D57*E57*$G$4)</f>
        <v>#DIV/0!</v>
      </c>
      <c r="G57" s="189" t="str">
        <f t="shared" ref="G57:G60" si="8">IFERROR(F57/$F$65,"")</f>
        <v/>
      </c>
      <c r="H57" s="259" t="e">
        <f t="shared" ref="H57:H59" si="9">IF($E$5=1,F57*$E$4,F57)</f>
        <v>#DIV/0!</v>
      </c>
    </row>
    <row r="58" spans="1:9" ht="16.5" thickBot="1">
      <c r="A58" s="2679"/>
      <c r="B58" s="874" t="s">
        <v>468</v>
      </c>
      <c r="C58" s="1497">
        <f>IF($E$5=1,SUMIF(Lähtötiedot!$F$10:$F$20,$B$52,Lähtötiedot!$C$10:$C$20),$E$4)</f>
        <v>0</v>
      </c>
      <c r="D58" s="1500">
        <f>SUMIF(Lähtötiedot!$A$60:$A$70,$B$52,Lähtötiedot!$F$60:$F$70)</f>
        <v>0</v>
      </c>
      <c r="E58" s="1227">
        <v>1</v>
      </c>
      <c r="F58" s="1501" t="e">
        <f>IF($E$5=1,IF($D$52=$E$4,D58/C58*E58,D58/C58*E58),D58*E58*$G$4)</f>
        <v>#DIV/0!</v>
      </c>
      <c r="G58" s="189" t="e">
        <f>F58/$F$61</f>
        <v>#DIV/0!</v>
      </c>
      <c r="H58" s="259" t="e">
        <f t="shared" si="9"/>
        <v>#DIV/0!</v>
      </c>
    </row>
    <row r="59" spans="1:9" ht="16.5" thickBot="1">
      <c r="A59" s="1547"/>
      <c r="B59" s="874" t="s">
        <v>469</v>
      </c>
      <c r="C59" s="1497">
        <f>IF($E$5=1,SUMIF(Lähtötiedot!$F$10:$F$20,$B$52,Lähtötiedot!$C$10:$C$20),$E$4)</f>
        <v>0</v>
      </c>
      <c r="D59" s="1500">
        <f>SUMIF(Lähtötiedot!$A$60:$A$70,$B$52,Lähtötiedot!$G$60:$G$70)</f>
        <v>0</v>
      </c>
      <c r="E59" s="1227">
        <v>1</v>
      </c>
      <c r="F59" s="1501" t="e">
        <f>IF($E$5=1,IF($D$52=$E$4,D59/C59*E59,D59/C59*E59),D59*E59*$G$4)</f>
        <v>#DIV/0!</v>
      </c>
      <c r="G59" s="189" t="e">
        <f>F59/$F$61</f>
        <v>#DIV/0!</v>
      </c>
      <c r="H59" s="259" t="e">
        <f t="shared" si="9"/>
        <v>#DIV/0!</v>
      </c>
    </row>
    <row r="60" spans="1:9" ht="15.75" thickBot="1">
      <c r="A60" s="356"/>
      <c r="B60" s="174"/>
      <c r="C60" s="175"/>
      <c r="D60" s="306"/>
      <c r="E60" s="177"/>
      <c r="F60" s="172" t="str">
        <f>IFERROR(D60/#REF!,"")</f>
        <v/>
      </c>
      <c r="G60" s="189" t="str">
        <f t="shared" si="8"/>
        <v/>
      </c>
      <c r="H60" s="259" t="str">
        <f t="shared" ref="H60" si="10">IFERROR(F60*$E$4,"")</f>
        <v/>
      </c>
      <c r="I60" t="s">
        <v>533</v>
      </c>
    </row>
    <row r="61" spans="1:9" ht="16.5" thickTop="1">
      <c r="A61" s="1" t="s">
        <v>470</v>
      </c>
      <c r="B61" s="1"/>
      <c r="C61" s="14"/>
      <c r="D61" s="1078">
        <f>SUM(D56:D60)</f>
        <v>0</v>
      </c>
      <c r="E61" s="14"/>
      <c r="F61" s="172" t="str">
        <f>IFERROR(D61/$D$52,"")</f>
        <v/>
      </c>
      <c r="H61" s="281" t="e">
        <f>SUM(H56:H60)</f>
        <v>#DIV/0!</v>
      </c>
    </row>
    <row r="62" spans="1:9" ht="15.75">
      <c r="A62" s="1"/>
      <c r="B62" s="1"/>
      <c r="C62" s="14"/>
      <c r="D62" s="14"/>
      <c r="E62" s="14"/>
      <c r="F62" s="301"/>
    </row>
    <row r="63" spans="1:9" ht="18">
      <c r="A63" s="1" t="s">
        <v>471</v>
      </c>
      <c r="B63" s="52" t="s">
        <v>472</v>
      </c>
      <c r="C63" s="14"/>
      <c r="D63" s="14"/>
      <c r="E63" s="14"/>
      <c r="F63" s="289" t="str">
        <f>IFERROR(F50-F61,"")</f>
        <v/>
      </c>
      <c r="H63" s="290" t="e">
        <f>H50-H61</f>
        <v>#DIV/0!</v>
      </c>
    </row>
    <row r="64" spans="1:9" ht="15">
      <c r="D64" s="14"/>
      <c r="E64" s="14"/>
      <c r="F64" s="301"/>
    </row>
    <row r="65" spans="1:9" ht="15.75">
      <c r="A65" s="1" t="s">
        <v>534</v>
      </c>
      <c r="B65" s="1"/>
      <c r="D65" s="14"/>
      <c r="E65" s="14"/>
      <c r="F65" s="308" t="str">
        <f>IFERROR(F40+F48+F61,"")</f>
        <v/>
      </c>
      <c r="G65" s="280" t="e">
        <f>SUM(G56:G60,G48,G40)</f>
        <v>#DIV/0!</v>
      </c>
      <c r="H65" s="309"/>
      <c r="I65" t="s">
        <v>474</v>
      </c>
    </row>
    <row r="66" spans="1:9" ht="15.75">
      <c r="A66" s="1" t="s">
        <v>535</v>
      </c>
      <c r="F66" s="308">
        <f>F20</f>
        <v>0</v>
      </c>
      <c r="H66" s="173"/>
    </row>
    <row r="67" spans="1:9" ht="15.75">
      <c r="A67" s="1" t="s">
        <v>536</v>
      </c>
      <c r="F67" s="308">
        <f>SUM(F7,F17:F18)</f>
        <v>0</v>
      </c>
      <c r="H67" s="173"/>
    </row>
    <row r="68" spans="1:9" ht="15.75">
      <c r="A68" s="1" t="s">
        <v>477</v>
      </c>
      <c r="B68" s="1"/>
      <c r="F68" s="308" t="str">
        <f>IFERROR(F66-F65,"")</f>
        <v/>
      </c>
      <c r="G68" s="189" t="str">
        <f>IFERROR(F68/F66,"")</f>
        <v/>
      </c>
      <c r="H68" s="310"/>
      <c r="I68" t="s">
        <v>478</v>
      </c>
    </row>
    <row r="69" spans="1:9" ht="15.75">
      <c r="A69" s="1" t="s">
        <v>479</v>
      </c>
      <c r="B69" s="1"/>
      <c r="F69" s="308" t="str">
        <f>IFERROR(F67-F65,"")</f>
        <v/>
      </c>
      <c r="G69" s="189" t="str">
        <f>IFERROR(F69/F67,"")</f>
        <v/>
      </c>
      <c r="H69" s="310"/>
      <c r="I69" t="s">
        <v>480</v>
      </c>
    </row>
    <row r="71" spans="1:9" ht="15.75">
      <c r="A71" s="1" t="s">
        <v>481</v>
      </c>
      <c r="B71" s="1"/>
    </row>
    <row r="72" spans="1:9">
      <c r="C72" s="311" t="s">
        <v>147</v>
      </c>
      <c r="D72" s="311" t="s">
        <v>434</v>
      </c>
      <c r="E72" s="312" t="s">
        <v>482</v>
      </c>
    </row>
    <row r="73" spans="1:9" ht="15">
      <c r="A73" s="14" t="s">
        <v>537</v>
      </c>
      <c r="B73" s="14"/>
      <c r="C73" s="14"/>
      <c r="D73" s="172" t="str">
        <f>F65</f>
        <v/>
      </c>
      <c r="E73" s="313"/>
    </row>
    <row r="74" spans="1:9" ht="15">
      <c r="A74" s="14" t="s">
        <v>538</v>
      </c>
      <c r="B74" s="14"/>
      <c r="C74" s="14"/>
      <c r="D74" s="314"/>
      <c r="E74" s="313"/>
    </row>
    <row r="75" spans="1:9" ht="15">
      <c r="A75" s="14" t="s">
        <v>483</v>
      </c>
      <c r="B75" s="14"/>
      <c r="C75" s="14"/>
      <c r="D75" s="172" t="str">
        <f>IFERROR(D73-D74,"")</f>
        <v/>
      </c>
      <c r="E75" s="313"/>
    </row>
    <row r="76" spans="1:9" ht="15.75" thickBot="1">
      <c r="A76" s="315" t="s">
        <v>539</v>
      </c>
      <c r="B76" s="315"/>
      <c r="C76" s="1110">
        <f>D8</f>
        <v>0</v>
      </c>
      <c r="D76" s="317"/>
      <c r="E76" s="313"/>
    </row>
    <row r="77" spans="1:9" ht="19.5" thickTop="1" thickBot="1">
      <c r="A77" s="1" t="s">
        <v>484</v>
      </c>
      <c r="B77" s="86" t="s">
        <v>485</v>
      </c>
      <c r="C77" s="14"/>
      <c r="D77" s="313"/>
      <c r="E77" s="354" t="str">
        <f>IFERROR(D75/C76,"")</f>
        <v/>
      </c>
      <c r="I77" t="s">
        <v>486</v>
      </c>
    </row>
    <row r="78" spans="1:9" ht="15">
      <c r="A78" s="315" t="s">
        <v>487</v>
      </c>
      <c r="B78" s="315" t="s">
        <v>488</v>
      </c>
      <c r="C78" s="315"/>
      <c r="D78" s="319">
        <f>SUM(F10:F16)</f>
        <v>0</v>
      </c>
      <c r="E78" s="320" t="str">
        <f>IFERROR(D78/D7,"")</f>
        <v/>
      </c>
      <c r="G78" s="81"/>
      <c r="H78" s="81"/>
      <c r="I78" t="s">
        <v>489</v>
      </c>
    </row>
    <row r="79" spans="1:9" ht="18">
      <c r="A79" s="1" t="s">
        <v>490</v>
      </c>
      <c r="B79" s="1"/>
      <c r="C79" s="14"/>
      <c r="D79" s="301"/>
      <c r="E79" s="340" t="str">
        <f>IFERROR(E77-E78,"")</f>
        <v/>
      </c>
      <c r="G79" s="81"/>
      <c r="H79" s="81"/>
      <c r="I79" t="s">
        <v>491</v>
      </c>
    </row>
    <row r="80" spans="1:9" ht="15">
      <c r="C80" s="14"/>
      <c r="D80" s="14"/>
      <c r="E80" s="14"/>
    </row>
    <row r="82" spans="1:5">
      <c r="A82" s="3" t="s">
        <v>97</v>
      </c>
    </row>
    <row r="83" spans="1:5" ht="13.5" thickBot="1">
      <c r="A83" t="s">
        <v>492</v>
      </c>
    </row>
    <row r="84" spans="1:5">
      <c r="B84" s="838" t="s">
        <v>493</v>
      </c>
      <c r="C84" s="813"/>
      <c r="D84" s="813"/>
      <c r="E84" s="1117" t="e">
        <f>F40</f>
        <v>#DIV/0!</v>
      </c>
    </row>
    <row r="85" spans="1:5">
      <c r="B85" s="814" t="str">
        <f>A48</f>
        <v>Työkustannus (ihmistyö)</v>
      </c>
      <c r="E85" s="846">
        <f>F48</f>
        <v>0</v>
      </c>
    </row>
    <row r="86" spans="1:5">
      <c r="B86" s="814" t="s">
        <v>470</v>
      </c>
      <c r="E86" s="846" t="str">
        <f>F61</f>
        <v/>
      </c>
    </row>
    <row r="87" spans="1:5">
      <c r="B87" s="842" t="s">
        <v>494</v>
      </c>
      <c r="E87" s="847" t="e">
        <f>SUM(E84:E86)</f>
        <v>#DIV/0!</v>
      </c>
    </row>
    <row r="88" spans="1:5" ht="13.5" thickBot="1">
      <c r="B88" s="814" t="s">
        <v>495</v>
      </c>
      <c r="E88" s="848">
        <f>C76</f>
        <v>0</v>
      </c>
    </row>
    <row r="89" spans="1:5" ht="24" thickBot="1">
      <c r="B89" s="815" t="s">
        <v>496</v>
      </c>
      <c r="C89" s="818" t="s">
        <v>497</v>
      </c>
      <c r="D89" s="818"/>
      <c r="E89" s="1118" t="str">
        <f>IFERROR(E87/E88,"")</f>
        <v/>
      </c>
    </row>
    <row r="90" spans="1:5">
      <c r="A90" s="1116"/>
      <c r="B90" s="1116"/>
      <c r="C90" s="1116"/>
      <c r="D90" s="1116"/>
      <c r="E90" s="1116"/>
    </row>
    <row r="91" spans="1:5">
      <c r="B91" s="3" t="s">
        <v>540</v>
      </c>
      <c r="C91" s="3" t="s">
        <v>541</v>
      </c>
      <c r="D91" t="s">
        <v>542</v>
      </c>
    </row>
    <row r="92" spans="1:5">
      <c r="B92" t="s">
        <v>543</v>
      </c>
      <c r="C92" s="1251">
        <v>800</v>
      </c>
      <c r="D92" t="s">
        <v>137</v>
      </c>
    </row>
    <row r="93" spans="1:5">
      <c r="B93" t="s">
        <v>46</v>
      </c>
      <c r="C93" s="1252">
        <f>B8</f>
        <v>0.27</v>
      </c>
      <c r="D93" t="s">
        <v>544</v>
      </c>
    </row>
    <row r="94" spans="1:5">
      <c r="B94" t="s">
        <v>545</v>
      </c>
      <c r="C94" s="1115" t="str">
        <f>IFERROR(C92*C93*E89,"")</f>
        <v/>
      </c>
    </row>
    <row r="95" spans="1:5">
      <c r="B95" t="s">
        <v>546</v>
      </c>
      <c r="C95" s="1115" t="str">
        <f>IFERROR(C92*C93*E79,"")</f>
        <v/>
      </c>
    </row>
    <row r="97" spans="2:4">
      <c r="C97" s="3" t="s">
        <v>547</v>
      </c>
    </row>
    <row r="98" spans="2:4" ht="14.25">
      <c r="B98" t="s">
        <v>548</v>
      </c>
      <c r="C98" s="1251">
        <v>1</v>
      </c>
      <c r="D98" t="s">
        <v>106</v>
      </c>
    </row>
    <row r="99" spans="2:4" ht="14.25">
      <c r="B99" t="s">
        <v>549</v>
      </c>
      <c r="C99" s="1251">
        <v>700</v>
      </c>
      <c r="D99" t="s">
        <v>137</v>
      </c>
    </row>
    <row r="100" spans="2:4">
      <c r="B100" t="s">
        <v>46</v>
      </c>
      <c r="C100" s="1252">
        <v>0.47</v>
      </c>
      <c r="D100" t="s">
        <v>544</v>
      </c>
    </row>
    <row r="101" spans="2:4" ht="14.25">
      <c r="B101" t="s">
        <v>550</v>
      </c>
      <c r="C101" s="1115" t="str">
        <f>IFERROR(C98*C99*C100*E89,"")</f>
        <v/>
      </c>
    </row>
    <row r="102" spans="2:4" ht="14.25">
      <c r="B102" t="s">
        <v>551</v>
      </c>
      <c r="C102" s="1115" t="str">
        <f>IFERROR(C98*C99*C100*E79,"")</f>
        <v/>
      </c>
    </row>
    <row r="105" spans="2:4">
      <c r="B105" t="s">
        <v>552</v>
      </c>
    </row>
  </sheetData>
  <sheetProtection sheet="1" formatCells="0" formatColumns="0" formatRows="0"/>
  <mergeCells count="1">
    <mergeCell ref="A56:A58"/>
  </mergeCells>
  <hyperlinks>
    <hyperlink ref="B2" location="Lähtötiedot" display="Lähtötiedot" xr:uid="{00000000-0004-0000-0B00-000000000000}"/>
    <hyperlink ref="B37" location="'Traktorin tuntihinta'!A1" display="Katso konelaskurista" xr:uid="{00000000-0004-0000-0B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Lähtötiedot!$A$88:$A$93</xm:f>
          </x14:formula1>
          <xm:sqref>K38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4"/>
  <dimension ref="A1:Q86"/>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8.28515625" customWidth="1"/>
    <col min="6" max="6" width="17.42578125" customWidth="1"/>
    <col min="7" max="7" width="9.7109375" customWidth="1"/>
    <col min="8" max="8" width="18.140625" customWidth="1"/>
    <col min="9" max="9" width="37.42578125" customWidth="1"/>
    <col min="10" max="10" width="15" customWidth="1"/>
    <col min="11" max="11" width="22.85546875" customWidth="1"/>
    <col min="12" max="12" width="16.7109375" customWidth="1"/>
    <col min="13" max="13" width="12.140625" customWidth="1"/>
    <col min="14" max="14" width="11.140625" customWidth="1"/>
    <col min="15" max="15" width="12.42578125" customWidth="1"/>
    <col min="16" max="16" width="9.140625" customWidth="1"/>
  </cols>
  <sheetData>
    <row r="1" spans="1:17" ht="36">
      <c r="A1" s="79" t="s">
        <v>412</v>
      </c>
      <c r="K1" s="2038" t="s">
        <v>1577</v>
      </c>
      <c r="L1" s="2039" t="s">
        <v>1590</v>
      </c>
      <c r="M1" s="2039" t="s">
        <v>1591</v>
      </c>
      <c r="N1" s="2039" t="s">
        <v>1592</v>
      </c>
      <c r="O1" s="2027" t="s">
        <v>1593</v>
      </c>
      <c r="P1" s="2027" t="s">
        <v>1594</v>
      </c>
      <c r="Q1" s="2039" t="s">
        <v>1595</v>
      </c>
    </row>
    <row r="2" spans="1:17" ht="18">
      <c r="A2" s="79" t="s">
        <v>413</v>
      </c>
      <c r="B2" s="1125" t="str">
        <f>Lähtötiedot!A13</f>
        <v>LaskeKasvi 4 - Piilossa, aktivoi (hiiren oikea, näytä)</v>
      </c>
      <c r="C2" s="246"/>
      <c r="D2" s="1992" t="s">
        <v>189</v>
      </c>
      <c r="E2" s="884" t="str">
        <f>Lähtötiedot!E4</f>
        <v>C</v>
      </c>
    </row>
    <row r="3" spans="1:17" ht="18">
      <c r="A3" s="1111" t="str">
        <f>Lähtötiedot!F13</f>
        <v>kasvi</v>
      </c>
      <c r="B3" s="247" t="s">
        <v>188</v>
      </c>
      <c r="C3" s="247"/>
      <c r="D3" s="247"/>
      <c r="E3" s="248">
        <f>Lähtötiedot!C4</f>
        <v>2027</v>
      </c>
      <c r="F3" s="247"/>
      <c r="G3" s="4" t="s">
        <v>414</v>
      </c>
    </row>
    <row r="4" spans="1:17" ht="18.75" thickBot="1">
      <c r="B4" s="249" t="s">
        <v>415</v>
      </c>
      <c r="D4" s="250"/>
      <c r="E4" s="251">
        <f>Lähtötiedot!C13</f>
        <v>0</v>
      </c>
      <c r="F4" s="247" t="str">
        <f>Lähtötiedot!D13</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1823</v>
      </c>
      <c r="C7" s="255" t="s">
        <v>137</v>
      </c>
      <c r="D7" s="256">
        <v>0</v>
      </c>
      <c r="E7" s="257">
        <v>0</v>
      </c>
      <c r="F7" s="258">
        <f t="shared" ref="F7:F17" si="0">D7*E7</f>
        <v>0</v>
      </c>
      <c r="G7" s="189" t="str">
        <f>IFERROR(F7/$F$18,"")</f>
        <v/>
      </c>
      <c r="H7" s="259">
        <f>IF($E$5&lt;&gt;1,F7,F7*$E$4)</f>
        <v>0</v>
      </c>
      <c r="I7" t="s">
        <v>423</v>
      </c>
    </row>
    <row r="8" spans="1:17" ht="15">
      <c r="A8" s="260" t="s">
        <v>1824</v>
      </c>
      <c r="B8" s="261"/>
      <c r="C8" s="262" t="s">
        <v>150</v>
      </c>
      <c r="D8" s="261">
        <v>1</v>
      </c>
      <c r="E8" s="267">
        <v>0</v>
      </c>
      <c r="F8" s="258">
        <f t="shared" si="0"/>
        <v>0</v>
      </c>
      <c r="G8" s="189" t="str">
        <f t="shared" ref="G8:G18" si="1">IFERROR(F8/$F$18,"")</f>
        <v/>
      </c>
      <c r="H8" s="259">
        <f t="shared" ref="H8:H17" si="2">IF($E$5&lt;&gt;1,F8,F8*$E$4)</f>
        <v>0</v>
      </c>
    </row>
    <row r="9" spans="1:17" ht="15">
      <c r="A9" s="264" t="s">
        <v>1825</v>
      </c>
      <c r="B9" s="265"/>
      <c r="C9" s="266" t="s">
        <v>150</v>
      </c>
      <c r="D9" s="265">
        <v>1</v>
      </c>
      <c r="E9" s="267">
        <v>0</v>
      </c>
      <c r="F9" s="258">
        <f t="shared" si="0"/>
        <v>0</v>
      </c>
      <c r="G9" s="189" t="str">
        <f t="shared" si="1"/>
        <v/>
      </c>
      <c r="H9" s="259">
        <f t="shared" si="2"/>
        <v>0</v>
      </c>
    </row>
    <row r="10" spans="1:17" ht="15">
      <c r="A10" s="264" t="s">
        <v>1826</v>
      </c>
      <c r="B10" s="265"/>
      <c r="C10" s="266" t="s">
        <v>150</v>
      </c>
      <c r="D10" s="265">
        <v>1</v>
      </c>
      <c r="E10" s="267">
        <v>0</v>
      </c>
      <c r="F10" s="258">
        <f t="shared" si="0"/>
        <v>0</v>
      </c>
      <c r="G10" s="189" t="str">
        <f t="shared" si="1"/>
        <v/>
      </c>
      <c r="H10" s="259">
        <f t="shared" si="2"/>
        <v>0</v>
      </c>
    </row>
    <row r="11" spans="1:17" ht="15">
      <c r="A11" s="264" t="s">
        <v>1828</v>
      </c>
      <c r="B11" s="265"/>
      <c r="C11" s="266" t="s">
        <v>150</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
      <c r="A14" s="268"/>
      <c r="B14" s="269"/>
      <c r="C14" s="270" t="s">
        <v>235</v>
      </c>
      <c r="D14" s="269">
        <v>1</v>
      </c>
      <c r="E14" s="271">
        <v>0</v>
      </c>
      <c r="F14" s="258">
        <f t="shared" si="0"/>
        <v>0</v>
      </c>
      <c r="G14" s="189" t="str">
        <f t="shared" si="1"/>
        <v/>
      </c>
      <c r="H14" s="259">
        <f t="shared" si="2"/>
        <v>0</v>
      </c>
    </row>
    <row r="15" spans="1:17" ht="15">
      <c r="A15" s="272" t="s">
        <v>425</v>
      </c>
      <c r="B15" s="273"/>
      <c r="C15" s="274" t="s">
        <v>235</v>
      </c>
      <c r="D15" s="273"/>
      <c r="E15" s="275">
        <v>0</v>
      </c>
      <c r="F15" s="172">
        <f t="shared" si="0"/>
        <v>0</v>
      </c>
      <c r="G15" s="189" t="str">
        <f t="shared" si="1"/>
        <v/>
      </c>
      <c r="H15" s="259">
        <f t="shared" si="2"/>
        <v>0</v>
      </c>
    </row>
    <row r="16" spans="1:17" ht="15">
      <c r="A16" s="276"/>
      <c r="B16" s="277"/>
      <c r="C16" s="165" t="s">
        <v>235</v>
      </c>
      <c r="D16" s="277"/>
      <c r="E16" s="278">
        <v>0</v>
      </c>
      <c r="F16" s="172">
        <f t="shared" si="0"/>
        <v>0</v>
      </c>
      <c r="G16" s="189" t="str">
        <f t="shared" si="1"/>
        <v/>
      </c>
      <c r="H16" s="259">
        <f t="shared" si="2"/>
        <v>0</v>
      </c>
    </row>
    <row r="17" spans="1:17" ht="15">
      <c r="A17" s="279"/>
      <c r="B17" s="277"/>
      <c r="C17" s="165" t="s">
        <v>235</v>
      </c>
      <c r="D17" s="279"/>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3" si="4">F22/$F$63</f>
        <v>#DIV/0!</v>
      </c>
      <c r="H22" s="259">
        <f t="shared" ref="H22:H37" si="5">IF($E$5&lt;&gt;1,F22,F22*$E$4)</f>
        <v>0</v>
      </c>
    </row>
    <row r="23" spans="1:17" s="14" customFormat="1" ht="15">
      <c r="A23" s="277"/>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t="s">
        <v>1829</v>
      </c>
      <c r="B26" s="277"/>
      <c r="C26" s="165" t="s">
        <v>433</v>
      </c>
      <c r="D26" s="282">
        <v>0</v>
      </c>
      <c r="E26" s="176">
        <v>0</v>
      </c>
      <c r="F26" s="172">
        <f t="shared" si="3"/>
        <v>0</v>
      </c>
      <c r="G26" s="189" t="e">
        <f t="shared" si="4"/>
        <v>#DIV/0!</v>
      </c>
      <c r="H26" s="259">
        <f t="shared" si="5"/>
        <v>0</v>
      </c>
      <c r="I26"/>
    </row>
    <row r="27" spans="1:17" s="14" customFormat="1" ht="15">
      <c r="A27" s="277" t="s">
        <v>435</v>
      </c>
      <c r="B27" s="277" t="s">
        <v>1831</v>
      </c>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f>D7</f>
        <v>0</v>
      </c>
      <c r="E30" s="176">
        <v>0</v>
      </c>
      <c r="F30" s="172">
        <f t="shared" si="3"/>
        <v>0</v>
      </c>
      <c r="G30" s="189" t="e">
        <f t="shared" si="4"/>
        <v>#DIV/0!</v>
      </c>
      <c r="H30" s="259">
        <f t="shared" si="5"/>
        <v>0</v>
      </c>
      <c r="I30"/>
    </row>
    <row r="31" spans="1:17" ht="15.75" thickBot="1">
      <c r="A31" s="277" t="s">
        <v>441</v>
      </c>
      <c r="B31" s="277"/>
      <c r="C31" s="165" t="s">
        <v>442</v>
      </c>
      <c r="D31" s="282">
        <v>0</v>
      </c>
      <c r="E31" s="176">
        <v>0</v>
      </c>
      <c r="F31" s="172">
        <f t="shared" si="3"/>
        <v>0</v>
      </c>
      <c r="G31" s="189" t="e">
        <f t="shared" si="4"/>
        <v>#DIV/0!</v>
      </c>
      <c r="H31" s="259">
        <f t="shared" si="5"/>
        <v>0</v>
      </c>
      <c r="J31" s="14"/>
      <c r="K31" s="14"/>
    </row>
    <row r="32" spans="1:17" ht="15.75" thickBot="1">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75">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t="e">
        <f>SUMIF('Muut kustannustiedot'!H38:H48,A3,'Muut kustannustiedot'!V38:V48)*G4</f>
        <v>#DIV/0!</v>
      </c>
      <c r="F34" s="172" t="e">
        <f>IF(E5&lt;&gt;2,D34*E34/E4,E34*D34)</f>
        <v>#DIV/0!</v>
      </c>
      <c r="G34" s="189" t="e">
        <f>F34/$F$64</f>
        <v>#DIV/0!</v>
      </c>
      <c r="H34" s="2063" t="e">
        <f t="shared" si="5"/>
        <v>#DIV/0!</v>
      </c>
      <c r="I34" s="2094" t="s">
        <v>1609</v>
      </c>
      <c r="J34" s="1999">
        <f>IF(E5&lt;&gt;1,J32*J33,J32*J33*E4)</f>
        <v>0</v>
      </c>
      <c r="Q34" s="841"/>
    </row>
    <row r="35" spans="1:17" ht="15">
      <c r="A35" s="277" t="s">
        <v>445</v>
      </c>
      <c r="B35" s="808" t="s">
        <v>446</v>
      </c>
      <c r="C35" s="165" t="s">
        <v>15</v>
      </c>
      <c r="D35" s="282">
        <v>15</v>
      </c>
      <c r="E35" s="176">
        <v>18</v>
      </c>
      <c r="F35" s="172">
        <f t="shared" si="3"/>
        <v>270</v>
      </c>
      <c r="G35" s="189" t="e">
        <f>F35/$F$63</f>
        <v>#DIV/0!</v>
      </c>
      <c r="H35" s="2063">
        <f t="shared" si="5"/>
        <v>0</v>
      </c>
      <c r="I35" s="814"/>
      <c r="K35" s="25" t="s">
        <v>1608</v>
      </c>
      <c r="L35" s="1617">
        <f>IF(E5&lt;&gt;1,D35,D35*E4)</f>
        <v>0</v>
      </c>
      <c r="Q35" s="841"/>
    </row>
    <row r="36" spans="1:17" ht="15.75">
      <c r="A36" s="2044" t="s">
        <v>1598</v>
      </c>
      <c r="B36" s="2061" t="s">
        <v>1607</v>
      </c>
      <c r="C36" s="37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80"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81"/>
      <c r="B55" s="878" t="s">
        <v>232</v>
      </c>
      <c r="C55" s="1497">
        <f>IF($E$5=1,SUMIF(Lähtötiedot!$F$10:$F$20,$B$50,Lähtötiedot!$C$10:$C$20),$E$4)</f>
        <v>0</v>
      </c>
      <c r="D55" s="1500">
        <f>SUMIF(Lähtötiedot!$A$60:$A$70,$B$50,Lähtötiedot!$E$60:$E$70)</f>
        <v>0</v>
      </c>
      <c r="E55" s="1227">
        <v>1</v>
      </c>
      <c r="F55" s="1501" t="e">
        <f t="shared" ref="F55:F57" si="6">IF($E$5=1,IF($D$50=$E$4,D55/C55*E55,D55/C55*E55),D55*E55*$G$4)</f>
        <v>#DIV/0!</v>
      </c>
      <c r="G55" s="189" t="e">
        <f>F55/$F$63</f>
        <v>#DIV/0!</v>
      </c>
      <c r="H55" s="259" t="e">
        <f t="shared" ref="H55:H57" si="7">IF($E$5=1,F55*$E$4,F55)</f>
        <v>#DIV/0!</v>
      </c>
    </row>
    <row r="56" spans="1:9" ht="16.5" thickBot="1">
      <c r="A56" s="2681"/>
      <c r="B56" s="874" t="s">
        <v>468</v>
      </c>
      <c r="C56" s="1497">
        <f>IF($E$5=1,SUMIF(Lähtötiedot!$F$10:$F$20,$B$50,Lähtötiedot!$C$10:$C$20),$E$4)</f>
        <v>0</v>
      </c>
      <c r="D56" s="1500">
        <f>SUMIF(Lähtötiedot!$A$60:$A$70,$B$50,Lähtötiedot!$F$60:$F$70)</f>
        <v>0</v>
      </c>
      <c r="E56" s="1227">
        <v>1</v>
      </c>
      <c r="F56" s="1501" t="e">
        <f t="shared" si="6"/>
        <v>#DIV/0!</v>
      </c>
      <c r="G56" s="189" t="e">
        <f>F56/$F$63</f>
        <v>#DIV/0!</v>
      </c>
      <c r="H56" s="259" t="e">
        <f t="shared" si="7"/>
        <v>#DIV/0!</v>
      </c>
    </row>
    <row r="57" spans="1:9" ht="16.5" thickBot="1">
      <c r="A57" s="2682"/>
      <c r="B57" s="874" t="s">
        <v>469</v>
      </c>
      <c r="C57" s="1497">
        <f>IF($E$5=1,SUMIF(Lähtötiedot!$F$10:$F$20,$B$50,Lähtötiedot!$C$10:$C$20),$E$4)</f>
        <v>0</v>
      </c>
      <c r="D57" s="1500">
        <f>SUMIF(Lähtötiedot!$A$60:$A$70,$B$50,Lähtötiedot!$G$60:$G$70)</f>
        <v>0</v>
      </c>
      <c r="E57" s="1227">
        <v>1</v>
      </c>
      <c r="F57" s="1501" t="e">
        <f t="shared" si="6"/>
        <v>#DIV/0!</v>
      </c>
      <c r="G57" s="189" t="e">
        <f>F57/$F$63</f>
        <v>#DIV/0!</v>
      </c>
      <c r="H57" s="259" t="e">
        <f t="shared" si="7"/>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5">
      <c r="A81" s="814"/>
      <c r="B81" t="s">
        <v>493</v>
      </c>
      <c r="E81" s="846" t="e">
        <f>F38</f>
        <v>#DIV/0!</v>
      </c>
    </row>
    <row r="82" spans="1:5">
      <c r="A82" s="814"/>
      <c r="B82" t="str">
        <f>A46</f>
        <v>Työkustannus (ihmistyö)</v>
      </c>
      <c r="E82" s="846">
        <f>F46</f>
        <v>0</v>
      </c>
    </row>
    <row r="83" spans="1:5">
      <c r="A83" s="814"/>
      <c r="B83" t="s">
        <v>470</v>
      </c>
      <c r="E83" s="846" t="e">
        <f>F59</f>
        <v>#DIV/0!</v>
      </c>
    </row>
    <row r="84" spans="1:5">
      <c r="A84" s="814"/>
      <c r="B84" s="3" t="s">
        <v>494</v>
      </c>
      <c r="E84" s="847" t="e">
        <f>SUM(E81:E83)</f>
        <v>#DIV/0!</v>
      </c>
    </row>
    <row r="85" spans="1:5">
      <c r="A85" s="814"/>
      <c r="B85" t="s">
        <v>495</v>
      </c>
      <c r="E85" s="848">
        <f>C74</f>
        <v>0</v>
      </c>
    </row>
    <row r="86" spans="1:5" ht="13.5" thickBot="1">
      <c r="A86" s="815"/>
      <c r="B86" s="818" t="s">
        <v>496</v>
      </c>
      <c r="C86" s="818" t="s">
        <v>497</v>
      </c>
      <c r="D86" s="818"/>
      <c r="E86" s="849" t="e">
        <f>E84/E85</f>
        <v>#DIV/0!</v>
      </c>
    </row>
  </sheetData>
  <sheetProtection sheet="1" formatCells="0" formatColumns="0" formatRows="0"/>
  <mergeCells count="1">
    <mergeCell ref="A54:A57"/>
  </mergeCells>
  <hyperlinks>
    <hyperlink ref="B35" location="Koneurakointi!A1" display="Katso konelaskurista" xr:uid="{00000000-0004-0000-0C00-000000000000}"/>
    <hyperlink ref="B2" location="Lähtötiedot" display="Lähtötiedot" xr:uid="{00000000-0004-0000-0C00-000001000000}"/>
    <hyperlink ref="B30" location="'Viljan kuivauksen hintalaskuri'!A1" display="Avaa viljankuivurilaskuri" xr:uid="{00000000-0004-0000-0C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Lähtötiedot!$A$88:$A$93</xm:f>
          </x14:formula1>
          <xm:sqref>K36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5"/>
  <dimension ref="A1:Q107"/>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4.7109375" customWidth="1"/>
    <col min="6" max="6" width="17.42578125" customWidth="1"/>
    <col min="7" max="7" width="9.7109375" customWidth="1"/>
    <col min="8" max="8" width="18.140625" customWidth="1"/>
    <col min="9" max="9" width="38.140625" customWidth="1"/>
    <col min="10" max="10" width="14" customWidth="1"/>
    <col min="11" max="11" width="19.28515625" customWidth="1"/>
    <col min="12" max="12" width="13.5703125" customWidth="1"/>
    <col min="13" max="13" width="18.140625" customWidth="1"/>
    <col min="14" max="14" width="14" customWidth="1"/>
    <col min="15" max="15" width="14.42578125" customWidth="1"/>
    <col min="16" max="16" width="9.1406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245" t="str">
        <f>Lähtötiedot!A14</f>
        <v>LaskeKasvi 5 - Piilossa, aktivoi (hiiren oikea, näytä)</v>
      </c>
      <c r="C2" s="246"/>
      <c r="D2" s="1992" t="s">
        <v>189</v>
      </c>
      <c r="E2" s="884" t="str">
        <f>Lähtötiedot!E4</f>
        <v>C</v>
      </c>
    </row>
    <row r="3" spans="1:17" ht="18">
      <c r="A3" s="1111" t="str">
        <f>Lähtötiedot!F14</f>
        <v>kasvi</v>
      </c>
      <c r="B3" s="247" t="s">
        <v>188</v>
      </c>
      <c r="C3" s="247"/>
      <c r="D3" s="247"/>
      <c r="E3" s="248">
        <f>Lähtötiedot!C4</f>
        <v>2027</v>
      </c>
      <c r="F3" s="247"/>
      <c r="G3" s="4" t="s">
        <v>414</v>
      </c>
    </row>
    <row r="4" spans="1:17" ht="18.75" thickBot="1">
      <c r="B4" s="249" t="s">
        <v>415</v>
      </c>
      <c r="D4" s="250"/>
      <c r="E4" s="251">
        <f>Lähtötiedot!C14</f>
        <v>0</v>
      </c>
      <c r="F4" s="247" t="str">
        <f>Lähtötiedot!D14</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
      <c r="A7" s="253" t="s">
        <v>421</v>
      </c>
      <c r="B7" s="355" t="s">
        <v>568</v>
      </c>
      <c r="C7" s="255" t="s">
        <v>137</v>
      </c>
      <c r="D7" s="256">
        <v>0</v>
      </c>
      <c r="E7" s="257">
        <v>0</v>
      </c>
      <c r="F7" s="258">
        <f t="shared" ref="F7:F17" si="0">D7*E7</f>
        <v>0</v>
      </c>
      <c r="G7" s="189" t="e">
        <f t="shared" ref="G7:G17" si="1">F7/$F$18</f>
        <v>#DIV/0!</v>
      </c>
      <c r="H7" s="259">
        <f>IF($E$5&lt;&gt;1,F7,F7*$E$4)</f>
        <v>0</v>
      </c>
      <c r="I7" t="s">
        <v>423</v>
      </c>
    </row>
    <row r="8" spans="1:17" ht="15">
      <c r="A8" s="260" t="s">
        <v>424</v>
      </c>
      <c r="B8" s="261"/>
      <c r="C8" s="262" t="s">
        <v>235</v>
      </c>
      <c r="D8" s="261">
        <v>1</v>
      </c>
      <c r="E8" s="263">
        <v>0</v>
      </c>
      <c r="F8" s="258">
        <f t="shared" si="0"/>
        <v>0</v>
      </c>
      <c r="G8" s="189" t="e">
        <f t="shared" si="1"/>
        <v>#DIV/0!</v>
      </c>
      <c r="H8" s="259">
        <f t="shared" ref="H8:H17" si="2">IF($E$5&lt;&gt;1,F8,F8*$E$4)</f>
        <v>0</v>
      </c>
    </row>
    <row r="9" spans="1:17" ht="15">
      <c r="A9" s="264"/>
      <c r="B9" s="265"/>
      <c r="C9" s="266" t="s">
        <v>235</v>
      </c>
      <c r="D9" s="265">
        <v>1</v>
      </c>
      <c r="E9" s="267"/>
      <c r="F9" s="258">
        <f t="shared" si="0"/>
        <v>0</v>
      </c>
      <c r="G9" s="189" t="e">
        <f t="shared" si="1"/>
        <v>#DIV/0!</v>
      </c>
      <c r="H9" s="259">
        <f t="shared" si="2"/>
        <v>0</v>
      </c>
    </row>
    <row r="10" spans="1:17" ht="15">
      <c r="A10" s="264"/>
      <c r="B10" s="265"/>
      <c r="C10" s="266" t="s">
        <v>235</v>
      </c>
      <c r="D10" s="265">
        <v>1</v>
      </c>
      <c r="E10" s="267"/>
      <c r="F10" s="258">
        <f t="shared" si="0"/>
        <v>0</v>
      </c>
      <c r="G10" s="189" t="e">
        <f t="shared" si="1"/>
        <v>#DIV/0!</v>
      </c>
      <c r="H10" s="259">
        <f t="shared" si="2"/>
        <v>0</v>
      </c>
    </row>
    <row r="11" spans="1:17" ht="15">
      <c r="A11" s="264"/>
      <c r="B11" s="265"/>
      <c r="C11" s="266" t="s">
        <v>235</v>
      </c>
      <c r="D11" s="265">
        <v>1</v>
      </c>
      <c r="E11" s="267"/>
      <c r="F11" s="258">
        <f t="shared" si="0"/>
        <v>0</v>
      </c>
      <c r="G11" s="189" t="e">
        <f t="shared" si="1"/>
        <v>#DIV/0!</v>
      </c>
      <c r="H11" s="259">
        <f t="shared" si="2"/>
        <v>0</v>
      </c>
    </row>
    <row r="12" spans="1:17" ht="15">
      <c r="A12" s="264"/>
      <c r="B12" s="265"/>
      <c r="C12" s="266" t="s">
        <v>235</v>
      </c>
      <c r="D12" s="265">
        <v>1</v>
      </c>
      <c r="E12" s="267"/>
      <c r="F12" s="258">
        <f t="shared" si="0"/>
        <v>0</v>
      </c>
      <c r="G12" s="189" t="e">
        <f t="shared" si="1"/>
        <v>#DIV/0!</v>
      </c>
      <c r="H12" s="259">
        <f t="shared" si="2"/>
        <v>0</v>
      </c>
    </row>
    <row r="13" spans="1:17" ht="15">
      <c r="A13" s="264"/>
      <c r="B13" s="265"/>
      <c r="C13" s="266" t="s">
        <v>235</v>
      </c>
      <c r="D13" s="265">
        <v>1</v>
      </c>
      <c r="E13" s="267"/>
      <c r="F13" s="258">
        <f t="shared" si="0"/>
        <v>0</v>
      </c>
      <c r="G13" s="189" t="e">
        <f t="shared" si="1"/>
        <v>#DIV/0!</v>
      </c>
      <c r="H13" s="259">
        <f t="shared" si="2"/>
        <v>0</v>
      </c>
    </row>
    <row r="14" spans="1:17" ht="15">
      <c r="A14" s="268"/>
      <c r="B14" s="269"/>
      <c r="C14" s="270" t="s">
        <v>235</v>
      </c>
      <c r="D14" s="269">
        <v>1</v>
      </c>
      <c r="E14" s="271"/>
      <c r="F14" s="258">
        <f t="shared" si="0"/>
        <v>0</v>
      </c>
      <c r="G14" s="189" t="e">
        <f t="shared" si="1"/>
        <v>#DIV/0!</v>
      </c>
      <c r="H14" s="259">
        <f t="shared" si="2"/>
        <v>0</v>
      </c>
    </row>
    <row r="15" spans="1:17" ht="15">
      <c r="A15" s="272" t="s">
        <v>425</v>
      </c>
      <c r="B15" s="273"/>
      <c r="C15" s="274" t="s">
        <v>235</v>
      </c>
      <c r="D15" s="273"/>
      <c r="E15" s="275">
        <v>0</v>
      </c>
      <c r="F15" s="172">
        <f t="shared" si="0"/>
        <v>0</v>
      </c>
      <c r="G15" s="189" t="e">
        <f t="shared" si="1"/>
        <v>#DIV/0!</v>
      </c>
      <c r="H15" s="259">
        <f t="shared" si="2"/>
        <v>0</v>
      </c>
    </row>
    <row r="16" spans="1:17" ht="15">
      <c r="A16" s="276"/>
      <c r="B16" s="277"/>
      <c r="C16" s="165" t="s">
        <v>235</v>
      </c>
      <c r="D16" s="277"/>
      <c r="E16" s="278">
        <v>0</v>
      </c>
      <c r="F16" s="172">
        <f t="shared" si="0"/>
        <v>0</v>
      </c>
      <c r="G16" s="189" t="e">
        <f t="shared" si="1"/>
        <v>#DIV/0!</v>
      </c>
      <c r="H16" s="259">
        <f t="shared" si="2"/>
        <v>0</v>
      </c>
    </row>
    <row r="17" spans="1:17" ht="15">
      <c r="A17" s="279"/>
      <c r="B17" s="277"/>
      <c r="C17" s="165" t="s">
        <v>235</v>
      </c>
      <c r="D17" s="279"/>
      <c r="E17" s="278">
        <v>0</v>
      </c>
      <c r="F17" s="172">
        <f t="shared" si="0"/>
        <v>0</v>
      </c>
      <c r="G17" s="189" t="e">
        <f t="shared" si="1"/>
        <v>#DIV/0!</v>
      </c>
      <c r="H17" s="259">
        <f t="shared" si="2"/>
        <v>0</v>
      </c>
    </row>
    <row r="18" spans="1:17" ht="15.75">
      <c r="A18" s="1" t="s">
        <v>426</v>
      </c>
      <c r="B18" s="1"/>
      <c r="C18" s="14"/>
      <c r="D18" s="14"/>
      <c r="E18" s="14"/>
      <c r="F18" s="178">
        <f>SUM(F7:F17)</f>
        <v>0</v>
      </c>
      <c r="G18" s="280" t="e">
        <f>SUM(G7:G17)</f>
        <v>#DIV/0!</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5" si="4">F22/$F$63</f>
        <v>#DIV/0!</v>
      </c>
      <c r="H22" s="259">
        <f t="shared" ref="H22:H37" si="5">IF($E$5&lt;&gt;1,F22,F22*$E$4)</f>
        <v>0</v>
      </c>
    </row>
    <row r="23" spans="1:17" s="14" customFormat="1" ht="15">
      <c r="A23" s="277" t="s">
        <v>432</v>
      </c>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137</v>
      </c>
      <c r="D25" s="282">
        <v>0</v>
      </c>
      <c r="E25" s="176">
        <v>0</v>
      </c>
      <c r="F25" s="172">
        <f t="shared" si="3"/>
        <v>0</v>
      </c>
      <c r="G25" s="189" t="e">
        <f t="shared" si="4"/>
        <v>#DIV/0!</v>
      </c>
      <c r="H25" s="259">
        <f t="shared" si="5"/>
        <v>0</v>
      </c>
      <c r="I25"/>
    </row>
    <row r="26" spans="1:17" s="14" customFormat="1" ht="15">
      <c r="A26" s="277"/>
      <c r="B26" s="277"/>
      <c r="C26" s="165" t="s">
        <v>15</v>
      </c>
      <c r="D26" s="282">
        <v>0</v>
      </c>
      <c r="E26" s="176">
        <v>0</v>
      </c>
      <c r="F26" s="172">
        <f t="shared" si="3"/>
        <v>0</v>
      </c>
      <c r="G26" s="189" t="e">
        <f t="shared" si="4"/>
        <v>#DIV/0!</v>
      </c>
      <c r="H26" s="259">
        <f t="shared" si="5"/>
        <v>0</v>
      </c>
      <c r="I26"/>
    </row>
    <row r="27" spans="1:17" s="14" customFormat="1" ht="15">
      <c r="A27" s="277" t="s">
        <v>435</v>
      </c>
      <c r="B27" s="277"/>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v>1</v>
      </c>
      <c r="E30" s="176">
        <v>0</v>
      </c>
      <c r="F30" s="172">
        <f t="shared" si="3"/>
        <v>0</v>
      </c>
      <c r="G30" s="189" t="e">
        <f t="shared" si="4"/>
        <v>#DIV/0!</v>
      </c>
      <c r="H30" s="259">
        <f t="shared" si="5"/>
        <v>0</v>
      </c>
      <c r="I30"/>
    </row>
    <row r="31" spans="1:17" ht="15.75" thickBot="1">
      <c r="A31" s="276" t="s">
        <v>441</v>
      </c>
      <c r="B31" s="276"/>
      <c r="C31" s="370" t="s">
        <v>442</v>
      </c>
      <c r="D31" s="2040">
        <v>0</v>
      </c>
      <c r="E31" s="2065">
        <v>0</v>
      </c>
      <c r="F31" s="2066">
        <f t="shared" si="3"/>
        <v>0</v>
      </c>
      <c r="G31" s="189" t="e">
        <f t="shared" si="4"/>
        <v>#DIV/0!</v>
      </c>
      <c r="H31" s="1035">
        <f t="shared" si="5"/>
        <v>0</v>
      </c>
      <c r="J31" s="14"/>
      <c r="K31" s="14"/>
    </row>
    <row r="32" spans="1:17" ht="15">
      <c r="A32" s="2072" t="s">
        <v>1612</v>
      </c>
      <c r="B32" s="2073"/>
      <c r="C32" s="2074" t="s">
        <v>167</v>
      </c>
      <c r="D32" s="2075">
        <v>2</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2</v>
      </c>
      <c r="E33" s="2084">
        <v>0</v>
      </c>
      <c r="F33" s="2085">
        <f t="shared" si="3"/>
        <v>0</v>
      </c>
      <c r="G33" s="2086" t="e">
        <f t="shared" si="4"/>
        <v>#DIV/0!</v>
      </c>
      <c r="H33" s="2089">
        <f t="shared" si="5"/>
        <v>0</v>
      </c>
      <c r="I33" s="2093" t="s">
        <v>1606</v>
      </c>
      <c r="J33" s="2087">
        <v>20</v>
      </c>
      <c r="K33" s="843"/>
      <c r="Q33" s="841"/>
    </row>
    <row r="34" spans="1:17" ht="15">
      <c r="A34" s="2067" t="s">
        <v>444</v>
      </c>
      <c r="B34" s="273"/>
      <c r="C34" s="2068" t="s">
        <v>235</v>
      </c>
      <c r="D34" s="2069">
        <v>1</v>
      </c>
      <c r="E34" s="2070" t="e">
        <f>SUMIF('Muut kustannustiedot'!H38:H48,A3,'Muut kustannustiedot'!V38:V48)*G4</f>
        <v>#DIV/0!</v>
      </c>
      <c r="F34" s="2071" t="e">
        <f>IF(E5&lt;&gt;2,D34*E34/E4,E34*D34)</f>
        <v>#DIV/0!</v>
      </c>
      <c r="G34" s="189" t="e">
        <f t="shared" si="4"/>
        <v>#DIV/0!</v>
      </c>
      <c r="H34" s="2090" t="e">
        <f t="shared" si="5"/>
        <v>#DIV/0!</v>
      </c>
      <c r="I34" s="2094" t="s">
        <v>1609</v>
      </c>
      <c r="J34" s="1999">
        <f>IF(E5&lt;&gt;1,K32*J33,K32*J33*E4)</f>
        <v>0</v>
      </c>
      <c r="Q34" s="841"/>
    </row>
    <row r="35" spans="1:17" ht="15">
      <c r="A35" s="277" t="s">
        <v>445</v>
      </c>
      <c r="B35" s="808" t="s">
        <v>446</v>
      </c>
      <c r="C35" s="165" t="s">
        <v>15</v>
      </c>
      <c r="D35" s="282">
        <v>0</v>
      </c>
      <c r="E35" s="176">
        <v>15</v>
      </c>
      <c r="F35" s="172">
        <f t="shared" si="3"/>
        <v>0</v>
      </c>
      <c r="G35" s="189" t="e">
        <f t="shared" si="4"/>
        <v>#DIV/0!</v>
      </c>
      <c r="H35" s="2063">
        <f t="shared" si="5"/>
        <v>0</v>
      </c>
      <c r="I35" s="814"/>
      <c r="K35" s="25" t="s">
        <v>1608</v>
      </c>
      <c r="L35" s="1617">
        <f>IF(E5&lt;&gt;1,D35,D35*E4)</f>
        <v>0</v>
      </c>
      <c r="Q35" s="841"/>
    </row>
    <row r="36" spans="1:17" ht="15.75">
      <c r="A36" s="2044" t="s">
        <v>1598</v>
      </c>
      <c r="B36" s="2061" t="s">
        <v>1607</v>
      </c>
      <c r="C36" s="370" t="s">
        <v>1597</v>
      </c>
      <c r="D36" s="2040">
        <v>10</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IF($E$4&gt;0,$O$36/(L35+K32),0)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77" t="s">
        <v>467</v>
      </c>
      <c r="B54" s="878" t="s">
        <v>231</v>
      </c>
      <c r="C54" s="1497">
        <f>SUMIF(Lähtötiedot!$F$10:$F$20,$B$50,Lähtötiedot!$C$10:$C$20)</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8"/>
      <c r="B55" s="878" t="s">
        <v>232</v>
      </c>
      <c r="C55" s="1497">
        <f>SUMIF(Lähtötiedot!$F$10:$F$20,$B$50,Lähtötiedot!$C$10:$C$20)</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9"/>
      <c r="B56" s="874" t="s">
        <v>468</v>
      </c>
      <c r="C56" s="1497">
        <f>SUMIF(Lähtötiedot!$F$10:$F$20,$B$50,Lähtötiedot!$C$10:$C$20)</f>
        <v>0</v>
      </c>
      <c r="D56" s="1500">
        <f>SUMIF(Lähtötiedot!$A$60:$A$70,$B$50,Lähtötiedot!$F$60:$F$70)</f>
        <v>0</v>
      </c>
      <c r="E56" s="1227">
        <v>1</v>
      </c>
      <c r="F56" s="1501" t="e">
        <f>IF($E$5=1,IF($D$50=$E$4,D56/C56*E56,D56/C56*E56),D56*E56*$G$4)</f>
        <v>#DIV/0!</v>
      </c>
      <c r="G56" s="189" t="e">
        <f>F56/$F$63</f>
        <v>#DIV/0!</v>
      </c>
      <c r="H56" s="259" t="e">
        <f t="shared" si="6"/>
        <v>#DIV/0!</v>
      </c>
    </row>
    <row r="57" spans="1:9" ht="16.5" thickBot="1">
      <c r="A57" s="1547"/>
      <c r="B57" s="874" t="s">
        <v>469</v>
      </c>
      <c r="C57" s="1497">
        <f>SUMIF(Lähtötiedot!$F$10:$F$20,$B$50,Lähtötiedot!$C$10:$C$20)</f>
        <v>0</v>
      </c>
      <c r="D57" s="1500">
        <f>SUMIF(Lähtötiedot!$A$60:$A$70,$B$50,Lähtötiedot!$G$60:$G$70)</f>
        <v>0</v>
      </c>
      <c r="E57" s="1227">
        <v>1</v>
      </c>
      <c r="F57" s="1501" t="e">
        <f t="shared" ref="F57" si="7">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75" thickBot="1">
      <c r="A74" s="315" t="str">
        <f>"Sato, kg/"&amp;F4</f>
        <v>Sato, kg/ha</v>
      </c>
      <c r="B74" s="315"/>
      <c r="C74" s="1112">
        <f>D7</f>
        <v>0</v>
      </c>
      <c r="D74" s="317"/>
      <c r="E74" s="313"/>
    </row>
    <row r="75" spans="1:9" ht="17.25" thickTop="1" thickBot="1">
      <c r="A75" s="1" t="s">
        <v>484</v>
      </c>
      <c r="B75" s="86" t="s">
        <v>485</v>
      </c>
      <c r="C75" s="14"/>
      <c r="D75" s="313"/>
      <c r="E75" s="883" t="e">
        <f>D73/C74</f>
        <v>#DIV/0!</v>
      </c>
      <c r="I75" t="s">
        <v>486</v>
      </c>
    </row>
    <row r="76" spans="1:9" ht="15">
      <c r="A76" s="315" t="s">
        <v>487</v>
      </c>
      <c r="B76" s="315" t="s">
        <v>488</v>
      </c>
      <c r="C76" s="315"/>
      <c r="D76" s="319">
        <f>SUM(F8:F14)</f>
        <v>0</v>
      </c>
      <c r="E76" s="320" t="e">
        <f>D76/D7</f>
        <v>#DIV/0!</v>
      </c>
      <c r="G76" s="81"/>
      <c r="H76" s="81"/>
      <c r="I76" t="s">
        <v>489</v>
      </c>
    </row>
    <row r="77" spans="1:9" ht="15.75">
      <c r="A77" s="1" t="s">
        <v>490</v>
      </c>
      <c r="B77" s="1"/>
      <c r="C77" s="14"/>
      <c r="D77" s="301"/>
      <c r="E77" s="883"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13">
      <c r="A81" s="814"/>
      <c r="B81" t="s">
        <v>493</v>
      </c>
      <c r="E81" s="846" t="e">
        <f>F38</f>
        <v>#DIV/0!</v>
      </c>
    </row>
    <row r="82" spans="1:13">
      <c r="A82" s="814"/>
      <c r="B82" t="str">
        <f>A46</f>
        <v>Työkustannus (ihmistyö)</v>
      </c>
      <c r="E82" s="846">
        <f>F46</f>
        <v>0</v>
      </c>
    </row>
    <row r="83" spans="1:13">
      <c r="A83" s="814"/>
      <c r="B83" t="s">
        <v>470</v>
      </c>
      <c r="E83" s="846" t="e">
        <f>F59</f>
        <v>#DIV/0!</v>
      </c>
    </row>
    <row r="84" spans="1:13">
      <c r="A84" s="814"/>
      <c r="B84" s="3" t="s">
        <v>494</v>
      </c>
      <c r="E84" s="847" t="e">
        <f>SUM(E81:E83)</f>
        <v>#DIV/0!</v>
      </c>
    </row>
    <row r="85" spans="1:13">
      <c r="A85" s="814"/>
      <c r="B85" t="s">
        <v>495</v>
      </c>
      <c r="E85" s="848">
        <f>C74</f>
        <v>0</v>
      </c>
    </row>
    <row r="86" spans="1:13" ht="13.5" thickBot="1">
      <c r="A86" s="815"/>
      <c r="B86" s="818" t="s">
        <v>496</v>
      </c>
      <c r="C86" s="818" t="s">
        <v>497</v>
      </c>
      <c r="D86" s="818"/>
      <c r="E86" s="849" t="e">
        <f>E84/E85</f>
        <v>#DIV/0!</v>
      </c>
    </row>
    <row r="88" spans="1:13" hidden="1">
      <c r="A88" s="3" t="s">
        <v>569</v>
      </c>
    </row>
    <row r="89" spans="1:13" hidden="1">
      <c r="A89" t="s">
        <v>499</v>
      </c>
      <c r="B89" s="8">
        <v>500</v>
      </c>
    </row>
    <row r="90" spans="1:13" hidden="1">
      <c r="A90" t="s">
        <v>500</v>
      </c>
      <c r="B90" s="37">
        <v>0.05</v>
      </c>
    </row>
    <row r="91" spans="1:13" hidden="1"/>
    <row r="92" spans="1:13" hidden="1">
      <c r="A92" t="s">
        <v>501</v>
      </c>
      <c r="B92" t="s">
        <v>502</v>
      </c>
    </row>
    <row r="93" spans="1:13" hidden="1">
      <c r="A93" t="s">
        <v>503</v>
      </c>
      <c r="B93" t="s">
        <v>434</v>
      </c>
      <c r="C93" t="s">
        <v>504</v>
      </c>
      <c r="D93" s="52" t="s">
        <v>505</v>
      </c>
      <c r="E93" t="s">
        <v>506</v>
      </c>
      <c r="F93" s="52" t="s">
        <v>507</v>
      </c>
      <c r="G93" s="52" t="s">
        <v>508</v>
      </c>
      <c r="H93" s="52" t="s">
        <v>509</v>
      </c>
      <c r="I93" t="s">
        <v>510</v>
      </c>
      <c r="J93" t="s">
        <v>511</v>
      </c>
      <c r="K93" t="s">
        <v>570</v>
      </c>
      <c r="L93" s="52" t="s">
        <v>513</v>
      </c>
      <c r="M93" s="52" t="s">
        <v>514</v>
      </c>
    </row>
    <row r="94" spans="1:13" hidden="1">
      <c r="A94" s="15">
        <f>A95-$B$89</f>
        <v>-1500</v>
      </c>
      <c r="B94" s="15">
        <f>(A94*$E$7)+SUM($F$8:$F$17)</f>
        <v>0</v>
      </c>
      <c r="C94" s="11"/>
      <c r="D94" s="328" t="e">
        <f>$E$81</f>
        <v>#DIV/0!</v>
      </c>
      <c r="E94" s="329">
        <f t="shared" ref="E94:E106" si="8">$E$82</f>
        <v>0</v>
      </c>
      <c r="F94" s="330" t="e">
        <f t="shared" ref="F94:F106" si="9">$E$83</f>
        <v>#DIV/0!</v>
      </c>
      <c r="G94" s="805" t="e">
        <f t="shared" ref="G94:G106" si="10">SUM(D94:F94)</f>
        <v>#DIV/0!</v>
      </c>
      <c r="H94" s="331" t="e">
        <f t="shared" ref="H94:H106" si="11">G94/A94</f>
        <v>#DIV/0!</v>
      </c>
      <c r="I94" s="844" t="e">
        <f t="shared" ref="I94:I106" si="12">B94-G94</f>
        <v>#DIV/0!</v>
      </c>
      <c r="J94" s="333" t="e">
        <f t="shared" ref="J94:J106" si="13">I94/A94</f>
        <v>#DIV/0!</v>
      </c>
      <c r="K94" s="334"/>
      <c r="L94" s="11"/>
      <c r="M94" s="11"/>
    </row>
    <row r="95" spans="1:13" hidden="1">
      <c r="A95" s="15">
        <f>A96-$B$89</f>
        <v>-1000</v>
      </c>
      <c r="B95" s="15">
        <f t="shared" ref="B95:B106" si="14">(A95*$E$7)+SUM($F$8:$F$17)</f>
        <v>0</v>
      </c>
      <c r="C95" s="328">
        <f>(B95-B94)/(A95-A94)</f>
        <v>0</v>
      </c>
      <c r="D95" s="328" t="e">
        <f>$E$81</f>
        <v>#DIV/0!</v>
      </c>
      <c r="E95" s="329">
        <f t="shared" si="8"/>
        <v>0</v>
      </c>
      <c r="F95" s="330" t="e">
        <f t="shared" si="9"/>
        <v>#DIV/0!</v>
      </c>
      <c r="G95" s="805" t="e">
        <f t="shared" si="10"/>
        <v>#DIV/0!</v>
      </c>
      <c r="H95" s="331" t="e">
        <f t="shared" si="11"/>
        <v>#DIV/0!</v>
      </c>
      <c r="I95" s="844" t="e">
        <f t="shared" si="12"/>
        <v>#DIV/0!</v>
      </c>
      <c r="J95" s="333" t="e">
        <f t="shared" si="13"/>
        <v>#DIV/0!</v>
      </c>
      <c r="K95" s="334" t="e">
        <f t="shared" ref="K95:K106" si="15">(G95-G94)/(A95-A94)</f>
        <v>#DIV/0!</v>
      </c>
      <c r="L95" s="335" t="e">
        <f>(B95-B96)/B96</f>
        <v>#DIV/0!</v>
      </c>
      <c r="M95" s="335">
        <v>0</v>
      </c>
    </row>
    <row r="96" spans="1:13" hidden="1">
      <c r="A96" s="15">
        <f>A97-$B$89</f>
        <v>-500</v>
      </c>
      <c r="B96" s="15">
        <f t="shared" si="14"/>
        <v>0</v>
      </c>
      <c r="C96" s="328">
        <f>(B96-B95)/(A96-A95)</f>
        <v>0</v>
      </c>
      <c r="D96" s="328" t="e">
        <f>$E$81</f>
        <v>#DIV/0!</v>
      </c>
      <c r="E96" s="329">
        <f t="shared" si="8"/>
        <v>0</v>
      </c>
      <c r="F96" s="330" t="e">
        <f t="shared" si="9"/>
        <v>#DIV/0!</v>
      </c>
      <c r="G96" s="805" t="e">
        <f t="shared" si="10"/>
        <v>#DIV/0!</v>
      </c>
      <c r="H96" s="331" t="e">
        <f t="shared" si="11"/>
        <v>#DIV/0!</v>
      </c>
      <c r="I96" s="844" t="e">
        <f t="shared" si="12"/>
        <v>#DIV/0!</v>
      </c>
      <c r="J96" s="333" t="e">
        <f t="shared" si="13"/>
        <v>#DIV/0!</v>
      </c>
      <c r="K96" s="334" t="e">
        <f t="shared" si="15"/>
        <v>#DIV/0!</v>
      </c>
      <c r="L96" s="335" t="e">
        <f>(B96-B97)/B97</f>
        <v>#DIV/0!</v>
      </c>
      <c r="M96" s="335">
        <v>0</v>
      </c>
    </row>
    <row r="97" spans="1:13" hidden="1">
      <c r="A97" s="336">
        <f>D7</f>
        <v>0</v>
      </c>
      <c r="B97" s="337">
        <f t="shared" si="14"/>
        <v>0</v>
      </c>
      <c r="C97" s="338">
        <f>(B97-B96)/(A97-A96)</f>
        <v>0</v>
      </c>
      <c r="D97" s="328" t="e">
        <f>$E$81</f>
        <v>#DIV/0!</v>
      </c>
      <c r="E97" s="329">
        <f t="shared" si="8"/>
        <v>0</v>
      </c>
      <c r="F97" s="330" t="e">
        <f t="shared" si="9"/>
        <v>#DIV/0!</v>
      </c>
      <c r="G97" s="805" t="e">
        <f t="shared" si="10"/>
        <v>#DIV/0!</v>
      </c>
      <c r="H97" s="331" t="e">
        <f t="shared" si="11"/>
        <v>#DIV/0!</v>
      </c>
      <c r="I97" s="844" t="e">
        <f t="shared" si="12"/>
        <v>#DIV/0!</v>
      </c>
      <c r="J97" s="333" t="e">
        <f t="shared" si="13"/>
        <v>#DIV/0!</v>
      </c>
      <c r="K97" s="334" t="e">
        <f t="shared" si="15"/>
        <v>#DIV/0!</v>
      </c>
      <c r="L97" s="335">
        <v>0</v>
      </c>
      <c r="M97" s="335" t="e">
        <f t="shared" ref="M97:M106" si="16">(G97-G96)/G96</f>
        <v>#DIV/0!</v>
      </c>
    </row>
    <row r="98" spans="1:13" hidden="1">
      <c r="A98" s="15">
        <f t="shared" ref="A98:A106" si="17">A97+$B$89</f>
        <v>500</v>
      </c>
      <c r="B98" s="15">
        <f t="shared" si="14"/>
        <v>0</v>
      </c>
      <c r="C98" s="328">
        <f t="shared" ref="C98:C106" si="18">(B98-B97)/(A98-A97)</f>
        <v>0</v>
      </c>
      <c r="D98" s="328" t="e">
        <f>($B$90*D97)+D97</f>
        <v>#DIV/0!</v>
      </c>
      <c r="E98" s="329">
        <f t="shared" si="8"/>
        <v>0</v>
      </c>
      <c r="F98" s="330" t="e">
        <f t="shared" si="9"/>
        <v>#DIV/0!</v>
      </c>
      <c r="G98" s="805" t="e">
        <f t="shared" si="10"/>
        <v>#DIV/0!</v>
      </c>
      <c r="H98" s="331" t="e">
        <f t="shared" si="11"/>
        <v>#DIV/0!</v>
      </c>
      <c r="I98" s="844" t="e">
        <f t="shared" si="12"/>
        <v>#DIV/0!</v>
      </c>
      <c r="J98" s="333" t="e">
        <f t="shared" si="13"/>
        <v>#DIV/0!</v>
      </c>
      <c r="K98" s="334" t="e">
        <f t="shared" si="15"/>
        <v>#DIV/0!</v>
      </c>
      <c r="L98" s="335" t="e">
        <f t="shared" ref="L98:L106" si="19">(B98-B97)/B97</f>
        <v>#DIV/0!</v>
      </c>
      <c r="M98" s="335" t="e">
        <f t="shared" si="16"/>
        <v>#DIV/0!</v>
      </c>
    </row>
    <row r="99" spans="1:13" hidden="1">
      <c r="A99" s="15">
        <f t="shared" si="17"/>
        <v>1000</v>
      </c>
      <c r="B99" s="15">
        <f t="shared" si="14"/>
        <v>0</v>
      </c>
      <c r="C99" s="328">
        <f t="shared" si="18"/>
        <v>0</v>
      </c>
      <c r="D99" s="328" t="e">
        <f t="shared" ref="D99:D106" si="20">($B$90*D98)+D98</f>
        <v>#DIV/0!</v>
      </c>
      <c r="E99" s="329">
        <f t="shared" si="8"/>
        <v>0</v>
      </c>
      <c r="F99" s="330" t="e">
        <f t="shared" si="9"/>
        <v>#DIV/0!</v>
      </c>
      <c r="G99" s="805" t="e">
        <f t="shared" si="10"/>
        <v>#DIV/0!</v>
      </c>
      <c r="H99" s="331" t="e">
        <f t="shared" si="11"/>
        <v>#DIV/0!</v>
      </c>
      <c r="I99" s="844" t="e">
        <f t="shared" si="12"/>
        <v>#DIV/0!</v>
      </c>
      <c r="J99" s="333" t="e">
        <f t="shared" si="13"/>
        <v>#DIV/0!</v>
      </c>
      <c r="K99" s="334" t="e">
        <f t="shared" si="15"/>
        <v>#DIV/0!</v>
      </c>
      <c r="L99" s="335" t="e">
        <f t="shared" si="19"/>
        <v>#DIV/0!</v>
      </c>
      <c r="M99" s="335" t="e">
        <f t="shared" si="16"/>
        <v>#DIV/0!</v>
      </c>
    </row>
    <row r="100" spans="1:13" hidden="1">
      <c r="A100" s="15">
        <f t="shared" si="17"/>
        <v>1500</v>
      </c>
      <c r="B100" s="15">
        <f t="shared" si="14"/>
        <v>0</v>
      </c>
      <c r="C100" s="328">
        <f t="shared" si="18"/>
        <v>0</v>
      </c>
      <c r="D100" s="328" t="e">
        <f>($B$90*D99)+D99</f>
        <v>#DIV/0!</v>
      </c>
      <c r="E100" s="329">
        <f t="shared" si="8"/>
        <v>0</v>
      </c>
      <c r="F100" s="330" t="e">
        <f t="shared" si="9"/>
        <v>#DIV/0!</v>
      </c>
      <c r="G100" s="805" t="e">
        <f t="shared" si="10"/>
        <v>#DIV/0!</v>
      </c>
      <c r="H100" s="331" t="e">
        <f t="shared" si="11"/>
        <v>#DIV/0!</v>
      </c>
      <c r="I100" s="844" t="e">
        <f t="shared" si="12"/>
        <v>#DIV/0!</v>
      </c>
      <c r="J100" s="333" t="e">
        <f t="shared" si="13"/>
        <v>#DIV/0!</v>
      </c>
      <c r="K100" s="334" t="e">
        <f t="shared" si="15"/>
        <v>#DIV/0!</v>
      </c>
      <c r="L100" s="335" t="e">
        <f t="shared" si="19"/>
        <v>#DIV/0!</v>
      </c>
      <c r="M100" s="335" t="e">
        <f t="shared" si="16"/>
        <v>#DIV/0!</v>
      </c>
    </row>
    <row r="101" spans="1:13" hidden="1">
      <c r="A101" s="15">
        <f t="shared" si="17"/>
        <v>2000</v>
      </c>
      <c r="B101" s="15">
        <f t="shared" si="14"/>
        <v>0</v>
      </c>
      <c r="C101" s="328">
        <f t="shared" si="18"/>
        <v>0</v>
      </c>
      <c r="D101" s="328" t="e">
        <f>($B$90*D100)+D100</f>
        <v>#DIV/0!</v>
      </c>
      <c r="E101" s="329">
        <f t="shared" si="8"/>
        <v>0</v>
      </c>
      <c r="F101" s="330" t="e">
        <f t="shared" si="9"/>
        <v>#DIV/0!</v>
      </c>
      <c r="G101" s="805" t="e">
        <f t="shared" si="10"/>
        <v>#DIV/0!</v>
      </c>
      <c r="H101" s="331" t="e">
        <f t="shared" si="11"/>
        <v>#DIV/0!</v>
      </c>
      <c r="I101" s="844" t="e">
        <f t="shared" si="12"/>
        <v>#DIV/0!</v>
      </c>
      <c r="J101" s="333" t="e">
        <f t="shared" si="13"/>
        <v>#DIV/0!</v>
      </c>
      <c r="K101" s="334" t="e">
        <f t="shared" si="15"/>
        <v>#DIV/0!</v>
      </c>
      <c r="L101" s="335" t="e">
        <f t="shared" si="19"/>
        <v>#DIV/0!</v>
      </c>
      <c r="M101" s="335" t="e">
        <f t="shared" si="16"/>
        <v>#DIV/0!</v>
      </c>
    </row>
    <row r="102" spans="1:13" hidden="1">
      <c r="A102" s="15">
        <f t="shared" si="17"/>
        <v>2500</v>
      </c>
      <c r="B102" s="15">
        <f t="shared" si="14"/>
        <v>0</v>
      </c>
      <c r="C102" s="328">
        <f t="shared" si="18"/>
        <v>0</v>
      </c>
      <c r="D102" s="328" t="e">
        <f t="shared" si="20"/>
        <v>#DIV/0!</v>
      </c>
      <c r="E102" s="329">
        <f t="shared" si="8"/>
        <v>0</v>
      </c>
      <c r="F102" s="330" t="e">
        <f t="shared" si="9"/>
        <v>#DIV/0!</v>
      </c>
      <c r="G102" s="805" t="e">
        <f t="shared" si="10"/>
        <v>#DIV/0!</v>
      </c>
      <c r="H102" s="331" t="e">
        <f t="shared" si="11"/>
        <v>#DIV/0!</v>
      </c>
      <c r="I102" s="844" t="e">
        <f t="shared" si="12"/>
        <v>#DIV/0!</v>
      </c>
      <c r="J102" s="333" t="e">
        <f t="shared" si="13"/>
        <v>#DIV/0!</v>
      </c>
      <c r="K102" s="334" t="e">
        <f t="shared" si="15"/>
        <v>#DIV/0!</v>
      </c>
      <c r="L102" s="335" t="e">
        <f t="shared" si="19"/>
        <v>#DIV/0!</v>
      </c>
      <c r="M102" s="335" t="e">
        <f t="shared" si="16"/>
        <v>#DIV/0!</v>
      </c>
    </row>
    <row r="103" spans="1:13" hidden="1">
      <c r="A103" s="15">
        <f t="shared" si="17"/>
        <v>3000</v>
      </c>
      <c r="B103" s="15">
        <f t="shared" si="14"/>
        <v>0</v>
      </c>
      <c r="C103" s="328">
        <f t="shared" si="18"/>
        <v>0</v>
      </c>
      <c r="D103" s="328" t="e">
        <f t="shared" si="20"/>
        <v>#DIV/0!</v>
      </c>
      <c r="E103" s="329">
        <f t="shared" si="8"/>
        <v>0</v>
      </c>
      <c r="F103" s="330" t="e">
        <f t="shared" si="9"/>
        <v>#DIV/0!</v>
      </c>
      <c r="G103" s="805" t="e">
        <f t="shared" si="10"/>
        <v>#DIV/0!</v>
      </c>
      <c r="H103" s="331" t="e">
        <f t="shared" si="11"/>
        <v>#DIV/0!</v>
      </c>
      <c r="I103" s="844" t="e">
        <f t="shared" si="12"/>
        <v>#DIV/0!</v>
      </c>
      <c r="J103" s="333" t="e">
        <f t="shared" si="13"/>
        <v>#DIV/0!</v>
      </c>
      <c r="K103" s="334" t="e">
        <f t="shared" si="15"/>
        <v>#DIV/0!</v>
      </c>
      <c r="L103" s="335" t="e">
        <f t="shared" si="19"/>
        <v>#DIV/0!</v>
      </c>
      <c r="M103" s="335" t="e">
        <f t="shared" si="16"/>
        <v>#DIV/0!</v>
      </c>
    </row>
    <row r="104" spans="1:13" hidden="1">
      <c r="A104" s="15">
        <f t="shared" si="17"/>
        <v>3500</v>
      </c>
      <c r="B104" s="15">
        <f t="shared" si="14"/>
        <v>0</v>
      </c>
      <c r="C104" s="328">
        <f t="shared" si="18"/>
        <v>0</v>
      </c>
      <c r="D104" s="328" t="e">
        <f t="shared" si="20"/>
        <v>#DIV/0!</v>
      </c>
      <c r="E104" s="329">
        <f t="shared" si="8"/>
        <v>0</v>
      </c>
      <c r="F104" s="330" t="e">
        <f t="shared" si="9"/>
        <v>#DIV/0!</v>
      </c>
      <c r="G104" s="805" t="e">
        <f t="shared" si="10"/>
        <v>#DIV/0!</v>
      </c>
      <c r="H104" s="331" t="e">
        <f t="shared" si="11"/>
        <v>#DIV/0!</v>
      </c>
      <c r="I104" s="844" t="e">
        <f t="shared" si="12"/>
        <v>#DIV/0!</v>
      </c>
      <c r="J104" s="333" t="e">
        <f t="shared" si="13"/>
        <v>#DIV/0!</v>
      </c>
      <c r="K104" s="334" t="e">
        <f t="shared" si="15"/>
        <v>#DIV/0!</v>
      </c>
      <c r="L104" s="335" t="e">
        <f t="shared" si="19"/>
        <v>#DIV/0!</v>
      </c>
      <c r="M104" s="335" t="e">
        <f t="shared" si="16"/>
        <v>#DIV/0!</v>
      </c>
    </row>
    <row r="105" spans="1:13" hidden="1">
      <c r="A105" s="15">
        <f t="shared" si="17"/>
        <v>4000</v>
      </c>
      <c r="B105" s="15">
        <f t="shared" si="14"/>
        <v>0</v>
      </c>
      <c r="C105" s="328">
        <f t="shared" si="18"/>
        <v>0</v>
      </c>
      <c r="D105" s="328" t="e">
        <f t="shared" si="20"/>
        <v>#DIV/0!</v>
      </c>
      <c r="E105" s="329">
        <f t="shared" si="8"/>
        <v>0</v>
      </c>
      <c r="F105" s="330" t="e">
        <f t="shared" si="9"/>
        <v>#DIV/0!</v>
      </c>
      <c r="G105" s="805" t="e">
        <f t="shared" si="10"/>
        <v>#DIV/0!</v>
      </c>
      <c r="H105" s="331" t="e">
        <f t="shared" si="11"/>
        <v>#DIV/0!</v>
      </c>
      <c r="I105" s="844" t="e">
        <f t="shared" si="12"/>
        <v>#DIV/0!</v>
      </c>
      <c r="J105" s="333" t="e">
        <f t="shared" si="13"/>
        <v>#DIV/0!</v>
      </c>
      <c r="K105" s="334" t="e">
        <f t="shared" si="15"/>
        <v>#DIV/0!</v>
      </c>
      <c r="L105" s="335" t="e">
        <f t="shared" si="19"/>
        <v>#DIV/0!</v>
      </c>
      <c r="M105" s="335" t="e">
        <f t="shared" si="16"/>
        <v>#DIV/0!</v>
      </c>
    </row>
    <row r="106" spans="1:13" hidden="1">
      <c r="A106" s="15">
        <f t="shared" si="17"/>
        <v>4500</v>
      </c>
      <c r="B106" s="15">
        <f t="shared" si="14"/>
        <v>0</v>
      </c>
      <c r="C106" s="328">
        <f t="shared" si="18"/>
        <v>0</v>
      </c>
      <c r="D106" s="328" t="e">
        <f t="shared" si="20"/>
        <v>#DIV/0!</v>
      </c>
      <c r="E106" s="329">
        <f t="shared" si="8"/>
        <v>0</v>
      </c>
      <c r="F106" s="330" t="e">
        <f t="shared" si="9"/>
        <v>#DIV/0!</v>
      </c>
      <c r="G106" s="805" t="e">
        <f t="shared" si="10"/>
        <v>#DIV/0!</v>
      </c>
      <c r="H106" s="331" t="e">
        <f t="shared" si="11"/>
        <v>#DIV/0!</v>
      </c>
      <c r="I106" s="844" t="e">
        <f t="shared" si="12"/>
        <v>#DIV/0!</v>
      </c>
      <c r="J106" s="333" t="e">
        <f t="shared" si="13"/>
        <v>#DIV/0!</v>
      </c>
      <c r="K106" s="334" t="e">
        <f t="shared" si="15"/>
        <v>#DIV/0!</v>
      </c>
      <c r="L106" s="335" t="e">
        <f t="shared" si="19"/>
        <v>#DIV/0!</v>
      </c>
      <c r="M106" s="335" t="e">
        <f t="shared" si="16"/>
        <v>#DIV/0!</v>
      </c>
    </row>
    <row r="107" spans="1:13" hidden="1"/>
  </sheetData>
  <sheetProtection sheet="1" formatCells="0" formatColumns="0" formatRows="0"/>
  <mergeCells count="1">
    <mergeCell ref="A54:A56"/>
  </mergeCells>
  <hyperlinks>
    <hyperlink ref="B35" location="Koneurakointi!A1" display="Katso konelaskurista" xr:uid="{00000000-0004-0000-0D00-000000000000}"/>
    <hyperlink ref="B30" location="'Viljan kuivauksen hintalaskuri'!A1" display="Avaa viljankuivurilaskuri" xr:uid="{00000000-0004-0000-0D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Lähtötiedot!$A$88:$A$93</xm:f>
          </x14:formula1>
          <xm:sqref>K36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11.285156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9.7109375" customWidth="1"/>
    <col min="34" max="34" width="13" customWidth="1"/>
    <col min="35" max="35" width="12.42578125" customWidth="1"/>
    <col min="36" max="36" width="11.140625" customWidth="1"/>
    <col min="37" max="37" width="12" customWidth="1"/>
    <col min="38" max="38" width="11.57031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Lähtötiedot!A15</f>
        <v>LaskeMonivuotinen Marja1 esim. mansikka</v>
      </c>
      <c r="C2" s="246"/>
      <c r="D2" s="1992" t="s">
        <v>189</v>
      </c>
      <c r="E2" s="1794" t="str">
        <f>Lähtötiedot!E4</f>
        <v>C</v>
      </c>
      <c r="F2" s="1220" t="str">
        <f>"Lasketko yhtä yksikköä "&amp;F4&amp;" kohden (1) vai alalle (2)? Oletus 1"</f>
        <v>Lasketko yhtä yksikköä ha kohden (1) vai alalle (2)? Oletus 1</v>
      </c>
      <c r="G2" s="1795"/>
      <c r="H2" s="1560"/>
      <c r="I2" s="1560"/>
      <c r="J2" s="1560"/>
      <c r="K2" s="1560"/>
      <c r="L2" s="1560"/>
      <c r="M2" s="1796">
        <v>1</v>
      </c>
      <c r="P2" s="536" t="str">
        <f>AA5</f>
        <v xml:space="preserve"> Pinta-ala OK</v>
      </c>
    </row>
    <row r="3" spans="1:39" ht="18.75" thickBot="1">
      <c r="A3" s="1111" t="str">
        <f>Lähtötiedot!F15</f>
        <v>kasvi</v>
      </c>
      <c r="B3" s="247" t="s">
        <v>188</v>
      </c>
      <c r="C3" s="247"/>
      <c r="D3" s="247"/>
      <c r="E3" s="1815">
        <f>Lähtötiedot!C4</f>
        <v>2027</v>
      </c>
      <c r="F3" s="247"/>
      <c r="G3" s="1806" t="s">
        <v>414</v>
      </c>
    </row>
    <row r="4" spans="1:39" ht="18.75" thickBot="1">
      <c r="B4" s="1797" t="s">
        <v>415</v>
      </c>
      <c r="C4" s="1560"/>
      <c r="D4" s="1798"/>
      <c r="E4" s="1799">
        <f>Lähtötiedot!C15</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978">
        <v>1</v>
      </c>
      <c r="D6" s="1811"/>
      <c r="E6" s="2022">
        <v>0</v>
      </c>
      <c r="F6" s="2693"/>
      <c r="G6" s="1802">
        <f>IF($E$4&gt;0,E6/$E$4,0)</f>
        <v>0</v>
      </c>
      <c r="H6" s="1750">
        <f>C6+1</f>
        <v>2</v>
      </c>
      <c r="I6" s="1940"/>
      <c r="J6" s="818"/>
      <c r="K6" s="2022">
        <v>0</v>
      </c>
      <c r="L6" s="2693"/>
      <c r="M6" s="1802">
        <f>IF($E$4&gt;0,K6/$E$4,0)</f>
        <v>0</v>
      </c>
      <c r="N6" s="1750">
        <f>H6+1</f>
        <v>3</v>
      </c>
      <c r="O6" s="1940"/>
      <c r="P6" s="818"/>
      <c r="Q6" s="2022">
        <v>0</v>
      </c>
      <c r="R6" s="2693"/>
      <c r="S6" s="1802">
        <f>IF($E$4&gt;0,Q6/$E$4,0)</f>
        <v>0</v>
      </c>
      <c r="T6" s="1750">
        <f>N6+1</f>
        <v>4</v>
      </c>
      <c r="U6" s="1972"/>
      <c r="V6" s="1973"/>
      <c r="W6" s="2022">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1571</v>
      </c>
      <c r="B8" s="1005"/>
      <c r="C8" s="1845" t="s">
        <v>137</v>
      </c>
      <c r="D8" s="1849">
        <v>0</v>
      </c>
      <c r="E8" s="1847">
        <v>0</v>
      </c>
      <c r="F8" s="1778">
        <f>IF(E$6&gt;0,D8*E8,0)</f>
        <v>0</v>
      </c>
      <c r="G8" s="1770" t="str">
        <f>IFERROR(F8/F$17,"")</f>
        <v/>
      </c>
      <c r="H8" s="1852" t="str">
        <f>C8</f>
        <v>kg</v>
      </c>
      <c r="I8" s="1008"/>
      <c r="J8" s="1849">
        <v>13000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1572</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11</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1500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f>E10</f>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13011</v>
      </c>
      <c r="M18" s="1772"/>
      <c r="P18" s="1939">
        <f>SUM(P8:P10)</f>
        <v>0</v>
      </c>
      <c r="S18" s="1772"/>
      <c r="V18" s="1939">
        <f>SUM(V8:V10)</f>
        <v>1500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2602.1999999999998</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300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13011</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1500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13011</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1500</v>
      </c>
      <c r="W25" s="1740">
        <f t="shared" si="31"/>
        <v>0</v>
      </c>
      <c r="X25" s="1778">
        <f t="shared" si="35"/>
        <v>0</v>
      </c>
      <c r="Y25" s="1771" t="e">
        <f t="shared" si="32"/>
        <v>#DIV/0!</v>
      </c>
      <c r="AA25" s="1786">
        <f t="shared" si="20"/>
        <v>0</v>
      </c>
    </row>
    <row r="26" spans="1:39" s="14" customFormat="1" ht="15">
      <c r="A26" s="277" t="s">
        <v>515</v>
      </c>
      <c r="B26" s="277"/>
      <c r="C26" s="165" t="str">
        <f t="shared" si="21"/>
        <v>kpl</v>
      </c>
      <c r="D26" s="1813">
        <f>D$18</f>
        <v>0</v>
      </c>
      <c r="E26" s="1739"/>
      <c r="F26" s="1778">
        <f t="shared" si="22"/>
        <v>0</v>
      </c>
      <c r="G26" s="1771" t="e">
        <f t="shared" si="23"/>
        <v>#DIV/0!</v>
      </c>
      <c r="H26" s="1755" t="str">
        <f t="shared" si="24"/>
        <v>kpl</v>
      </c>
      <c r="I26" s="1954">
        <v>1</v>
      </c>
      <c r="J26" s="282">
        <f>$D26*I26</f>
        <v>0</v>
      </c>
      <c r="K26" s="1740">
        <f t="shared" si="25"/>
        <v>0</v>
      </c>
      <c r="L26" s="1778">
        <f t="shared" si="33"/>
        <v>0</v>
      </c>
      <c r="M26" s="1771" t="e">
        <f t="shared" si="26"/>
        <v>#DIV/0!</v>
      </c>
      <c r="N26" s="1755" t="str">
        <f t="shared" si="27"/>
        <v>kpl</v>
      </c>
      <c r="O26" s="1954">
        <v>1</v>
      </c>
      <c r="P26" s="282">
        <f>$D26*O26</f>
        <v>0</v>
      </c>
      <c r="Q26" s="1740">
        <f t="shared" si="28"/>
        <v>0</v>
      </c>
      <c r="R26" s="1778">
        <f t="shared" si="34"/>
        <v>0</v>
      </c>
      <c r="S26" s="1771" t="e">
        <f>R26/R$59</f>
        <v>#DIV/0!</v>
      </c>
      <c r="T26" s="1755" t="str">
        <f t="shared" si="30"/>
        <v>kpl</v>
      </c>
      <c r="U26" s="1954">
        <v>1</v>
      </c>
      <c r="V26" s="282">
        <f>$D26*U26</f>
        <v>0</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1</v>
      </c>
      <c r="E28" s="1739"/>
      <c r="F28" s="1778">
        <f t="shared" si="22"/>
        <v>0</v>
      </c>
      <c r="G28" s="1771" t="e">
        <f t="shared" si="23"/>
        <v>#DIV/0!</v>
      </c>
      <c r="H28" s="1755" t="str">
        <f t="shared" si="24"/>
        <v>kpl</v>
      </c>
      <c r="I28" s="1954">
        <v>1</v>
      </c>
      <c r="J28" s="282">
        <f>$D28*I28</f>
        <v>1</v>
      </c>
      <c r="K28" s="1740">
        <f t="shared" si="25"/>
        <v>0</v>
      </c>
      <c r="L28" s="1778">
        <f t="shared" si="33"/>
        <v>0</v>
      </c>
      <c r="M28" s="1771" t="e">
        <f t="shared" si="26"/>
        <v>#DIV/0!</v>
      </c>
      <c r="N28" s="1755" t="str">
        <f t="shared" si="27"/>
        <v>kpl</v>
      </c>
      <c r="O28" s="1954">
        <v>1</v>
      </c>
      <c r="P28" s="282">
        <f>$D28*O28</f>
        <v>1</v>
      </c>
      <c r="Q28" s="1740">
        <f t="shared" si="28"/>
        <v>0</v>
      </c>
      <c r="R28" s="1778">
        <f t="shared" si="34"/>
        <v>0</v>
      </c>
      <c r="S28" s="1771" t="e">
        <f t="shared" si="29"/>
        <v>#DIV/0!</v>
      </c>
      <c r="T28" s="1755" t="str">
        <f t="shared" si="30"/>
        <v>kpl</v>
      </c>
      <c r="U28" s="1954">
        <v>1</v>
      </c>
      <c r="V28" s="282">
        <f>$D28*U28</f>
        <v>1</v>
      </c>
      <c r="W28" s="1740">
        <f t="shared" si="31"/>
        <v>0</v>
      </c>
      <c r="X28" s="1778">
        <f t="shared" si="35"/>
        <v>0</v>
      </c>
      <c r="Y28" s="1771" t="e">
        <f t="shared" si="32"/>
        <v>#DIV/0!</v>
      </c>
      <c r="AA28" s="1786">
        <f t="shared" si="20"/>
        <v>0</v>
      </c>
    </row>
    <row r="29" spans="1:39" s="14" customFormat="1" ht="15">
      <c r="A29" s="277"/>
      <c r="B29" s="277"/>
      <c r="C29" s="165" t="str">
        <f t="shared" si="21"/>
        <v>kpl</v>
      </c>
      <c r="D29" s="282">
        <v>0</v>
      </c>
      <c r="E29" s="1739"/>
      <c r="F29" s="1778">
        <f t="shared" si="22"/>
        <v>0</v>
      </c>
      <c r="G29" s="1771" t="e">
        <f t="shared" si="23"/>
        <v>#DIV/0!</v>
      </c>
      <c r="H29" s="1755" t="str">
        <f t="shared" si="24"/>
        <v>kpl</v>
      </c>
      <c r="I29" s="1954">
        <v>1</v>
      </c>
      <c r="J29" s="282">
        <f>$D29*I29</f>
        <v>0</v>
      </c>
      <c r="K29" s="1740">
        <f t="shared" si="25"/>
        <v>0</v>
      </c>
      <c r="L29" s="1778">
        <f t="shared" si="33"/>
        <v>0</v>
      </c>
      <c r="M29" s="1771" t="e">
        <f t="shared" si="26"/>
        <v>#DIV/0!</v>
      </c>
      <c r="N29" s="1755" t="str">
        <f t="shared" si="27"/>
        <v>kpl</v>
      </c>
      <c r="O29" s="1954">
        <v>1</v>
      </c>
      <c r="P29" s="282">
        <f>$D29*O29</f>
        <v>0</v>
      </c>
      <c r="Q29" s="1740">
        <v>0</v>
      </c>
      <c r="R29" s="1778">
        <f t="shared" si="34"/>
        <v>0</v>
      </c>
      <c r="S29" s="1771" t="e">
        <f t="shared" si="29"/>
        <v>#DIV/0!</v>
      </c>
      <c r="T29" s="1755" t="str">
        <f t="shared" si="30"/>
        <v>kpl</v>
      </c>
      <c r="U29" s="1954">
        <v>1</v>
      </c>
      <c r="V29" s="282">
        <f>$D29*U29</f>
        <v>0</v>
      </c>
      <c r="W29" s="1740">
        <v>0</v>
      </c>
      <c r="X29" s="1778">
        <f t="shared" si="35"/>
        <v>0</v>
      </c>
      <c r="Y29" s="1771" t="e">
        <f t="shared" si="32"/>
        <v>#DIV/0!</v>
      </c>
      <c r="AA29" s="1786">
        <f t="shared" si="20"/>
        <v>0</v>
      </c>
    </row>
    <row r="30" spans="1:39" ht="15.75" thickBot="1">
      <c r="A30" s="277"/>
      <c r="B30" s="277"/>
      <c r="C30" s="165" t="str">
        <f t="shared" si="21"/>
        <v>kpl</v>
      </c>
      <c r="D30" s="282">
        <v>1</v>
      </c>
      <c r="E30" s="1739"/>
      <c r="F30" s="1778">
        <f t="shared" si="22"/>
        <v>0</v>
      </c>
      <c r="G30" s="1771" t="e">
        <f t="shared" si="23"/>
        <v>#DIV/0!</v>
      </c>
      <c r="H30" s="1755" t="str">
        <f t="shared" si="24"/>
        <v>kpl</v>
      </c>
      <c r="I30" s="1954">
        <v>1</v>
      </c>
      <c r="J30" s="282">
        <f>$D30*I30</f>
        <v>1</v>
      </c>
      <c r="K30" s="1740">
        <f t="shared" si="25"/>
        <v>0</v>
      </c>
      <c r="L30" s="1778">
        <f t="shared" si="33"/>
        <v>0</v>
      </c>
      <c r="M30" s="1771" t="e">
        <f t="shared" si="26"/>
        <v>#DIV/0!</v>
      </c>
      <c r="N30" s="1755" t="str">
        <f t="shared" si="27"/>
        <v>kpl</v>
      </c>
      <c r="O30" s="1954">
        <v>1</v>
      </c>
      <c r="P30" s="282">
        <f>$D30*O30</f>
        <v>1</v>
      </c>
      <c r="Q30" s="1740">
        <f t="shared" si="28"/>
        <v>0</v>
      </c>
      <c r="R30" s="1778">
        <f t="shared" si="34"/>
        <v>0</v>
      </c>
      <c r="S30" s="1771" t="e">
        <f t="shared" si="29"/>
        <v>#DIV/0!</v>
      </c>
      <c r="T30" s="1755" t="str">
        <f t="shared" si="30"/>
        <v>kpl</v>
      </c>
      <c r="U30" s="1954">
        <v>1</v>
      </c>
      <c r="V30" s="282">
        <f>$D30*U30</f>
        <v>1</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28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2</v>
      </c>
      <c r="E34" s="1739">
        <v>17</v>
      </c>
      <c r="F34" s="1778">
        <f t="shared" ref="F34" si="36">IF(E$6&gt;0,D34*E34,0)</f>
        <v>0</v>
      </c>
      <c r="G34" s="1771" t="e">
        <f t="shared" si="23"/>
        <v>#DIV/0!</v>
      </c>
      <c r="H34" s="1755" t="str">
        <f>C34</f>
        <v>h</v>
      </c>
      <c r="I34" s="1954">
        <v>1</v>
      </c>
      <c r="J34" s="282">
        <f>$D$34*I34</f>
        <v>2</v>
      </c>
      <c r="K34" s="1740">
        <f>$E$34</f>
        <v>17</v>
      </c>
      <c r="L34" s="1778">
        <f>IF(K$6&gt;0,J34*K34*I34,0)</f>
        <v>0</v>
      </c>
      <c r="M34" s="1771" t="e">
        <f t="shared" si="26"/>
        <v>#DIV/0!</v>
      </c>
      <c r="N34" s="1755" t="str">
        <f>H34</f>
        <v>h</v>
      </c>
      <c r="O34" s="1954">
        <v>1</v>
      </c>
      <c r="P34" s="282">
        <f>$D$34*O34</f>
        <v>2</v>
      </c>
      <c r="Q34" s="1740">
        <f>$E$34</f>
        <v>17</v>
      </c>
      <c r="R34" s="1778">
        <f>IF(Q$6&gt;0,P34*Q34*O34,0)</f>
        <v>0</v>
      </c>
      <c r="S34" s="1771" t="e">
        <f t="shared" si="29"/>
        <v>#DIV/0!</v>
      </c>
      <c r="T34" s="1755" t="str">
        <f>N34</f>
        <v>h</v>
      </c>
      <c r="U34" s="1954">
        <v>1</v>
      </c>
      <c r="V34" s="282">
        <f>$D$34*U34</f>
        <v>2</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2">
        <v>0</v>
      </c>
      <c r="E35" s="287">
        <v>0.01</v>
      </c>
      <c r="F35" s="1778">
        <f t="shared" ref="F35" si="37">IF(E$6&gt;0,D35*E35,0)</f>
        <v>0</v>
      </c>
      <c r="G35" s="1771" t="e">
        <f t="shared" si="23"/>
        <v>#DIV/0!</v>
      </c>
      <c r="H35" s="1757" t="s">
        <v>159</v>
      </c>
      <c r="I35" s="1757"/>
      <c r="J35" s="286">
        <f>H40*J40</f>
        <v>0</v>
      </c>
      <c r="K35" s="287">
        <v>0.01</v>
      </c>
      <c r="L35" s="1778">
        <f t="shared" ref="L35" si="38">IF(K$6&gt;0,J35*K35,0)</f>
        <v>0</v>
      </c>
      <c r="M35" s="1771" t="e">
        <f t="shared" si="26"/>
        <v>#DIV/0!</v>
      </c>
      <c r="N35" s="1757" t="s">
        <v>159</v>
      </c>
      <c r="O35" s="1757"/>
      <c r="P35" s="286">
        <f>N40*P40</f>
        <v>0</v>
      </c>
      <c r="Q35" s="287">
        <v>0.01</v>
      </c>
      <c r="R35" s="1778">
        <f t="shared" ref="R35" si="39">IF(Q$6&gt;0,P35*Q35,0)</f>
        <v>0</v>
      </c>
      <c r="S35" s="1771" t="e">
        <f t="shared" si="29"/>
        <v>#DIV/0!</v>
      </c>
      <c r="T35" s="1757" t="s">
        <v>159</v>
      </c>
      <c r="U35" s="1757"/>
      <c r="V35" s="286">
        <f>T40*V40</f>
        <v>0</v>
      </c>
      <c r="W35" s="287">
        <v>0.01</v>
      </c>
      <c r="X35" s="1778">
        <f t="shared" ref="X35" si="40">IF(W$6&gt;0,V35*W35,0)</f>
        <v>0</v>
      </c>
      <c r="Y35" s="1771" t="e">
        <f t="shared" si="32"/>
        <v>#DIV/0!</v>
      </c>
      <c r="AA35" s="1786">
        <f t="shared" si="20"/>
        <v>0</v>
      </c>
      <c r="AB35" s="814" t="s">
        <v>1617</v>
      </c>
      <c r="AC35" s="1617"/>
      <c r="AD35" s="1694">
        <v>15</v>
      </c>
      <c r="AE35" t="s">
        <v>1597</v>
      </c>
      <c r="AH35" s="2114">
        <f>SUM(AH34,AH31)</f>
        <v>0</v>
      </c>
      <c r="AI35" s="2114">
        <f t="shared" ref="AI35:AM35" si="41">SUM(AI34,AI31)</f>
        <v>0</v>
      </c>
      <c r="AJ35" s="2114"/>
      <c r="AK35" s="2114">
        <f t="shared" si="41"/>
        <v>0</v>
      </c>
      <c r="AL35" s="2114">
        <f t="shared" si="41"/>
        <v>0</v>
      </c>
      <c r="AM35" s="2114">
        <f t="shared" si="41"/>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2">IF(E$6&gt;0,D42*E42,0)</f>
        <v>0</v>
      </c>
      <c r="G42" s="1771" t="e">
        <f>F42/$F$59</f>
        <v>#DIV/0!</v>
      </c>
      <c r="H42" s="1755" t="str">
        <f>C42</f>
        <v>h</v>
      </c>
      <c r="I42" s="1755"/>
      <c r="J42" s="90">
        <v>0</v>
      </c>
      <c r="K42" s="299">
        <f>E42</f>
        <v>15</v>
      </c>
      <c r="L42" s="1778">
        <f t="shared" ref="L42" si="43">IF(K$6&gt;0,J42*K42,0)</f>
        <v>0</v>
      </c>
      <c r="M42" s="1771" t="e">
        <f>L42/$F$59</f>
        <v>#DIV/0!</v>
      </c>
      <c r="N42" s="1755" t="str">
        <f>H42</f>
        <v>h</v>
      </c>
      <c r="O42" s="1755"/>
      <c r="P42" s="90">
        <v>0</v>
      </c>
      <c r="Q42" s="299">
        <f>K42</f>
        <v>15</v>
      </c>
      <c r="R42" s="1778">
        <f t="shared" ref="R42" si="44">IF(Q$6&gt;0,P42*Q42,0)</f>
        <v>0</v>
      </c>
      <c r="S42" s="1771" t="e">
        <f>R42/$F$59</f>
        <v>#DIV/0!</v>
      </c>
      <c r="T42" s="1755" t="str">
        <f>N42</f>
        <v>h</v>
      </c>
      <c r="U42" s="1755"/>
      <c r="V42" s="90">
        <v>0</v>
      </c>
      <c r="W42" s="299">
        <f>Q42</f>
        <v>15</v>
      </c>
      <c r="X42" s="1778">
        <f t="shared" ref="X42" si="45">IF(W$6&gt;0,V42*W42,0)</f>
        <v>0</v>
      </c>
      <c r="Y42" s="189" t="e">
        <f>X42/$F$59</f>
        <v>#DIV/0!</v>
      </c>
      <c r="AA42" s="1786">
        <f t="shared" ref="AA42" si="46">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7">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8">F51/F$59</f>
        <v>#DIV/0!</v>
      </c>
      <c r="H51" s="1760">
        <f t="shared" ref="H51:H53" si="49">$C51</f>
        <v>0</v>
      </c>
      <c r="I51" s="1760"/>
      <c r="J51" s="1810">
        <f>SUMIF(Lähtötiedot!$A$60:$A$70,$B$46,Lähtötiedot!$E$60:$E$70)</f>
        <v>0</v>
      </c>
      <c r="K51" s="1227">
        <v>1</v>
      </c>
      <c r="L51" s="1501">
        <f>IF(K6&gt;0,IF($M$2=1,J51/H51*K51,J51/H51*K51*K$6),0)</f>
        <v>0</v>
      </c>
      <c r="M51" s="1771" t="e">
        <f t="shared" ref="M51:M53" si="50">L51/L$59</f>
        <v>#DIV/0!</v>
      </c>
      <c r="N51" s="1760">
        <f t="shared" ref="N51:N53" si="51">$C51</f>
        <v>0</v>
      </c>
      <c r="O51" s="1760"/>
      <c r="P51" s="1810">
        <f>SUMIF(Lähtötiedot!$A$60:$A$70,$B$46,Lähtötiedot!$E$60:$E$70)</f>
        <v>0</v>
      </c>
      <c r="Q51" s="1227">
        <v>1</v>
      </c>
      <c r="R51" s="1501">
        <f>IF(Q6&gt;0,IF($M$2=1,P51/N51*Q51,P51/N51*Q51*Q$6),0)</f>
        <v>0</v>
      </c>
      <c r="S51" s="1771" t="e">
        <f t="shared" ref="S51:S53" si="52">R51/R$59</f>
        <v>#DIV/0!</v>
      </c>
      <c r="T51" s="1760">
        <f t="shared" ref="T51:T53" si="53">$C51</f>
        <v>0</v>
      </c>
      <c r="U51" s="1760"/>
      <c r="V51" s="1810">
        <f>SUMIF(Lähtötiedot!$A$60:$A$70,$B$46,Lähtötiedot!$E$60:$E$70)</f>
        <v>0</v>
      </c>
      <c r="W51" s="1227">
        <v>1</v>
      </c>
      <c r="X51" s="1501">
        <f>IF(W6&gt;0,IF($M$2=1,V51/T51*W51,V51/T51*W51*W$6),0)</f>
        <v>0</v>
      </c>
      <c r="Y51" s="1771" t="e">
        <f t="shared" ref="Y51:Y53" si="54">X51/X$59</f>
        <v>#DIV/0!</v>
      </c>
      <c r="AA51" s="1786">
        <f>IF($M$2&lt;&gt;1,SUM(F51,L51,R51,X51),F51*$E$6+L51*$K$6+R51*$Q$6+X51*$W$6)</f>
        <v>0</v>
      </c>
      <c r="AB51" t="str">
        <f t="shared" ref="AB51:AB53" si="55">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8"/>
        <v>#DIV/0!</v>
      </c>
      <c r="H52" s="1760">
        <f t="shared" si="49"/>
        <v>0</v>
      </c>
      <c r="I52" s="1760"/>
      <c r="J52" s="1810">
        <f>SUMIF(Lähtötiedot!$A$60:$A$70,$B$46,Lähtötiedot!$F$60:$F$70)</f>
        <v>0</v>
      </c>
      <c r="K52" s="1227">
        <v>1</v>
      </c>
      <c r="L52" s="1501">
        <f>IF(K6&gt;0,IF($M$2=1,J52/H52*K52,J52/H52*K52*K$6),0)</f>
        <v>0</v>
      </c>
      <c r="M52" s="1771" t="e">
        <f t="shared" si="50"/>
        <v>#DIV/0!</v>
      </c>
      <c r="N52" s="1760">
        <f t="shared" si="51"/>
        <v>0</v>
      </c>
      <c r="O52" s="1760"/>
      <c r="P52" s="1810">
        <f>SUMIF(Lähtötiedot!$A$60:$A$70,$B$46,Lähtötiedot!$F$60:$F$70)</f>
        <v>0</v>
      </c>
      <c r="Q52" s="1227">
        <v>1</v>
      </c>
      <c r="R52" s="1501">
        <f>IF(Q6&gt;0,IF($M$2=1,P52/N52*Q52,P52/N52*Q52*Q$6),0)</f>
        <v>0</v>
      </c>
      <c r="S52" s="1771" t="e">
        <f t="shared" si="52"/>
        <v>#DIV/0!</v>
      </c>
      <c r="T52" s="1760">
        <f t="shared" si="53"/>
        <v>0</v>
      </c>
      <c r="U52" s="1760"/>
      <c r="V52" s="1810">
        <f>SUMIF(Lähtötiedot!$A$60:$A$70,$B$46,Lähtötiedot!$F$60:$F$70)</f>
        <v>0</v>
      </c>
      <c r="W52" s="1227">
        <v>1</v>
      </c>
      <c r="X52" s="1501">
        <f>IF(W6&gt;0,IF($M$2=1,V52/T52*W52,V52/T52*W52*W$6),0)</f>
        <v>0</v>
      </c>
      <c r="Y52" s="1771" t="e">
        <f t="shared" si="54"/>
        <v>#DIV/0!</v>
      </c>
      <c r="AA52" s="1786">
        <f t="shared" ref="AA52" si="56">IF($M$2&lt;&gt;1,SUM(F52,L52,R52,X52),F52*$E$6+L52*$K$6+R52*$Q$6+X52*$W$6)</f>
        <v>0</v>
      </c>
      <c r="AB52" t="str">
        <f t="shared" si="55"/>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8"/>
        <v>#DIV/0!</v>
      </c>
      <c r="H53" s="1760">
        <f t="shared" si="49"/>
        <v>0</v>
      </c>
      <c r="I53" s="1760"/>
      <c r="J53" s="1810">
        <f>SUMIF(Lähtötiedot!$A$60:$A$70,$B$46,Lähtötiedot!$G$60:$G$70)</f>
        <v>0</v>
      </c>
      <c r="K53" s="1227">
        <v>1</v>
      </c>
      <c r="L53" s="1501">
        <f>IF(K6&gt;0,IF($M$2=1,J53/H53*K53,J53/H53*K53*K$6),0)</f>
        <v>0</v>
      </c>
      <c r="M53" s="1771" t="e">
        <f t="shared" si="50"/>
        <v>#DIV/0!</v>
      </c>
      <c r="N53" s="1760">
        <f t="shared" si="51"/>
        <v>0</v>
      </c>
      <c r="O53" s="1760"/>
      <c r="P53" s="1810">
        <f>SUMIF(Lähtötiedot!$A$60:$A$70,$B$46,Lähtötiedot!$G$60:$G$70)</f>
        <v>0</v>
      </c>
      <c r="Q53" s="1227">
        <v>1</v>
      </c>
      <c r="R53" s="1501">
        <f>IF(Q6&gt;0,IF($M$2=1,P53/N53*Q53,P53/N53*Q53*Q$6),0)</f>
        <v>0</v>
      </c>
      <c r="S53" s="1771" t="e">
        <f t="shared" si="52"/>
        <v>#DIV/0!</v>
      </c>
      <c r="T53" s="1760">
        <f t="shared" si="53"/>
        <v>0</v>
      </c>
      <c r="U53" s="1760"/>
      <c r="V53" s="1810">
        <f>SUMIF(Lähtötiedot!$A$60:$A$70,$B$46,Lähtötiedot!$G$60:$G$70)</f>
        <v>0</v>
      </c>
      <c r="W53" s="1227">
        <v>1</v>
      </c>
      <c r="X53" s="1501">
        <f>IF(W6&gt;0,IF($M$2=1,V53/T53*W53,V53/T53*W53*W$6),0)</f>
        <v>0</v>
      </c>
      <c r="Y53" s="1771" t="e">
        <f t="shared" si="54"/>
        <v>#DIV/0!</v>
      </c>
      <c r="AA53" s="1786">
        <f>IF($M$2&lt;&gt;1,SUM(F53,L53,R53,X53),F53*$E$6+L53*$K$6+R53*$Q$6+X53*$W$6)</f>
        <v>0</v>
      </c>
      <c r="AB53" t="str">
        <f t="shared" si="55"/>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13011</v>
      </c>
      <c r="I70" s="1943"/>
      <c r="J70" s="317"/>
      <c r="K70" s="313"/>
      <c r="N70" s="1762">
        <f>P18</f>
        <v>0</v>
      </c>
      <c r="O70" s="1943"/>
      <c r="P70" s="317"/>
      <c r="Q70" s="313"/>
      <c r="T70" s="1762">
        <f>V18</f>
        <v>1500</v>
      </c>
      <c r="U70" s="1943"/>
      <c r="V70" s="317"/>
      <c r="W70" s="313"/>
    </row>
    <row r="71" spans="1:27" ht="19.5" thickTop="1" thickBot="1">
      <c r="A71" s="1" t="s">
        <v>484</v>
      </c>
      <c r="B71" s="86" t="s">
        <v>485</v>
      </c>
      <c r="C71" s="14"/>
      <c r="D71" s="313"/>
      <c r="E71" s="1752" t="e">
        <f>D69/C70</f>
        <v>#DIV/0!</v>
      </c>
      <c r="H71" s="14"/>
      <c r="I71" s="14"/>
      <c r="J71" s="313"/>
      <c r="K71" s="354">
        <f>J69/H70</f>
        <v>0</v>
      </c>
      <c r="N71" s="14"/>
      <c r="O71" s="14"/>
      <c r="P71" s="313"/>
      <c r="Q71" s="1752" t="e">
        <f>P69/N70</f>
        <v>#DIV/0!</v>
      </c>
      <c r="T71" s="14"/>
      <c r="U71" s="14"/>
      <c r="V71" s="313"/>
      <c r="W71" s="1752">
        <f>V69/T70</f>
        <v>0</v>
      </c>
    </row>
    <row r="72" spans="1:27" ht="15.75" thickBot="1">
      <c r="A72" s="315" t="s">
        <v>487</v>
      </c>
      <c r="B72" s="315" t="s">
        <v>488</v>
      </c>
      <c r="C72" s="315"/>
      <c r="D72" s="319">
        <f>SUM(F11:F13)</f>
        <v>0</v>
      </c>
      <c r="E72" s="320" t="e">
        <f>D72/C70</f>
        <v>#DIV/0!</v>
      </c>
      <c r="G72" s="1774"/>
      <c r="H72" s="315"/>
      <c r="I72" s="315"/>
      <c r="J72" s="319">
        <f>SUM(L11:L13)</f>
        <v>0</v>
      </c>
      <c r="K72" s="320">
        <f>J72/J8</f>
        <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f>K71-K72</f>
        <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7">SUM(E78:E80)</f>
        <v>0</v>
      </c>
      <c r="F81" s="1812"/>
      <c r="J81" s="2689">
        <f>SUM(J78:K80)</f>
        <v>0</v>
      </c>
      <c r="K81" s="2690">
        <f t="shared" ref="K81" si="58">SUM(K78:K80)</f>
        <v>0</v>
      </c>
      <c r="P81" s="2689">
        <f t="shared" ref="P81:Q81" si="59">SUM(P78:P80)</f>
        <v>0</v>
      </c>
      <c r="Q81" s="2690">
        <f t="shared" si="59"/>
        <v>0</v>
      </c>
      <c r="V81" s="2689">
        <f>SUM(V78:W80)</f>
        <v>0</v>
      </c>
      <c r="W81" s="2690">
        <f t="shared" ref="W81" si="60">SUM(W78:W80)</f>
        <v>0</v>
      </c>
    </row>
    <row r="82" spans="1:27" ht="13.5" thickBot="1">
      <c r="A82" s="814"/>
      <c r="B82" s="183" t="s">
        <v>495</v>
      </c>
      <c r="D82" s="2691">
        <f>C70</f>
        <v>0</v>
      </c>
      <c r="E82" s="2692"/>
      <c r="J82" s="2691">
        <f>H70</f>
        <v>13011</v>
      </c>
      <c r="K82" s="2692"/>
      <c r="P82" s="2691">
        <f>N70</f>
        <v>0</v>
      </c>
      <c r="Q82" s="2692"/>
      <c r="V82" s="2691">
        <f>T70</f>
        <v>1500</v>
      </c>
      <c r="W82" s="2692"/>
    </row>
    <row r="83" spans="1:27" ht="16.5" thickBot="1">
      <c r="A83" s="815"/>
      <c r="B83" s="1814" t="s">
        <v>567</v>
      </c>
      <c r="C83" s="818" t="s">
        <v>497</v>
      </c>
      <c r="D83" s="2694" t="e">
        <f>D81/D82</f>
        <v>#DIV/0!</v>
      </c>
      <c r="E83" s="2695"/>
      <c r="F83" s="1753"/>
      <c r="G83" s="1775"/>
      <c r="H83" s="1753"/>
      <c r="I83" s="1753"/>
      <c r="J83" s="2683">
        <f>J81/J82</f>
        <v>0</v>
      </c>
      <c r="K83" s="2684"/>
      <c r="L83" s="1753"/>
      <c r="M83" s="1775"/>
      <c r="N83" s="1753"/>
      <c r="O83" s="1753"/>
      <c r="P83" s="2683" t="e">
        <f>P81/P82</f>
        <v>#DIV/0!</v>
      </c>
      <c r="Q83" s="2684"/>
      <c r="R83" s="1753"/>
      <c r="S83" s="1775"/>
      <c r="T83" s="1753"/>
      <c r="U83" s="1753"/>
      <c r="V83" s="2683">
        <f>V81/V82</f>
        <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1">(A91*$E$8)+SUM($F$11:$F$16)</f>
        <v>0</v>
      </c>
      <c r="C91" s="11"/>
      <c r="D91" s="328">
        <f>$D$78</f>
        <v>0</v>
      </c>
      <c r="E91" s="329">
        <f t="shared" ref="E91:E103" si="62">$D$79</f>
        <v>0</v>
      </c>
      <c r="F91" s="330">
        <f t="shared" ref="F91:F103" si="63">$D$80</f>
        <v>0</v>
      </c>
      <c r="G91" s="1776">
        <f t="shared" ref="G91:G103" si="64">SUM(D91:F91)</f>
        <v>0</v>
      </c>
      <c r="J91" s="332">
        <f t="shared" ref="J91:J103" si="65">B91-G91</f>
        <v>0</v>
      </c>
      <c r="K91" s="333">
        <f t="shared" ref="K91:K103" si="66">J91/A91</f>
        <v>0</v>
      </c>
      <c r="L91" s="334"/>
      <c r="AA91" s="1793">
        <f t="shared" ref="AA91:AA103" si="67">G91/A91</f>
        <v>0</v>
      </c>
    </row>
    <row r="92" spans="1:27" hidden="1">
      <c r="A92" s="329">
        <f>A93-$B$86</f>
        <v>-1000</v>
      </c>
      <c r="B92" s="329">
        <f t="shared" si="61"/>
        <v>0</v>
      </c>
      <c r="C92" s="328">
        <f>(B92-B91)/(A92-A91)</f>
        <v>0</v>
      </c>
      <c r="D92" s="328">
        <f>$D$78</f>
        <v>0</v>
      </c>
      <c r="E92" s="329">
        <f t="shared" si="62"/>
        <v>0</v>
      </c>
      <c r="F92" s="330">
        <f t="shared" si="63"/>
        <v>0</v>
      </c>
      <c r="G92" s="1776">
        <f t="shared" si="64"/>
        <v>0</v>
      </c>
      <c r="J92" s="332">
        <f t="shared" si="65"/>
        <v>0</v>
      </c>
      <c r="K92" s="333">
        <f t="shared" si="66"/>
        <v>0</v>
      </c>
      <c r="L92" s="334">
        <f t="shared" ref="L92:L103" si="68">(G92-G91)/(A92-A91)</f>
        <v>0</v>
      </c>
      <c r="M92" s="1777" t="e">
        <f>(B92-B93)/B93</f>
        <v>#DIV/0!</v>
      </c>
      <c r="N92" s="341">
        <v>0</v>
      </c>
      <c r="O92" s="341"/>
      <c r="AA92" s="1793">
        <f t="shared" si="67"/>
        <v>0</v>
      </c>
    </row>
    <row r="93" spans="1:27" hidden="1">
      <c r="A93" s="329">
        <f>A94-$B$86</f>
        <v>-500</v>
      </c>
      <c r="B93" s="329">
        <f t="shared" si="61"/>
        <v>0</v>
      </c>
      <c r="C93" s="328">
        <f>(B93-B92)/(A93-A92)</f>
        <v>0</v>
      </c>
      <c r="D93" s="328">
        <f>$D$78</f>
        <v>0</v>
      </c>
      <c r="E93" s="329">
        <f t="shared" si="62"/>
        <v>0</v>
      </c>
      <c r="F93" s="330">
        <f t="shared" si="63"/>
        <v>0</v>
      </c>
      <c r="G93" s="1776">
        <f t="shared" si="64"/>
        <v>0</v>
      </c>
      <c r="J93" s="332">
        <f t="shared" si="65"/>
        <v>0</v>
      </c>
      <c r="K93" s="333">
        <f t="shared" si="66"/>
        <v>0</v>
      </c>
      <c r="L93" s="334">
        <f t="shared" si="68"/>
        <v>0</v>
      </c>
      <c r="M93" s="1777" t="e">
        <f>(B93-B94)/B94</f>
        <v>#DIV/0!</v>
      </c>
      <c r="N93" s="341">
        <v>0</v>
      </c>
      <c r="O93" s="341"/>
      <c r="AA93" s="1793">
        <f t="shared" si="67"/>
        <v>0</v>
      </c>
    </row>
    <row r="94" spans="1:27" hidden="1">
      <c r="A94" s="336">
        <f>D8</f>
        <v>0</v>
      </c>
      <c r="B94" s="336">
        <f t="shared" si="61"/>
        <v>0</v>
      </c>
      <c r="C94" s="338">
        <f>(B94-B93)/(A94-A93)</f>
        <v>0</v>
      </c>
      <c r="D94" s="328">
        <f>$D$78</f>
        <v>0</v>
      </c>
      <c r="E94" s="329">
        <f t="shared" si="62"/>
        <v>0</v>
      </c>
      <c r="F94" s="330">
        <f t="shared" si="63"/>
        <v>0</v>
      </c>
      <c r="G94" s="1776">
        <f t="shared" si="64"/>
        <v>0</v>
      </c>
      <c r="J94" s="332">
        <f t="shared" si="65"/>
        <v>0</v>
      </c>
      <c r="K94" s="333" t="e">
        <f t="shared" si="66"/>
        <v>#DIV/0!</v>
      </c>
      <c r="L94" s="334">
        <f t="shared" si="68"/>
        <v>0</v>
      </c>
      <c r="M94" s="1777">
        <v>0</v>
      </c>
      <c r="N94" s="341" t="e">
        <f t="shared" ref="N94:N103" si="69">(G94-G93)/G93</f>
        <v>#DIV/0!</v>
      </c>
      <c r="O94" s="341"/>
      <c r="AA94" s="1793" t="e">
        <f t="shared" si="67"/>
        <v>#DIV/0!</v>
      </c>
    </row>
    <row r="95" spans="1:27" hidden="1">
      <c r="A95" s="329">
        <f t="shared" ref="A95:A103" si="70">A94+$B$86</f>
        <v>500</v>
      </c>
      <c r="B95" s="329">
        <f t="shared" si="61"/>
        <v>0</v>
      </c>
      <c r="C95" s="328">
        <f t="shared" ref="C95:C103" si="71">(B95-B94)/(A95-A94)</f>
        <v>0</v>
      </c>
      <c r="D95" s="328">
        <f t="shared" ref="D95:D103" si="72">($B$87*D94)+D94</f>
        <v>0</v>
      </c>
      <c r="E95" s="329">
        <f t="shared" si="62"/>
        <v>0</v>
      </c>
      <c r="F95" s="330">
        <f t="shared" si="63"/>
        <v>0</v>
      </c>
      <c r="G95" s="1776">
        <f t="shared" si="64"/>
        <v>0</v>
      </c>
      <c r="J95" s="332">
        <f t="shared" si="65"/>
        <v>0</v>
      </c>
      <c r="K95" s="333">
        <f t="shared" si="66"/>
        <v>0</v>
      </c>
      <c r="L95" s="334">
        <f t="shared" si="68"/>
        <v>0</v>
      </c>
      <c r="M95" s="1777" t="e">
        <f t="shared" ref="M95:M103" si="73">(B95-B94)/B94</f>
        <v>#DIV/0!</v>
      </c>
      <c r="N95" s="341" t="e">
        <f t="shared" si="69"/>
        <v>#DIV/0!</v>
      </c>
      <c r="O95" s="341"/>
      <c r="AA95" s="1793">
        <f t="shared" si="67"/>
        <v>0</v>
      </c>
    </row>
    <row r="96" spans="1:27" hidden="1">
      <c r="A96" s="329">
        <f t="shared" si="70"/>
        <v>1000</v>
      </c>
      <c r="B96" s="329">
        <f t="shared" si="61"/>
        <v>0</v>
      </c>
      <c r="C96" s="328">
        <f t="shared" si="71"/>
        <v>0</v>
      </c>
      <c r="D96" s="328">
        <f t="shared" si="72"/>
        <v>0</v>
      </c>
      <c r="E96" s="329">
        <f t="shared" si="62"/>
        <v>0</v>
      </c>
      <c r="F96" s="330">
        <f t="shared" si="63"/>
        <v>0</v>
      </c>
      <c r="G96" s="1776">
        <f t="shared" si="64"/>
        <v>0</v>
      </c>
      <c r="J96" s="332">
        <f t="shared" si="65"/>
        <v>0</v>
      </c>
      <c r="K96" s="333">
        <f t="shared" si="66"/>
        <v>0</v>
      </c>
      <c r="L96" s="334">
        <f t="shared" si="68"/>
        <v>0</v>
      </c>
      <c r="M96" s="1777" t="e">
        <f t="shared" si="73"/>
        <v>#DIV/0!</v>
      </c>
      <c r="N96" s="341" t="e">
        <f t="shared" si="69"/>
        <v>#DIV/0!</v>
      </c>
      <c r="O96" s="341"/>
      <c r="AA96" s="1793">
        <f t="shared" si="67"/>
        <v>0</v>
      </c>
    </row>
    <row r="97" spans="1:27" hidden="1">
      <c r="A97" s="329">
        <f t="shared" si="70"/>
        <v>1500</v>
      </c>
      <c r="B97" s="329">
        <f t="shared" si="61"/>
        <v>0</v>
      </c>
      <c r="C97" s="328">
        <f t="shared" si="71"/>
        <v>0</v>
      </c>
      <c r="D97" s="328">
        <f t="shared" si="72"/>
        <v>0</v>
      </c>
      <c r="E97" s="329">
        <f t="shared" si="62"/>
        <v>0</v>
      </c>
      <c r="F97" s="330">
        <f t="shared" si="63"/>
        <v>0</v>
      </c>
      <c r="G97" s="1776">
        <f t="shared" si="64"/>
        <v>0</v>
      </c>
      <c r="J97" s="332">
        <f t="shared" si="65"/>
        <v>0</v>
      </c>
      <c r="K97" s="333">
        <f t="shared" si="66"/>
        <v>0</v>
      </c>
      <c r="L97" s="334">
        <f t="shared" si="68"/>
        <v>0</v>
      </c>
      <c r="M97" s="1777" t="e">
        <f t="shared" si="73"/>
        <v>#DIV/0!</v>
      </c>
      <c r="N97" s="341" t="e">
        <f t="shared" si="69"/>
        <v>#DIV/0!</v>
      </c>
      <c r="O97" s="341"/>
      <c r="AA97" s="1793">
        <f t="shared" si="67"/>
        <v>0</v>
      </c>
    </row>
    <row r="98" spans="1:27" hidden="1">
      <c r="A98" s="329">
        <f t="shared" si="70"/>
        <v>2000</v>
      </c>
      <c r="B98" s="329">
        <f t="shared" si="61"/>
        <v>0</v>
      </c>
      <c r="C98" s="328">
        <f t="shared" si="71"/>
        <v>0</v>
      </c>
      <c r="D98" s="328">
        <f t="shared" si="72"/>
        <v>0</v>
      </c>
      <c r="E98" s="329">
        <f t="shared" si="62"/>
        <v>0</v>
      </c>
      <c r="F98" s="330">
        <f t="shared" si="63"/>
        <v>0</v>
      </c>
      <c r="G98" s="1776">
        <f t="shared" si="64"/>
        <v>0</v>
      </c>
      <c r="J98" s="332">
        <f t="shared" si="65"/>
        <v>0</v>
      </c>
      <c r="K98" s="333">
        <f t="shared" si="66"/>
        <v>0</v>
      </c>
      <c r="L98" s="334">
        <f t="shared" si="68"/>
        <v>0</v>
      </c>
      <c r="M98" s="1777" t="e">
        <f t="shared" si="73"/>
        <v>#DIV/0!</v>
      </c>
      <c r="N98" s="341" t="e">
        <f t="shared" si="69"/>
        <v>#DIV/0!</v>
      </c>
      <c r="O98" s="341"/>
      <c r="AA98" s="1793">
        <f t="shared" si="67"/>
        <v>0</v>
      </c>
    </row>
    <row r="99" spans="1:27" hidden="1">
      <c r="A99" s="329">
        <f t="shared" si="70"/>
        <v>2500</v>
      </c>
      <c r="B99" s="329">
        <f t="shared" si="61"/>
        <v>0</v>
      </c>
      <c r="C99" s="328">
        <f t="shared" si="71"/>
        <v>0</v>
      </c>
      <c r="D99" s="328">
        <f t="shared" si="72"/>
        <v>0</v>
      </c>
      <c r="E99" s="329">
        <f t="shared" si="62"/>
        <v>0</v>
      </c>
      <c r="F99" s="330">
        <f t="shared" si="63"/>
        <v>0</v>
      </c>
      <c r="G99" s="1776">
        <f t="shared" si="64"/>
        <v>0</v>
      </c>
      <c r="J99" s="332">
        <f t="shared" si="65"/>
        <v>0</v>
      </c>
      <c r="K99" s="333">
        <f t="shared" si="66"/>
        <v>0</v>
      </c>
      <c r="L99" s="334">
        <f t="shared" si="68"/>
        <v>0</v>
      </c>
      <c r="M99" s="1777" t="e">
        <f t="shared" si="73"/>
        <v>#DIV/0!</v>
      </c>
      <c r="N99" s="341" t="e">
        <f t="shared" si="69"/>
        <v>#DIV/0!</v>
      </c>
      <c r="O99" s="341"/>
      <c r="AA99" s="1793">
        <f t="shared" si="67"/>
        <v>0</v>
      </c>
    </row>
    <row r="100" spans="1:27" hidden="1">
      <c r="A100" s="329">
        <f t="shared" si="70"/>
        <v>3000</v>
      </c>
      <c r="B100" s="329">
        <f t="shared" si="61"/>
        <v>0</v>
      </c>
      <c r="C100" s="328">
        <f t="shared" si="71"/>
        <v>0</v>
      </c>
      <c r="D100" s="328">
        <f t="shared" si="72"/>
        <v>0</v>
      </c>
      <c r="E100" s="329">
        <f t="shared" si="62"/>
        <v>0</v>
      </c>
      <c r="F100" s="330">
        <f t="shared" si="63"/>
        <v>0</v>
      </c>
      <c r="G100" s="1776">
        <f t="shared" si="64"/>
        <v>0</v>
      </c>
      <c r="J100" s="332">
        <f t="shared" si="65"/>
        <v>0</v>
      </c>
      <c r="K100" s="333">
        <f t="shared" si="66"/>
        <v>0</v>
      </c>
      <c r="L100" s="334">
        <f t="shared" si="68"/>
        <v>0</v>
      </c>
      <c r="M100" s="1777" t="e">
        <f t="shared" si="73"/>
        <v>#DIV/0!</v>
      </c>
      <c r="N100" s="341" t="e">
        <f t="shared" si="69"/>
        <v>#DIV/0!</v>
      </c>
      <c r="O100" s="341"/>
      <c r="AA100" s="1793">
        <f t="shared" si="67"/>
        <v>0</v>
      </c>
    </row>
    <row r="101" spans="1:27" hidden="1">
      <c r="A101" s="329">
        <f t="shared" si="70"/>
        <v>3500</v>
      </c>
      <c r="B101" s="329">
        <f t="shared" si="61"/>
        <v>0</v>
      </c>
      <c r="C101" s="328">
        <f t="shared" si="71"/>
        <v>0</v>
      </c>
      <c r="D101" s="328">
        <f t="shared" si="72"/>
        <v>0</v>
      </c>
      <c r="E101" s="329">
        <f t="shared" si="62"/>
        <v>0</v>
      </c>
      <c r="F101" s="330">
        <f t="shared" si="63"/>
        <v>0</v>
      </c>
      <c r="G101" s="1776">
        <f t="shared" si="64"/>
        <v>0</v>
      </c>
      <c r="J101" s="332">
        <f t="shared" si="65"/>
        <v>0</v>
      </c>
      <c r="K101" s="333">
        <f t="shared" si="66"/>
        <v>0</v>
      </c>
      <c r="L101" s="334">
        <f t="shared" si="68"/>
        <v>0</v>
      </c>
      <c r="M101" s="1777" t="e">
        <f t="shared" si="73"/>
        <v>#DIV/0!</v>
      </c>
      <c r="N101" s="341" t="e">
        <f t="shared" si="69"/>
        <v>#DIV/0!</v>
      </c>
      <c r="O101" s="341"/>
      <c r="AA101" s="1793">
        <f t="shared" si="67"/>
        <v>0</v>
      </c>
    </row>
    <row r="102" spans="1:27" hidden="1">
      <c r="A102" s="329">
        <f t="shared" si="70"/>
        <v>4000</v>
      </c>
      <c r="B102" s="329">
        <f t="shared" si="61"/>
        <v>0</v>
      </c>
      <c r="C102" s="328">
        <f t="shared" si="71"/>
        <v>0</v>
      </c>
      <c r="D102" s="328">
        <f t="shared" si="72"/>
        <v>0</v>
      </c>
      <c r="E102" s="329">
        <f t="shared" si="62"/>
        <v>0</v>
      </c>
      <c r="F102" s="330">
        <f t="shared" si="63"/>
        <v>0</v>
      </c>
      <c r="G102" s="1776">
        <f t="shared" si="64"/>
        <v>0</v>
      </c>
      <c r="J102" s="332">
        <f t="shared" si="65"/>
        <v>0</v>
      </c>
      <c r="K102" s="333">
        <f t="shared" si="66"/>
        <v>0</v>
      </c>
      <c r="L102" s="334">
        <f t="shared" si="68"/>
        <v>0</v>
      </c>
      <c r="M102" s="1777" t="e">
        <f t="shared" si="73"/>
        <v>#DIV/0!</v>
      </c>
      <c r="N102" s="341" t="e">
        <f t="shared" si="69"/>
        <v>#DIV/0!</v>
      </c>
      <c r="O102" s="341"/>
      <c r="AA102" s="1793">
        <f t="shared" si="67"/>
        <v>0</v>
      </c>
    </row>
    <row r="103" spans="1:27" hidden="1">
      <c r="A103" s="329">
        <f t="shared" si="70"/>
        <v>4500</v>
      </c>
      <c r="B103" s="329">
        <f t="shared" si="61"/>
        <v>0</v>
      </c>
      <c r="C103" s="328">
        <f t="shared" si="71"/>
        <v>0</v>
      </c>
      <c r="D103" s="328">
        <f t="shared" si="72"/>
        <v>0</v>
      </c>
      <c r="E103" s="329">
        <f t="shared" si="62"/>
        <v>0</v>
      </c>
      <c r="F103" s="330">
        <f t="shared" si="63"/>
        <v>0</v>
      </c>
      <c r="G103" s="1776">
        <f t="shared" si="64"/>
        <v>0</v>
      </c>
      <c r="J103" s="332">
        <f t="shared" si="65"/>
        <v>0</v>
      </c>
      <c r="K103" s="333">
        <f t="shared" si="66"/>
        <v>0</v>
      </c>
      <c r="L103" s="334">
        <f t="shared" si="68"/>
        <v>0</v>
      </c>
      <c r="M103" s="1777" t="e">
        <f t="shared" si="73"/>
        <v>#DIV/0!</v>
      </c>
      <c r="N103" s="341" t="e">
        <f t="shared" si="69"/>
        <v>#DIV/0!</v>
      </c>
      <c r="O103" s="341"/>
      <c r="AA103" s="1793">
        <f t="shared" si="67"/>
        <v>0</v>
      </c>
    </row>
  </sheetData>
  <sheetProtection sheet="1" scenarios="1" formatCells="0" formatColumns="0" formatRows="0"/>
  <mergeCells count="29">
    <mergeCell ref="X5:X6"/>
    <mergeCell ref="D81:E81"/>
    <mergeCell ref="D82:E82"/>
    <mergeCell ref="D83:E83"/>
    <mergeCell ref="R5:R6"/>
    <mergeCell ref="L5:L6"/>
    <mergeCell ref="F5:F6"/>
    <mergeCell ref="V83:W83"/>
    <mergeCell ref="V78:W78"/>
    <mergeCell ref="V79:W79"/>
    <mergeCell ref="V80:W80"/>
    <mergeCell ref="V81:W81"/>
    <mergeCell ref="V82:W82"/>
    <mergeCell ref="A50:A53"/>
    <mergeCell ref="J83:K83"/>
    <mergeCell ref="P78:Q78"/>
    <mergeCell ref="P79:Q79"/>
    <mergeCell ref="P80:Q80"/>
    <mergeCell ref="P81:Q81"/>
    <mergeCell ref="P82:Q82"/>
    <mergeCell ref="P83:Q83"/>
    <mergeCell ref="J78:K78"/>
    <mergeCell ref="J79:K79"/>
    <mergeCell ref="J80:K80"/>
    <mergeCell ref="J81:K81"/>
    <mergeCell ref="J82:K82"/>
    <mergeCell ref="D78:E78"/>
    <mergeCell ref="D79:E79"/>
    <mergeCell ref="D80:E80"/>
  </mergeCells>
  <hyperlinks>
    <hyperlink ref="B2" location="Lähtötiedot" display="Lähtötiedot" xr:uid="{00000000-0004-0000-0F00-000000000000}"/>
    <hyperlink ref="B34" location="'Traktorin tuntihinta'!A1" display="Konelaskuri" xr:uid="{00000000-0004-0000-0F00-000001000000}"/>
  </hyperlinks>
  <pageMargins left="0.25" right="0.25" top="0.75" bottom="0.75" header="0.3" footer="0.3"/>
  <pageSetup paperSize="9" scale="36" firstPageNumber="0" orientation="portrait" horizontalDpi="300" verticalDpi="300" r:id="rId1"/>
  <headerFooter alignWithMargins="0"/>
  <colBreaks count="1" manualBreakCount="1">
    <brk id="12" max="82" man="1"/>
  </colBreaks>
  <drawing r:id="rId2"/>
  <legacyDrawing r:id="rId3"/>
  <oleObjects>
    <mc:AlternateContent xmlns:mc="http://schemas.openxmlformats.org/markup-compatibility/2006">
      <mc:Choice Requires="x14">
        <oleObject progId="AcroExch.pdfxml.1" dvAspect="DVASPECT_ICON" shapeId="262158" r:id="rId4">
          <objectPr defaultSize="0" autoPict="0" r:id="rId5">
            <anchor moveWithCells="1">
              <from>
                <xdr:col>0</xdr:col>
                <xdr:colOff>2019300</xdr:colOff>
                <xdr:row>3</xdr:row>
                <xdr:rowOff>9525</xdr:rowOff>
              </from>
              <to>
                <xdr:col>0</xdr:col>
                <xdr:colOff>2733675</xdr:colOff>
                <xdr:row>5</xdr:row>
                <xdr:rowOff>114300</xdr:rowOff>
              </to>
            </anchor>
          </objectPr>
        </oleObject>
      </mc:Choice>
      <mc:Fallback>
        <oleObject progId="AcroExch.pdfxml.1" dvAspect="DVASPECT_ICON" shapeId="262158"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Lähtötiedot!$A$88:$A$93</xm:f>
          </x14:formula1>
          <xm:sqref>AG31 AG34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2.5703125" customWidth="1"/>
    <col min="26" max="26" width="8.85546875" customWidth="1"/>
    <col min="27" max="27" width="34.42578125" style="1763" customWidth="1"/>
    <col min="28" max="28" width="14" customWidth="1"/>
    <col min="29" max="29" width="14.140625" customWidth="1"/>
    <col min="30" max="30" width="11.5703125" customWidth="1"/>
    <col min="31" max="31" width="14.42578125" customWidth="1"/>
    <col min="33" max="33" width="18.42578125" customWidth="1"/>
    <col min="34" max="34" width="16.85546875" customWidth="1"/>
    <col min="35" max="35" width="11.5703125" customWidth="1"/>
    <col min="36" max="36" width="12.140625" customWidth="1"/>
    <col min="37" max="37" width="11.140625" customWidth="1"/>
  </cols>
  <sheetData>
    <row r="1" spans="1:39" ht="39"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Lähtötiedot!A16</f>
        <v xml:space="preserve">LaskeMonivuotiset marjakasvit 2 </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Lähtötiedot!F16</f>
        <v>kasvi</v>
      </c>
      <c r="B3" s="247" t="s">
        <v>188</v>
      </c>
      <c r="C3" s="247"/>
      <c r="D3" s="247"/>
      <c r="E3" s="1815">
        <f>Lähtötiedot!C4</f>
        <v>2027</v>
      </c>
      <c r="F3" s="247"/>
      <c r="G3" s="1806" t="s">
        <v>414</v>
      </c>
    </row>
    <row r="4" spans="1:39" ht="18.75" thickBot="1">
      <c r="B4" s="1797" t="s">
        <v>415</v>
      </c>
      <c r="C4" s="1560"/>
      <c r="D4" s="1798"/>
      <c r="E4" s="1799">
        <f>Lähtötiedot!C16</f>
        <v>0</v>
      </c>
      <c r="F4" s="247" t="str">
        <f>Lähtötiedot!D11</f>
        <v>ha</v>
      </c>
      <c r="G4" s="1803">
        <f>IF(D46&gt;0,E4/D46,0)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44"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44" ht="13.5" thickBot="1">
      <c r="A18" s="12" t="s">
        <v>137</v>
      </c>
      <c r="D18" s="1939">
        <f>SUM(D8:D10)</f>
        <v>0</v>
      </c>
      <c r="G18" s="1772"/>
      <c r="J18" s="1939">
        <f>SUM(J8:J10)</f>
        <v>0</v>
      </c>
      <c r="M18" s="1772"/>
      <c r="P18" s="1939">
        <f>SUM(P8:P10)</f>
        <v>0</v>
      </c>
      <c r="S18" s="1772"/>
      <c r="V18" s="1939">
        <f>SUM(V8:V10)</f>
        <v>0</v>
      </c>
      <c r="Y18" s="52"/>
      <c r="AA18" s="1772"/>
    </row>
    <row r="19" spans="1:44" ht="15.75" thickBot="1">
      <c r="A19" s="1968" t="s">
        <v>562</v>
      </c>
      <c r="B19" s="1967" t="s">
        <v>563</v>
      </c>
      <c r="C19" s="1966">
        <v>5</v>
      </c>
      <c r="G19" s="1772"/>
      <c r="M19" s="1772"/>
      <c r="S19" s="1772"/>
      <c r="Y19" s="52"/>
      <c r="AA19" s="1772"/>
    </row>
    <row r="20" spans="1:44"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44" s="14" customFormat="1" ht="15">
      <c r="G21" s="1765"/>
      <c r="M21" s="1765"/>
      <c r="S21" s="1765"/>
      <c r="X21" s="1765"/>
      <c r="AA21" s="1765"/>
    </row>
    <row r="22" spans="1:44"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44" s="14" customFormat="1" ht="15">
      <c r="A23" s="277" t="s">
        <v>516</v>
      </c>
      <c r="B23" s="88" t="str">
        <f>"Oletus: sato pakataan "&amp;C19&amp;" "&amp;B19</f>
        <v>Oletus: sato pakataan 5 kg/laatikko</v>
      </c>
      <c r="C23" s="165" t="str">
        <f t="shared" ref="C23:C29"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44"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44"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44"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44"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44"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44"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44" ht="15.75" thickBot="1">
      <c r="A30" s="277" t="s">
        <v>518</v>
      </c>
      <c r="B30" s="277"/>
      <c r="C30" s="165" t="s">
        <v>564</v>
      </c>
      <c r="D30" s="282">
        <v>0</v>
      </c>
      <c r="E30" s="1739"/>
      <c r="F30" s="1778">
        <f t="shared" si="22"/>
        <v>0</v>
      </c>
      <c r="G30" s="1771" t="e">
        <f t="shared" si="23"/>
        <v>#DIV/0!</v>
      </c>
      <c r="H30" s="1755" t="str">
        <f t="shared" si="24"/>
        <v>l</v>
      </c>
      <c r="I30" s="1954">
        <v>1</v>
      </c>
      <c r="J30" s="282">
        <f>$D30*I30</f>
        <v>0</v>
      </c>
      <c r="K30" s="1740">
        <f t="shared" si="25"/>
        <v>0</v>
      </c>
      <c r="L30" s="1778">
        <f t="shared" si="33"/>
        <v>0</v>
      </c>
      <c r="M30" s="1771" t="e">
        <f t="shared" si="26"/>
        <v>#DIV/0!</v>
      </c>
      <c r="N30" s="1755" t="str">
        <f t="shared" si="27"/>
        <v>l</v>
      </c>
      <c r="O30" s="1954">
        <v>1</v>
      </c>
      <c r="P30" s="282">
        <f>$D30*O30</f>
        <v>0</v>
      </c>
      <c r="Q30" s="1740">
        <f t="shared" si="28"/>
        <v>0</v>
      </c>
      <c r="R30" s="1778">
        <f t="shared" si="34"/>
        <v>0</v>
      </c>
      <c r="S30" s="1771" t="e">
        <f t="shared" si="29"/>
        <v>#DIV/0!</v>
      </c>
      <c r="T30" s="1755" t="str">
        <f t="shared" si="30"/>
        <v>l</v>
      </c>
      <c r="U30" s="1954">
        <v>1</v>
      </c>
      <c r="V30" s="282">
        <f>$D30*U30</f>
        <v>0</v>
      </c>
      <c r="W30" s="1740">
        <f t="shared" si="31"/>
        <v>0</v>
      </c>
      <c r="X30" s="1778">
        <f t="shared" si="35"/>
        <v>0</v>
      </c>
      <c r="Y30" s="1771" t="e">
        <f t="shared" si="32"/>
        <v>#DIV/0!</v>
      </c>
      <c r="AA30" s="1786">
        <f t="shared" si="20"/>
        <v>0</v>
      </c>
      <c r="AG30" s="14"/>
      <c r="AH30" s="14"/>
      <c r="AI30" s="14"/>
      <c r="AJ30" s="14"/>
      <c r="AK30" s="14"/>
      <c r="AL30" s="14"/>
      <c r="AM30" s="14"/>
      <c r="AN30" s="14"/>
      <c r="AO30" s="14"/>
      <c r="AP30" s="14"/>
      <c r="AQ30" s="14"/>
      <c r="AR30" s="14"/>
    </row>
    <row r="31" spans="1:44" ht="15.75">
      <c r="A31" s="277"/>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c r="AN31" s="14"/>
      <c r="AO31" s="14"/>
      <c r="AP31" s="14"/>
      <c r="AQ31" s="14"/>
      <c r="AR31" s="14"/>
    </row>
    <row r="32" spans="1:44" ht="15">
      <c r="A32" s="277" t="s">
        <v>1614</v>
      </c>
      <c r="B32" s="277"/>
      <c r="C32" s="165" t="s">
        <v>15</v>
      </c>
      <c r="D32" s="282">
        <v>0</v>
      </c>
      <c r="E32" s="1739"/>
      <c r="F32" s="1778">
        <f t="shared" si="22"/>
        <v>0</v>
      </c>
      <c r="G32" s="1771" t="e">
        <f>F32/F$59</f>
        <v>#DIV/0!</v>
      </c>
      <c r="H32" s="1755" t="str">
        <f t="shared" si="24"/>
        <v>h</v>
      </c>
      <c r="I32" s="1954">
        <v>1</v>
      </c>
      <c r="J32" s="282">
        <f>$D32*I32</f>
        <v>0</v>
      </c>
      <c r="K32" s="1740">
        <f t="shared" si="25"/>
        <v>0</v>
      </c>
      <c r="L32" s="1778">
        <f t="shared" si="33"/>
        <v>0</v>
      </c>
      <c r="M32" s="1771" t="e">
        <f t="shared" si="26"/>
        <v>#DIV/0!</v>
      </c>
      <c r="N32" s="1755" t="str">
        <f t="shared" si="27"/>
        <v>h</v>
      </c>
      <c r="O32" s="1954">
        <v>1</v>
      </c>
      <c r="P32" s="282">
        <f>$D32*O32</f>
        <v>0</v>
      </c>
      <c r="Q32" s="1740">
        <f t="shared" si="28"/>
        <v>0</v>
      </c>
      <c r="R32" s="1778">
        <f t="shared" si="34"/>
        <v>0</v>
      </c>
      <c r="S32" s="1771" t="e">
        <f t="shared" si="29"/>
        <v>#DIV/0!</v>
      </c>
      <c r="T32" s="1755" t="str">
        <f t="shared" si="30"/>
        <v>h</v>
      </c>
      <c r="U32" s="1954">
        <v>1</v>
      </c>
      <c r="V32" s="282">
        <f>$D32*U32</f>
        <v>0</v>
      </c>
      <c r="W32" s="1740">
        <f t="shared" si="31"/>
        <v>0</v>
      </c>
      <c r="X32" s="1778">
        <f t="shared" si="35"/>
        <v>0</v>
      </c>
      <c r="Y32" s="1771" t="e">
        <f t="shared" si="32"/>
        <v>#DIV/0!</v>
      </c>
      <c r="AA32" s="1786">
        <f t="shared" si="20"/>
        <v>0</v>
      </c>
      <c r="AG32" s="14"/>
      <c r="AH32" s="14"/>
      <c r="AI32" s="14"/>
      <c r="AJ32" s="14"/>
      <c r="AK32" s="14"/>
      <c r="AL32" s="14"/>
      <c r="AM32" s="14"/>
      <c r="AN32" s="14"/>
      <c r="AO32" s="14"/>
      <c r="AP32" s="14"/>
      <c r="AQ32" s="14"/>
      <c r="AR32" s="14"/>
    </row>
    <row r="33" spans="1:44"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2101" t="str">
        <f>IF(AA33&lt;&gt;B33,"Et käyttänyt alkuperäistä summaa "&amp;TEXT(B33,"#,##")&amp;". Tarkista ero:"&amp;TEXT(AM33,"#,##€"),"Ok")</f>
        <v>Ok</v>
      </c>
      <c r="AG33" s="14"/>
      <c r="AH33" s="14"/>
      <c r="AI33" s="14"/>
      <c r="AJ33" s="14"/>
      <c r="AK33" s="14"/>
      <c r="AL33" s="14"/>
      <c r="AM33" s="14"/>
      <c r="AN33" s="14"/>
      <c r="AO33" s="14"/>
      <c r="AP33" s="14"/>
      <c r="AQ33" s="14"/>
      <c r="AR33" s="14"/>
    </row>
    <row r="34" spans="1:44"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c r="AN34" s="14"/>
      <c r="AO34" s="14"/>
      <c r="AP34" s="14"/>
      <c r="AQ34" s="14"/>
      <c r="AR34" s="14"/>
    </row>
    <row r="35" spans="1:44"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c r="AN35" s="14"/>
      <c r="AO35" s="14"/>
      <c r="AP35" s="14"/>
      <c r="AQ35" s="14"/>
      <c r="AR35" s="14"/>
    </row>
    <row r="36" spans="1:44"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c r="AN36" s="14"/>
      <c r="AO36" s="14"/>
      <c r="AP36" s="14"/>
      <c r="AQ36" s="14"/>
      <c r="AR36" s="14"/>
    </row>
    <row r="37" spans="1:44"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c r="AN37" s="14"/>
      <c r="AO37" s="14"/>
      <c r="AP37" s="14"/>
      <c r="AQ37" s="14"/>
      <c r="AR37" s="14"/>
    </row>
    <row r="38" spans="1:44"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c r="AN38" s="14"/>
      <c r="AO38" s="14"/>
      <c r="AP38" s="14"/>
      <c r="AQ38" s="14"/>
      <c r="AR38" s="14"/>
    </row>
    <row r="39" spans="1:44"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c r="AN39" s="14"/>
      <c r="AO39" s="14"/>
      <c r="AP39" s="14"/>
      <c r="AQ39" s="14"/>
      <c r="AR39" s="14"/>
    </row>
    <row r="40" spans="1:44" ht="15">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c r="AB40" s="814"/>
      <c r="AG40" s="14"/>
      <c r="AH40" s="14"/>
      <c r="AI40" s="14"/>
      <c r="AJ40" s="14"/>
      <c r="AK40" s="14"/>
      <c r="AL40" s="14"/>
      <c r="AM40" s="14"/>
      <c r="AN40" s="14"/>
      <c r="AO40" s="14"/>
      <c r="AP40" s="14"/>
      <c r="AQ40" s="14"/>
      <c r="AR40" s="14"/>
    </row>
    <row r="41" spans="1:44" ht="15">
      <c r="G41" s="1772"/>
      <c r="M41" s="1772"/>
      <c r="S41" s="1772"/>
      <c r="Y41" s="52"/>
      <c r="AA41" s="1772"/>
      <c r="AB41" s="814"/>
      <c r="AG41" s="14"/>
      <c r="AH41" s="14"/>
      <c r="AI41" s="14"/>
      <c r="AJ41" s="14"/>
      <c r="AK41" s="14"/>
      <c r="AL41" s="14"/>
      <c r="AM41" s="14"/>
      <c r="AN41" s="14"/>
      <c r="AO41" s="14"/>
      <c r="AP41" s="14"/>
      <c r="AQ41" s="14"/>
      <c r="AR41" s="14"/>
    </row>
    <row r="42" spans="1:44"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B42" s="814"/>
      <c r="AG42" s="14"/>
      <c r="AH42" s="14"/>
      <c r="AI42" s="14"/>
      <c r="AJ42" s="14"/>
      <c r="AK42" s="14"/>
      <c r="AL42" s="14"/>
      <c r="AM42" s="14"/>
      <c r="AN42" s="14"/>
      <c r="AO42" s="14"/>
      <c r="AP42" s="14"/>
      <c r="AQ42" s="14"/>
      <c r="AR42" s="14"/>
    </row>
    <row r="43" spans="1:44"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B43" s="814"/>
      <c r="AG43" s="14"/>
      <c r="AH43" s="14"/>
      <c r="AI43" s="14"/>
      <c r="AJ43" s="14"/>
      <c r="AK43" s="14"/>
      <c r="AL43" s="14"/>
      <c r="AM43" s="14"/>
      <c r="AN43" s="14"/>
      <c r="AO43" s="14"/>
      <c r="AP43" s="14"/>
      <c r="AQ43" s="14"/>
      <c r="AR43" s="14"/>
    </row>
    <row r="44" spans="1:44" ht="18">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B44" s="814"/>
      <c r="AG44" s="14"/>
      <c r="AH44" s="14"/>
      <c r="AI44" s="14"/>
      <c r="AJ44" s="14"/>
      <c r="AK44" s="14"/>
      <c r="AL44" s="14"/>
      <c r="AM44" s="14"/>
      <c r="AN44" s="14"/>
      <c r="AO44" s="14"/>
      <c r="AP44" s="14"/>
      <c r="AQ44" s="14"/>
      <c r="AR44" s="14"/>
    </row>
    <row r="45" spans="1:44"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c r="AG45" s="14"/>
      <c r="AH45" s="14"/>
      <c r="AI45" s="14"/>
      <c r="AJ45" s="14"/>
      <c r="AK45" s="14"/>
      <c r="AL45" s="14"/>
      <c r="AM45" s="14"/>
      <c r="AN45" s="14"/>
      <c r="AO45" s="14"/>
      <c r="AP45" s="14"/>
      <c r="AQ45" s="14"/>
      <c r="AR45" s="14"/>
    </row>
    <row r="46" spans="1:44"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44"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44">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320"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000-000000000000}"/>
    <hyperlink ref="B34" location="'Traktorin tuntihinta'!A1" display="Konelaskuri" xr:uid="{00000000-0004-0000-10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Lähtötiedot!$A$88:$A$93</xm:f>
          </x14:formula1>
          <xm:sqref>AG34 AG31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6.85546875" customWidth="1"/>
    <col min="34" max="34" width="11.5703125" customWidth="1"/>
    <col min="35" max="35" width="12.28515625" customWidth="1"/>
    <col min="36" max="36" width="13.7109375" customWidth="1"/>
    <col min="37" max="37" width="12.5703125" customWidth="1"/>
    <col min="38" max="38" width="12.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Lähtötiedot!A17</f>
        <v>LaskeMonivuotiset marjakasvit 3</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Lähtötiedot!F17</f>
        <v>kasvi</v>
      </c>
      <c r="B3" s="247" t="s">
        <v>188</v>
      </c>
      <c r="C3" s="247"/>
      <c r="D3" s="247"/>
      <c r="E3" s="1815">
        <f>Lähtötiedot!C4</f>
        <v>2027</v>
      </c>
      <c r="F3" s="247"/>
      <c r="G3" s="1806" t="s">
        <v>414</v>
      </c>
    </row>
    <row r="4" spans="1:39" ht="18.75" thickBot="1">
      <c r="B4" s="1797" t="s">
        <v>415</v>
      </c>
      <c r="C4" s="1560"/>
      <c r="D4" s="1798"/>
      <c r="E4" s="1799">
        <f>Lähtötiedot!C17</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v>1</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2</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100-000000000000}"/>
    <hyperlink ref="B34" location="'Traktorin tuntihinta'!A1" display="Konelaskuri" xr:uid="{00000000-0004-0000-11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Lähtötiedot!$A$88:$A$93</xm:f>
          </x14:formula1>
          <xm:sqref>AG31 AG34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03"/>
  <sheetViews>
    <sheetView topLeftCell="B1" zoomScale="70" zoomScaleNormal="70" workbookViewId="0">
      <pane xSplit="1" topLeftCell="C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8.42578125" customWidth="1"/>
    <col min="34" max="34" width="12.7109375" customWidth="1"/>
    <col min="35" max="35" width="14.42578125" customWidth="1"/>
    <col min="36" max="36" width="13.140625" customWidth="1"/>
    <col min="37" max="38" width="11.85546875" customWidth="1"/>
    <col min="39" max="39" width="8.710937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Lähtötiedot!A18</f>
        <v>LaskeMonivuotiset marjakasvit 4 -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Lähtötiedot!F18</f>
        <v>kasvi</v>
      </c>
      <c r="B3" s="247" t="s">
        <v>188</v>
      </c>
      <c r="C3" s="247"/>
      <c r="D3" s="247"/>
      <c r="E3" s="1815">
        <f>Lähtötiedot!C4</f>
        <v>2027</v>
      </c>
      <c r="F3" s="247"/>
      <c r="G3" s="1806" t="s">
        <v>414</v>
      </c>
    </row>
    <row r="4" spans="1:39" ht="18.75" thickBot="1">
      <c r="B4" s="1797" t="s">
        <v>415</v>
      </c>
      <c r="C4" s="1560"/>
      <c r="D4" s="1798"/>
      <c r="E4" s="1799">
        <f>Lähtötiedot!C18</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v>1</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200-000000000000}"/>
    <hyperlink ref="B34" location="'Traktorin tuntihinta'!A1" display="Konelaskuri" xr:uid="{00000000-0004-0000-12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Lähtötiedot!$A$88:$A$93</xm:f>
          </x14:formula1>
          <xm:sqref>AG34 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29">
    <pageSetUpPr fitToPage="1"/>
  </sheetPr>
  <dimension ref="A1:AD37"/>
  <sheetViews>
    <sheetView zoomScale="80" zoomScaleNormal="80" workbookViewId="0">
      <selection activeCell="E39" sqref="E39"/>
    </sheetView>
  </sheetViews>
  <sheetFormatPr defaultRowHeight="12.75"/>
  <cols>
    <col min="1" max="1" width="5.140625" customWidth="1"/>
    <col min="2" max="2" width="24.7109375" customWidth="1"/>
    <col min="3" max="3" width="10.140625" customWidth="1"/>
    <col min="4" max="4" width="12.42578125" customWidth="1"/>
    <col min="5" max="5" width="10.85546875" customWidth="1"/>
    <col min="6" max="6" width="21.42578125" customWidth="1"/>
    <col min="7" max="7" width="11.5703125" customWidth="1"/>
    <col min="8" max="8" width="7.42578125" customWidth="1"/>
    <col min="9" max="9" width="10.5703125" customWidth="1"/>
    <col min="10" max="10" width="15.28515625" customWidth="1"/>
    <col min="11" max="11" width="11" customWidth="1"/>
    <col min="12" max="12" width="6.28515625" customWidth="1"/>
    <col min="13" max="13" width="10.140625" customWidth="1"/>
    <col min="14" max="14" width="13.85546875" customWidth="1"/>
    <col min="15" max="15" width="12.42578125" customWidth="1"/>
    <col min="16" max="16" width="5" customWidth="1"/>
    <col min="18" max="18" width="12.5703125" customWidth="1"/>
    <col min="19" max="19" width="11" customWidth="1"/>
    <col min="20" max="20" width="14.28515625" customWidth="1"/>
    <col min="21" max="21" width="12.7109375" customWidth="1"/>
    <col min="22" max="22" width="16" customWidth="1"/>
    <col min="23" max="23" width="11.140625" customWidth="1"/>
    <col min="24" max="24" width="13.5703125" customWidth="1"/>
    <col min="25" max="25" width="13.42578125" customWidth="1"/>
    <col min="26" max="26" width="14.28515625" customWidth="1"/>
    <col min="27" max="27" width="13.85546875" customWidth="1"/>
    <col min="28" max="28" width="12.7109375" customWidth="1"/>
  </cols>
  <sheetData>
    <row r="1" spans="1:30" ht="39" thickBot="1">
      <c r="A1" s="3" t="s">
        <v>0</v>
      </c>
      <c r="C1" s="3"/>
      <c r="E1" s="2577" t="s">
        <v>1</v>
      </c>
      <c r="F1" s="2577"/>
      <c r="G1" s="2577"/>
      <c r="H1" s="2568" t="s">
        <v>2</v>
      </c>
      <c r="I1" s="2568"/>
      <c r="J1" s="2568"/>
      <c r="L1" s="2568" t="s">
        <v>2</v>
      </c>
      <c r="M1" s="2568"/>
      <c r="N1" s="2568"/>
      <c r="P1" s="2568" t="s">
        <v>2</v>
      </c>
      <c r="Q1" s="2568"/>
      <c r="R1" s="2568"/>
      <c r="T1" s="3" t="s">
        <v>3</v>
      </c>
      <c r="U1" s="3"/>
      <c r="V1" s="2026" t="s">
        <v>1577</v>
      </c>
      <c r="W1" s="2027" t="s">
        <v>1590</v>
      </c>
      <c r="X1" s="2027" t="s">
        <v>1591</v>
      </c>
      <c r="Y1" s="2027" t="s">
        <v>1592</v>
      </c>
      <c r="Z1" s="2027" t="s">
        <v>1593</v>
      </c>
      <c r="AA1" s="2027" t="s">
        <v>1594</v>
      </c>
      <c r="AB1" s="2027" t="s">
        <v>1595</v>
      </c>
      <c r="AC1" s="2028"/>
      <c r="AD1" s="1656"/>
    </row>
    <row r="2" spans="1:30" ht="16.5" thickBot="1">
      <c r="A2" s="2573" t="s">
        <v>4</v>
      </c>
      <c r="B2" s="2574"/>
      <c r="C2" t="s">
        <v>5</v>
      </c>
      <c r="D2" s="1281" t="s">
        <v>6</v>
      </c>
      <c r="E2" s="2569" t="s">
        <v>7</v>
      </c>
      <c r="F2" s="2570"/>
      <c r="G2" s="839"/>
      <c r="H2" s="813"/>
      <c r="I2" s="2569" t="s">
        <v>7</v>
      </c>
      <c r="J2" s="2570"/>
      <c r="K2" s="839"/>
      <c r="L2" s="813"/>
      <c r="M2" s="2569" t="s">
        <v>8</v>
      </c>
      <c r="N2" s="2570"/>
      <c r="O2" s="839"/>
      <c r="P2" s="813"/>
      <c r="Q2" s="2569" t="s">
        <v>8</v>
      </c>
      <c r="R2" s="2570"/>
      <c r="S2" s="839"/>
      <c r="V2" s="1656"/>
      <c r="W2" s="1656"/>
      <c r="X2" s="1656"/>
      <c r="Y2" s="1656"/>
      <c r="Z2" s="1656"/>
      <c r="AA2" s="1656"/>
      <c r="AB2" s="1656"/>
      <c r="AC2" s="1656"/>
      <c r="AD2" s="1656"/>
    </row>
    <row r="3" spans="1:30" ht="13.5" thickBot="1">
      <c r="C3" s="52" t="str">
        <f>Lähtötiedot!G8</f>
        <v>A=Annuiteetti  T=Tasapoisto (oletus)</v>
      </c>
      <c r="E3" s="2575" t="s">
        <v>9</v>
      </c>
      <c r="F3" s="2576"/>
      <c r="G3" s="841"/>
      <c r="H3" s="4">
        <v>1</v>
      </c>
      <c r="I3" s="2571" t="s">
        <v>1822</v>
      </c>
      <c r="J3" s="2572"/>
      <c r="K3" s="841"/>
      <c r="L3" s="4">
        <v>1</v>
      </c>
      <c r="M3" s="2571" t="s">
        <v>1830</v>
      </c>
      <c r="N3" s="2572"/>
      <c r="O3" s="841"/>
      <c r="P3" s="4">
        <v>1</v>
      </c>
      <c r="Q3" s="2571" t="s">
        <v>10</v>
      </c>
      <c r="R3" s="2572"/>
      <c r="S3" s="841"/>
      <c r="T3" s="3" t="str">
        <f>"Kytketty koneet: "&amp;IF(E2="k",E3&amp;" ","")&amp;IF(I2="k",I3&amp;" ","")&amp;IF(M2="k",M3&amp;" ","")&amp;(IF(Q2="k",Q3&amp;" ",""))</f>
        <v xml:space="preserve">Kytketty koneet: New Holland paalain </v>
      </c>
      <c r="V3" s="1656"/>
      <c r="W3" s="1656"/>
      <c r="X3" s="1656"/>
      <c r="Y3" s="1656"/>
      <c r="Z3" s="1656"/>
      <c r="AA3" s="1656"/>
      <c r="AB3" s="1656"/>
      <c r="AC3" s="1656"/>
      <c r="AD3" s="1656"/>
    </row>
    <row r="4" spans="1:30">
      <c r="A4" t="s">
        <v>11</v>
      </c>
      <c r="E4" t="s">
        <v>12</v>
      </c>
      <c r="F4" s="1282">
        <v>10</v>
      </c>
      <c r="G4" s="841"/>
      <c r="I4" t="s">
        <v>12</v>
      </c>
      <c r="J4" s="1284">
        <v>10</v>
      </c>
      <c r="K4" s="841"/>
      <c r="M4" t="s">
        <v>12</v>
      </c>
      <c r="N4" s="1284">
        <v>10</v>
      </c>
      <c r="O4" s="841"/>
      <c r="Q4" t="s">
        <v>12</v>
      </c>
      <c r="R4" s="1284">
        <v>1</v>
      </c>
      <c r="S4" s="841"/>
      <c r="T4" s="1656" t="s">
        <v>459</v>
      </c>
      <c r="V4" s="1656"/>
      <c r="W4" s="1656"/>
      <c r="X4" s="1656"/>
      <c r="Y4" s="1656"/>
      <c r="Z4" s="1656"/>
      <c r="AA4" s="1656"/>
      <c r="AB4" s="1656"/>
      <c r="AC4" s="1656"/>
      <c r="AD4" s="1656"/>
    </row>
    <row r="5" spans="1:30">
      <c r="A5" t="s">
        <v>14</v>
      </c>
      <c r="E5" t="s">
        <v>15</v>
      </c>
      <c r="F5" s="1296">
        <v>1000</v>
      </c>
      <c r="G5" s="841"/>
      <c r="I5" t="s">
        <v>15</v>
      </c>
      <c r="J5" s="1285">
        <v>100</v>
      </c>
      <c r="K5" s="841"/>
      <c r="M5" t="s">
        <v>15</v>
      </c>
      <c r="N5" s="1285">
        <v>150</v>
      </c>
      <c r="O5" s="841"/>
      <c r="Q5" t="s">
        <v>15</v>
      </c>
      <c r="R5" s="1285">
        <v>1</v>
      </c>
      <c r="S5" s="841"/>
      <c r="T5" s="2037">
        <f>IF($E$2="k",(F5),0)+IF($I$2="k",(J5),0)+IF($M$2="k",(N5),0)+IF($Q$2="k",(R5),0)</f>
        <v>1100</v>
      </c>
      <c r="V5" s="1656"/>
      <c r="W5" s="1656"/>
      <c r="X5" s="1656"/>
      <c r="Y5" s="1656"/>
      <c r="Z5" s="1656"/>
      <c r="AA5" s="1656"/>
      <c r="AB5" s="1656"/>
      <c r="AC5" s="1656"/>
      <c r="AD5" s="1656"/>
    </row>
    <row r="6" spans="1:30">
      <c r="A6" t="s">
        <v>16</v>
      </c>
      <c r="F6" s="1272">
        <v>120000</v>
      </c>
      <c r="G6" s="841"/>
      <c r="J6" s="1272">
        <v>85000</v>
      </c>
      <c r="K6" s="841"/>
      <c r="N6" s="1272">
        <v>30000</v>
      </c>
      <c r="O6" s="841"/>
      <c r="R6" s="1272">
        <v>0</v>
      </c>
      <c r="S6" s="841"/>
      <c r="V6" s="1656"/>
      <c r="W6" s="1656"/>
      <c r="X6" s="1656"/>
      <c r="Y6" s="1656"/>
      <c r="Z6" s="1656"/>
      <c r="AA6" s="1656"/>
      <c r="AB6" s="1656"/>
      <c r="AC6" s="1656"/>
      <c r="AD6" s="1656"/>
    </row>
    <row r="7" spans="1:30">
      <c r="A7" t="s">
        <v>17</v>
      </c>
      <c r="E7" s="789">
        <v>0.24</v>
      </c>
      <c r="F7" s="1286">
        <f>F6/(100%+E7)*E7</f>
        <v>23225.806451612902</v>
      </c>
      <c r="G7" s="1254"/>
      <c r="H7" s="59"/>
      <c r="I7" s="789">
        <v>0.24</v>
      </c>
      <c r="J7" s="1286">
        <f>J6/(100%+I7)*I7</f>
        <v>16451.612903225807</v>
      </c>
      <c r="K7" s="1254"/>
      <c r="L7" s="59"/>
      <c r="M7" s="789">
        <v>0.24</v>
      </c>
      <c r="N7" s="1286">
        <f>N6/(100%+M7)*M7</f>
        <v>5806.4516129032254</v>
      </c>
      <c r="O7" s="1254"/>
      <c r="P7" s="59"/>
      <c r="Q7" s="789">
        <v>0</v>
      </c>
      <c r="R7" s="1286">
        <f>R6/(100%+Q7)*Q7</f>
        <v>0</v>
      </c>
      <c r="S7" s="1254"/>
      <c r="V7" s="1656"/>
      <c r="W7" s="1656"/>
      <c r="X7" s="1656"/>
      <c r="Y7" s="1656"/>
      <c r="Z7" s="1656"/>
      <c r="AA7" s="1656"/>
      <c r="AB7" s="1656"/>
      <c r="AC7" s="1656"/>
      <c r="AD7" s="1656"/>
    </row>
    <row r="8" spans="1:30">
      <c r="A8" t="s">
        <v>18</v>
      </c>
      <c r="F8" s="1287">
        <f>F6-F7</f>
        <v>96774.193548387091</v>
      </c>
      <c r="G8" s="841"/>
      <c r="J8" s="1287">
        <f>J6-J7</f>
        <v>68548.387096774197</v>
      </c>
      <c r="K8" s="841"/>
      <c r="N8" s="1287">
        <f>N6-N7</f>
        <v>24193.548387096773</v>
      </c>
      <c r="O8" s="841"/>
      <c r="R8" s="1287">
        <f>R6-R7</f>
        <v>0</v>
      </c>
      <c r="S8" s="841"/>
      <c r="V8" s="1656"/>
      <c r="W8" s="1656"/>
      <c r="X8" s="1656"/>
      <c r="Y8" s="1656"/>
      <c r="Z8" s="1656"/>
      <c r="AA8" s="1656"/>
      <c r="AB8" s="1656"/>
      <c r="AC8" s="1656"/>
      <c r="AD8" s="1656"/>
    </row>
    <row r="9" spans="1:30">
      <c r="A9" t="s">
        <v>19</v>
      </c>
      <c r="E9" s="789">
        <v>0.35</v>
      </c>
      <c r="F9" s="1286">
        <f>E9*F8</f>
        <v>33870.967741935478</v>
      </c>
      <c r="G9" s="841"/>
      <c r="I9" s="789">
        <v>0.35</v>
      </c>
      <c r="J9" s="1286">
        <f>I9*J8</f>
        <v>23991.935483870966</v>
      </c>
      <c r="K9" s="841"/>
      <c r="M9" s="789">
        <v>0.35</v>
      </c>
      <c r="N9" s="1286">
        <f>M9*N8</f>
        <v>8467.7419354838694</v>
      </c>
      <c r="O9" s="841"/>
      <c r="Q9" s="789">
        <v>0</v>
      </c>
      <c r="R9" s="1286">
        <f>Q9*R8</f>
        <v>0</v>
      </c>
      <c r="S9" s="841"/>
      <c r="V9" s="1656"/>
      <c r="W9" s="1656"/>
      <c r="X9" s="1656"/>
      <c r="Y9" s="1656"/>
      <c r="Z9" s="1656"/>
      <c r="AA9" s="1656"/>
      <c r="AB9" s="1656"/>
      <c r="AC9" s="1656"/>
      <c r="AD9" s="1656"/>
    </row>
    <row r="10" spans="1:30">
      <c r="A10" t="s">
        <v>20</v>
      </c>
      <c r="F10" s="1288">
        <f>F8-F9</f>
        <v>62903.225806451614</v>
      </c>
      <c r="G10" s="841"/>
      <c r="J10" s="1288">
        <f>J8-J9</f>
        <v>44556.451612903227</v>
      </c>
      <c r="K10" s="841"/>
      <c r="N10" s="1288">
        <f>N8-N9</f>
        <v>15725.806451612903</v>
      </c>
      <c r="O10" s="841"/>
      <c r="R10" s="1288">
        <f>R8-R9</f>
        <v>0</v>
      </c>
      <c r="S10" s="841"/>
      <c r="T10" s="3" t="s">
        <v>13</v>
      </c>
      <c r="V10" s="1656"/>
      <c r="W10" s="1656"/>
      <c r="X10" s="1656"/>
      <c r="Y10" s="1656"/>
      <c r="Z10" s="1656"/>
      <c r="AA10" s="1656"/>
      <c r="AB10" s="1656"/>
      <c r="AC10" s="1656"/>
      <c r="AD10" s="1656"/>
    </row>
    <row r="11" spans="1:30" ht="13.5" thickBot="1">
      <c r="A11" s="790" t="s">
        <v>21</v>
      </c>
      <c r="F11" s="868"/>
      <c r="G11" s="841"/>
      <c r="J11" s="868"/>
      <c r="K11" s="841"/>
      <c r="N11" s="868"/>
      <c r="O11" s="841"/>
      <c r="R11" s="868"/>
      <c r="S11" s="841"/>
      <c r="V11" s="1656"/>
      <c r="W11" s="1656"/>
      <c r="X11" s="1656"/>
      <c r="Y11" s="1656"/>
      <c r="Z11" s="1656"/>
      <c r="AA11" s="1656"/>
      <c r="AB11" s="1656"/>
      <c r="AC11" s="1656"/>
      <c r="AD11" s="1656"/>
    </row>
    <row r="12" spans="1:30">
      <c r="A12" s="791"/>
      <c r="B12" s="180" t="s">
        <v>22</v>
      </c>
      <c r="C12" s="193"/>
      <c r="D12" s="522" t="s">
        <v>23</v>
      </c>
      <c r="E12" s="1293">
        <v>0.05</v>
      </c>
      <c r="F12" s="1286">
        <f>IF(E2="k",IF(D2="A",ABS(PMT(E12,F4,-F8,E9*F8,0)),SUM(F13:F14)),0)</f>
        <v>8709.677419354839</v>
      </c>
      <c r="G12" s="841"/>
      <c r="I12" s="83">
        <v>0.05</v>
      </c>
      <c r="J12" s="1286">
        <f>IF(I2="k",IF($D$2="A",ABS(PMT(I12,J4,-J8,I9*J8,0)),SUM(J13:J14)),0)</f>
        <v>6169.354838709678</v>
      </c>
      <c r="K12" s="841"/>
      <c r="M12" s="83">
        <v>0.05</v>
      </c>
      <c r="N12" s="1286">
        <f>IF(M2="k",IF($D$2="A",ABS(PMT(M12,N4,-N8,M9*N8,0)),SUM(N13:N14)),0)</f>
        <v>0</v>
      </c>
      <c r="O12" s="841"/>
      <c r="Q12" s="83">
        <v>0.05</v>
      </c>
      <c r="R12" s="1286">
        <f>IF(Q2="k",IF($D$2="A",ABS(PMT(Q12,R4,-R8,Q9*R8,0)),SUM(R13:R14)),0)</f>
        <v>0</v>
      </c>
      <c r="S12" s="841"/>
      <c r="T12" s="10">
        <f>SUM(F12,J12,N12,R12)</f>
        <v>14879.032258064517</v>
      </c>
      <c r="V12" s="1656"/>
      <c r="W12" s="1656"/>
      <c r="X12" s="1656"/>
      <c r="Y12" s="1656"/>
      <c r="Z12" s="1656"/>
      <c r="AA12" s="1656"/>
      <c r="AB12" s="1656"/>
      <c r="AC12" s="1656"/>
      <c r="AD12" s="1656"/>
    </row>
    <row r="13" spans="1:30">
      <c r="B13" s="792" t="s">
        <v>24</v>
      </c>
      <c r="F13" s="1289">
        <f>IF(E2="k",IF(D2="A",E12*F8,F8/2*E12),0)</f>
        <v>2419.3548387096776</v>
      </c>
      <c r="G13" s="1255"/>
      <c r="H13" s="52"/>
      <c r="J13" s="1289">
        <f>IF(I2="k",IF($D$2="A",I12*J8,J8/2*I12),0)</f>
        <v>1713.7096774193551</v>
      </c>
      <c r="K13" s="1255"/>
      <c r="L13" s="52"/>
      <c r="N13" s="1289">
        <f>IF(M2="k",IF($D$2="A",M12*N8,N8/2*M12),0)</f>
        <v>0</v>
      </c>
      <c r="O13" s="1255"/>
      <c r="P13" s="52"/>
      <c r="R13" s="1289">
        <f>IF(Q2="k",IF($D$2="A",Q12*R8,R8/2*Q12),0)</f>
        <v>0</v>
      </c>
      <c r="S13" s="1255"/>
      <c r="T13" s="10">
        <f t="shared" ref="T13:T37" si="0">SUM(F13,J13,N13,R13)</f>
        <v>4133.0645161290322</v>
      </c>
      <c r="V13" s="1656"/>
      <c r="W13" s="1656"/>
      <c r="X13" s="1656"/>
      <c r="Y13" s="1656"/>
      <c r="Z13" s="1656"/>
      <c r="AA13" s="1656"/>
      <c r="AB13" s="1656"/>
      <c r="AC13" s="1656"/>
      <c r="AD13" s="1656"/>
    </row>
    <row r="14" spans="1:30" ht="13.5" thickBot="1">
      <c r="B14" s="793" t="s">
        <v>25</v>
      </c>
      <c r="C14" s="163"/>
      <c r="D14" s="163"/>
      <c r="E14" s="163"/>
      <c r="F14" s="1290">
        <f>IF(E2="k",IF(D2="A",F12-F13,F10/F4),0)</f>
        <v>6290.322580645161</v>
      </c>
      <c r="G14" s="841"/>
      <c r="J14" s="1290">
        <f>IF(I2="k",IF($D$2="A",J12-J13,J10/J4),0)</f>
        <v>4455.6451612903229</v>
      </c>
      <c r="K14" s="841"/>
      <c r="N14" s="1290">
        <f>IF(M2="k",IF($D$2="A",N12-N13,N10/N4),0)</f>
        <v>0</v>
      </c>
      <c r="O14" s="841"/>
      <c r="R14" s="1290">
        <f>IF(Q2="k",IF($D$2="A",R12-R13,R10/R4),0)</f>
        <v>0</v>
      </c>
      <c r="S14" s="841"/>
      <c r="T14" s="10">
        <f t="shared" si="0"/>
        <v>10745.967741935485</v>
      </c>
      <c r="V14" s="1656"/>
      <c r="W14" s="1656"/>
      <c r="X14" s="1656"/>
      <c r="Y14" s="1656"/>
      <c r="Z14" s="1656"/>
      <c r="AA14" s="1656"/>
      <c r="AB14" s="1656"/>
      <c r="AC14" s="1656"/>
      <c r="AD14" s="1656"/>
    </row>
    <row r="15" spans="1:30">
      <c r="B15" s="80"/>
      <c r="F15" s="1290"/>
      <c r="G15" s="841"/>
      <c r="J15" s="1290"/>
      <c r="K15" s="841"/>
      <c r="N15" s="1290"/>
      <c r="O15" s="841"/>
      <c r="R15" s="1290"/>
      <c r="S15" s="841"/>
      <c r="V15" s="1656"/>
      <c r="W15" s="1656"/>
      <c r="X15" s="1656"/>
      <c r="Y15" s="1656"/>
      <c r="Z15" s="1656"/>
      <c r="AA15" s="1656"/>
      <c r="AB15" s="1656"/>
      <c r="AC15" s="1656"/>
      <c r="AD15" s="1656"/>
    </row>
    <row r="16" spans="1:30">
      <c r="B16" s="80" t="s">
        <v>26</v>
      </c>
      <c r="C16" s="190"/>
      <c r="D16" s="190"/>
      <c r="E16" s="1294"/>
      <c r="F16" s="1297">
        <v>350</v>
      </c>
      <c r="G16" s="1255"/>
      <c r="H16" s="52"/>
      <c r="I16" s="429"/>
      <c r="J16" s="1272">
        <v>0</v>
      </c>
      <c r="K16" s="1255"/>
      <c r="L16" s="52"/>
      <c r="M16" s="429"/>
      <c r="N16" s="1272">
        <v>0</v>
      </c>
      <c r="O16" s="1255"/>
      <c r="P16" s="52"/>
      <c r="Q16" s="429"/>
      <c r="R16" s="1272">
        <v>0</v>
      </c>
      <c r="S16" s="1255"/>
      <c r="T16" s="836">
        <f>IF($E$2="k",F16)+IF($I$2="k",J16)+IF($M$2="k",N16)+IF($Q$2="k",R16)</f>
        <v>350</v>
      </c>
      <c r="V16" s="1656"/>
      <c r="W16" s="1656"/>
      <c r="X16" s="1656"/>
      <c r="Y16" s="1656"/>
      <c r="Z16" s="1656"/>
      <c r="AA16" s="1656"/>
      <c r="AB16" s="1656"/>
      <c r="AC16" s="1656"/>
      <c r="AD16" s="1656"/>
    </row>
    <row r="17" spans="1:30">
      <c r="B17" s="795" t="s">
        <v>27</v>
      </c>
      <c r="C17" s="796"/>
      <c r="D17" s="797"/>
      <c r="E17" s="1295"/>
      <c r="F17" s="1297">
        <v>350</v>
      </c>
      <c r="G17" s="1255"/>
      <c r="H17" s="52"/>
      <c r="J17" s="1272">
        <v>0</v>
      </c>
      <c r="K17" s="1255"/>
      <c r="L17" s="52"/>
      <c r="N17" s="1272">
        <v>0</v>
      </c>
      <c r="O17" s="1255"/>
      <c r="P17" s="52"/>
      <c r="R17" s="1272">
        <v>0</v>
      </c>
      <c r="S17" s="1255"/>
      <c r="T17" s="836">
        <f>IF($E$2="k",F17)+IF($I$2="k",J17)+IF($M$2="k",N17)+IF($Q$2="k",R17)</f>
        <v>350</v>
      </c>
      <c r="V17" s="1656"/>
      <c r="W17" s="1656"/>
      <c r="X17" s="1656"/>
      <c r="Y17" s="1656"/>
      <c r="Z17" s="1656"/>
      <c r="AA17" s="1656"/>
      <c r="AB17" s="1656"/>
      <c r="AC17" s="1656"/>
      <c r="AD17" s="1656"/>
    </row>
    <row r="18" spans="1:30">
      <c r="B18" s="80" t="s">
        <v>28</v>
      </c>
      <c r="D18" s="429"/>
      <c r="F18" s="1272"/>
      <c r="G18" s="1255"/>
      <c r="H18" s="52"/>
      <c r="J18" s="1272"/>
      <c r="K18" s="1255"/>
      <c r="L18" s="52"/>
      <c r="N18" s="1272"/>
      <c r="O18" s="1255"/>
      <c r="P18" s="52"/>
      <c r="R18" s="1272"/>
      <c r="S18" s="1255"/>
      <c r="T18" s="836">
        <f>IF($E$2="k",F18)+IF($I$2="k",J18)+IF($M$2="k",N18)+IF($Q$2="k",R18)</f>
        <v>0</v>
      </c>
      <c r="V18" s="1656"/>
      <c r="W18" s="1656"/>
      <c r="X18" s="1656"/>
      <c r="Y18" s="1656"/>
      <c r="Z18" s="1656"/>
      <c r="AA18" s="1656"/>
      <c r="AB18" s="1656"/>
      <c r="AC18" s="1656"/>
      <c r="AD18" s="1656"/>
    </row>
    <row r="19" spans="1:30">
      <c r="B19" s="81"/>
      <c r="C19" s="798"/>
      <c r="D19" s="52"/>
      <c r="E19" s="52"/>
      <c r="F19" s="1291"/>
      <c r="G19" s="1255"/>
      <c r="H19" s="52"/>
      <c r="I19" s="52"/>
      <c r="J19" s="1291"/>
      <c r="K19" s="1255"/>
      <c r="L19" s="52"/>
      <c r="M19" s="52"/>
      <c r="N19" s="1291"/>
      <c r="O19" s="1255"/>
      <c r="P19" s="52"/>
      <c r="Q19" s="52"/>
      <c r="R19" s="1291"/>
      <c r="S19" s="1255"/>
      <c r="V19" s="1656"/>
      <c r="W19" s="1656"/>
      <c r="X19" s="1656"/>
      <c r="Y19" s="1656"/>
      <c r="Z19" s="1656"/>
      <c r="AA19" s="1656"/>
      <c r="AB19" s="1656"/>
      <c r="AC19" s="1656"/>
      <c r="AD19" s="1656"/>
    </row>
    <row r="20" spans="1:30">
      <c r="B20" s="80" t="s">
        <v>29</v>
      </c>
      <c r="C20" s="52"/>
      <c r="D20" s="52"/>
      <c r="E20" s="83">
        <v>0</v>
      </c>
      <c r="F20" s="1292">
        <f>IF(E2="k",E20*F8,0)</f>
        <v>0</v>
      </c>
      <c r="G20" s="1255"/>
      <c r="H20" s="52"/>
      <c r="I20" s="83">
        <v>3.0000000000000001E-3</v>
      </c>
      <c r="J20" s="1292">
        <f>IF(I2="k",I20*J8,0)</f>
        <v>205.64516129032259</v>
      </c>
      <c r="K20" s="1255"/>
      <c r="L20" s="52"/>
      <c r="M20" s="83">
        <v>3.0000000000000001E-3</v>
      </c>
      <c r="N20" s="1292">
        <f>IF(M2="k",M20*N8,0)</f>
        <v>0</v>
      </c>
      <c r="O20" s="1255"/>
      <c r="P20" s="52"/>
      <c r="Q20" s="83">
        <v>3.0000000000000001E-3</v>
      </c>
      <c r="R20" s="788">
        <f>IF(Q2="k",Q20*R8,0)</f>
        <v>0</v>
      </c>
      <c r="S20" s="1255"/>
      <c r="T20" s="10">
        <f t="shared" si="0"/>
        <v>205.64516129032259</v>
      </c>
      <c r="V20" s="1656"/>
      <c r="W20" s="1656"/>
      <c r="X20" s="1656"/>
      <c r="Y20" s="1656"/>
      <c r="Z20" s="1656"/>
      <c r="AA20" s="1656"/>
      <c r="AB20" s="1656"/>
      <c r="AC20" s="1656"/>
      <c r="AD20" s="1656"/>
    </row>
    <row r="21" spans="1:30" ht="13.5" thickBot="1">
      <c r="B21" s="799" t="s">
        <v>30</v>
      </c>
      <c r="C21" s="800"/>
      <c r="D21" s="800"/>
      <c r="E21" s="185"/>
      <c r="F21" s="1283">
        <f>IF(E2="k",SUM(F13:F20),0)</f>
        <v>9409.677419354839</v>
      </c>
      <c r="G21" s="1270">
        <f>F21/F5</f>
        <v>9.4096774193548391</v>
      </c>
      <c r="H21" s="801"/>
      <c r="J21" s="1283">
        <f>IF(I2="k",SUM(J13:J20),0)</f>
        <v>6375.0000000000009</v>
      </c>
      <c r="K21" s="1270">
        <f>J21/J5</f>
        <v>63.750000000000007</v>
      </c>
      <c r="L21" s="801"/>
      <c r="N21" s="1283">
        <f>IF(M2="k",SUM(N13:N20),0)</f>
        <v>0</v>
      </c>
      <c r="O21" s="1270">
        <f>N21/N5</f>
        <v>0</v>
      </c>
      <c r="P21" s="801"/>
      <c r="R21" s="1265">
        <f>IF(Q2="k",SUM(R13:R20),0)</f>
        <v>0</v>
      </c>
      <c r="S21" s="1270">
        <f>R21/R5</f>
        <v>0</v>
      </c>
      <c r="T21" s="9">
        <f t="shared" si="0"/>
        <v>15784.677419354841</v>
      </c>
      <c r="U21" s="1277">
        <f>SUM(G21,K21,O21,S21)</f>
        <v>73.15967741935485</v>
      </c>
      <c r="V21" s="1656"/>
      <c r="W21" s="1924"/>
      <c r="X21" s="1924"/>
      <c r="Y21" s="1656"/>
      <c r="Z21" s="1656"/>
      <c r="AA21" s="1656"/>
      <c r="AB21" s="1656"/>
      <c r="AC21" s="1656"/>
      <c r="AD21" s="1656"/>
    </row>
    <row r="22" spans="1:30">
      <c r="A22" s="790" t="s">
        <v>31</v>
      </c>
      <c r="B22" s="3"/>
      <c r="F22" s="1264"/>
      <c r="G22" s="1256"/>
      <c r="H22" s="802"/>
      <c r="J22" s="1262"/>
      <c r="K22" s="1256"/>
      <c r="L22" s="802"/>
      <c r="N22" s="1262"/>
      <c r="O22" s="1256"/>
      <c r="P22" s="802"/>
      <c r="R22" s="1262"/>
      <c r="S22" s="1256"/>
      <c r="V22" s="1656"/>
      <c r="W22" s="1656"/>
      <c r="X22" s="1656"/>
      <c r="Y22" s="1656"/>
      <c r="Z22" s="1656"/>
      <c r="AA22" s="1656"/>
      <c r="AB22" s="1656"/>
      <c r="AC22" s="1656"/>
      <c r="AD22" s="1656"/>
    </row>
    <row r="23" spans="1:30">
      <c r="B23" s="81" t="s">
        <v>32</v>
      </c>
      <c r="C23" s="695"/>
      <c r="D23" s="52"/>
      <c r="F23" s="1272">
        <v>1000</v>
      </c>
      <c r="G23" s="1257"/>
      <c r="H23" s="98"/>
      <c r="J23" s="1272">
        <v>0</v>
      </c>
      <c r="K23" s="1257"/>
      <c r="L23" s="98"/>
      <c r="N23" s="1272">
        <v>0</v>
      </c>
      <c r="O23" s="1257"/>
      <c r="P23" s="98"/>
      <c r="R23" s="1272">
        <v>0</v>
      </c>
      <c r="S23" s="1257"/>
      <c r="T23" s="836">
        <f>IF($E$2="k",F23)+IF($I$2="k",J23)+IF($M$2="k",N23)+IF($Q$2="k",R23)</f>
        <v>1000</v>
      </c>
      <c r="V23" s="1656"/>
      <c r="W23" s="1656"/>
      <c r="X23" s="1656"/>
      <c r="Y23" s="1656"/>
      <c r="Z23" s="1656"/>
      <c r="AA23" s="1656"/>
      <c r="AB23" s="1656"/>
      <c r="AC23" s="1656"/>
      <c r="AD23" s="1656"/>
    </row>
    <row r="24" spans="1:30" ht="15.75">
      <c r="B24" s="81" t="s">
        <v>33</v>
      </c>
      <c r="C24" s="1276">
        <v>12</v>
      </c>
      <c r="D24" s="1274">
        <v>1.1000000000000001</v>
      </c>
      <c r="E24" s="1273"/>
      <c r="F24" s="1286">
        <f>IF(E2="k",C24*D24*F5,0)</f>
        <v>13200.000000000002</v>
      </c>
      <c r="G24" s="1258"/>
      <c r="H24" s="1276">
        <v>5</v>
      </c>
      <c r="I24" s="1275">
        <f>$D$24</f>
        <v>1.1000000000000001</v>
      </c>
      <c r="J24" s="1286">
        <f>IF(I2="k",H24*I24*J5,0)</f>
        <v>550</v>
      </c>
      <c r="K24" s="1258"/>
      <c r="L24" s="1276">
        <v>5</v>
      </c>
      <c r="M24" s="1275">
        <f>$D$24</f>
        <v>1.1000000000000001</v>
      </c>
      <c r="N24" s="1286">
        <f>IF(M2="k",L24*M24*N5,0)</f>
        <v>0</v>
      </c>
      <c r="O24" s="1258"/>
      <c r="P24" s="1276">
        <v>5</v>
      </c>
      <c r="Q24" s="1275">
        <f>$D$24</f>
        <v>1.1000000000000001</v>
      </c>
      <c r="R24" s="1286">
        <f>IF(Q2="k",P24*Q24*R5,0)</f>
        <v>0</v>
      </c>
      <c r="S24" s="1258"/>
      <c r="T24" s="10">
        <f t="shared" si="0"/>
        <v>13750.000000000002</v>
      </c>
      <c r="V24" s="2029" t="s">
        <v>1580</v>
      </c>
      <c r="W24" s="2030">
        <f>IF($E$2="k",(C24*F5),0)+IF($I$2="k",(H24*J5),0)+IF($M$2="k",(L24*N5),0)+IF($Q$2="k",(P24*R5),0)</f>
        <v>12500</v>
      </c>
      <c r="X24" s="2030">
        <f>W24/159</f>
        <v>78.616352201257868</v>
      </c>
      <c r="Y24" s="2031">
        <f>VLOOKUP(V24,Lähtötiedot!A88:F93,6,FALSE)</f>
        <v>2.66</v>
      </c>
      <c r="Z24" s="2032">
        <f>W24*Y24</f>
        <v>33250</v>
      </c>
      <c r="AA24" s="2033">
        <f>Z24/1000</f>
        <v>33.25</v>
      </c>
      <c r="AB24" s="2034">
        <f>Z24*0.27</f>
        <v>8977.5</v>
      </c>
      <c r="AC24" s="2034">
        <f>X24</f>
        <v>78.616352201257868</v>
      </c>
      <c r="AD24" s="1656"/>
    </row>
    <row r="25" spans="1:30" ht="15">
      <c r="B25" s="81" t="s">
        <v>28</v>
      </c>
      <c r="C25" s="59"/>
      <c r="F25" s="1272">
        <v>0</v>
      </c>
      <c r="G25" s="1258"/>
      <c r="H25" s="794"/>
      <c r="J25" s="1272">
        <v>0</v>
      </c>
      <c r="K25" s="1258"/>
      <c r="L25" s="794"/>
      <c r="N25" s="1272">
        <v>0</v>
      </c>
      <c r="O25" s="1258"/>
      <c r="P25" s="794"/>
      <c r="R25" s="1272">
        <v>0</v>
      </c>
      <c r="S25" s="1258"/>
      <c r="T25" s="836">
        <f>IF($E$2="k",F25)+IF($I$2="k",J25)+IF($M$2="k",N25)+IF($Q$2="k",R25)</f>
        <v>0</v>
      </c>
      <c r="V25" s="2035" t="s">
        <v>1596</v>
      </c>
      <c r="W25" s="1656"/>
      <c r="X25" s="1656"/>
      <c r="Y25" s="1656"/>
      <c r="Z25" s="2036">
        <f>Z24/T5</f>
        <v>30.227272727272727</v>
      </c>
      <c r="AA25" s="1656"/>
      <c r="AB25" s="1656"/>
      <c r="AC25" s="1656"/>
      <c r="AD25" s="1656"/>
    </row>
    <row r="26" spans="1:30">
      <c r="B26" s="81" t="s">
        <v>28</v>
      </c>
      <c r="C26" s="59"/>
      <c r="F26" s="1272">
        <v>0</v>
      </c>
      <c r="G26" s="1258"/>
      <c r="H26" s="794"/>
      <c r="J26" s="1272">
        <v>0</v>
      </c>
      <c r="K26" s="1258"/>
      <c r="L26" s="794"/>
      <c r="N26" s="1272">
        <v>0</v>
      </c>
      <c r="O26" s="1258"/>
      <c r="P26" s="794"/>
      <c r="R26" s="1272">
        <v>0</v>
      </c>
      <c r="S26" s="1258"/>
      <c r="T26" s="836">
        <f>IF($E$2="k",F26)+IF($I$2="k",J26)+IF($M$2="k",N26)+IF($Q$2="k",R26)</f>
        <v>0</v>
      </c>
    </row>
    <row r="27" spans="1:30">
      <c r="B27" s="81" t="s">
        <v>28</v>
      </c>
      <c r="C27" s="59"/>
      <c r="F27" s="1272">
        <v>0</v>
      </c>
      <c r="G27" s="1258"/>
      <c r="H27" s="794"/>
      <c r="J27" s="1272">
        <v>0</v>
      </c>
      <c r="K27" s="1258"/>
      <c r="L27" s="794"/>
      <c r="N27" s="1272">
        <v>0</v>
      </c>
      <c r="O27" s="1258"/>
      <c r="P27" s="794"/>
      <c r="R27" s="1272">
        <v>0</v>
      </c>
      <c r="S27" s="1258"/>
      <c r="T27" s="836">
        <f>IF($E$2="k",F27)+IF($I$2="k",J27)+IF($M$2="k",N27)+IF($Q$2="k",R27)</f>
        <v>0</v>
      </c>
    </row>
    <row r="28" spans="1:30" ht="13.5" thickBot="1">
      <c r="B28" s="81" t="s">
        <v>28</v>
      </c>
      <c r="C28" s="59"/>
      <c r="F28" s="1272">
        <v>0</v>
      </c>
      <c r="G28" s="1258"/>
      <c r="H28" s="794"/>
      <c r="J28" s="1272">
        <v>0</v>
      </c>
      <c r="K28" s="1258"/>
      <c r="L28" s="794"/>
      <c r="N28" s="1272">
        <v>0</v>
      </c>
      <c r="O28" s="1258"/>
      <c r="P28" s="794"/>
      <c r="R28" s="1272">
        <v>0</v>
      </c>
      <c r="S28" s="1258"/>
      <c r="T28" s="836">
        <f>IF($E$2="k",F28)+IF($I$2="k",J28)+IF($M$2="k",N28)+IF($Q$2="k",R28)</f>
        <v>0</v>
      </c>
    </row>
    <row r="29" spans="1:30" ht="13.5" thickBot="1">
      <c r="B29" s="803" t="s">
        <v>34</v>
      </c>
      <c r="C29" s="800"/>
      <c r="D29" s="800"/>
      <c r="E29" s="800"/>
      <c r="F29" s="802">
        <f>IF(E2="k",SUM(F23:F28),0)</f>
        <v>14200.000000000002</v>
      </c>
      <c r="G29" s="1271">
        <f>F29/F5</f>
        <v>14.200000000000001</v>
      </c>
      <c r="H29" s="1253"/>
      <c r="J29" s="802">
        <f>IF(I2="k",SUM(J23:J28),0)</f>
        <v>550</v>
      </c>
      <c r="K29" s="1271">
        <f>J29/J5</f>
        <v>5.5</v>
      </c>
      <c r="L29" s="1253"/>
      <c r="N29" s="802">
        <f>IF(M2="k",SUM(N23:N28),0)</f>
        <v>0</v>
      </c>
      <c r="O29" s="1271">
        <f>N29/N5</f>
        <v>0</v>
      </c>
      <c r="P29" s="1253"/>
      <c r="R29" s="802">
        <f>IF(Q2="k",SUM(R23:R28),0)</f>
        <v>0</v>
      </c>
      <c r="S29" s="1271">
        <f>R29/R5</f>
        <v>0</v>
      </c>
      <c r="T29" s="9">
        <f t="shared" si="0"/>
        <v>14750.000000000002</v>
      </c>
      <c r="U29" s="1278">
        <f>SUM(G29,K29,O29,S29)</f>
        <v>19.700000000000003</v>
      </c>
    </row>
    <row r="30" spans="1:30" ht="13.5" thickBot="1">
      <c r="A30" s="3" t="s">
        <v>35</v>
      </c>
      <c r="F30" s="1266">
        <f>F21+F29</f>
        <v>23609.677419354841</v>
      </c>
      <c r="G30" s="1259"/>
      <c r="H30" s="214"/>
      <c r="J30" s="802">
        <f>IF(I2="k",J21+J29,0)</f>
        <v>6925.0000000000009</v>
      </c>
      <c r="K30" s="1259"/>
      <c r="L30" s="214"/>
      <c r="N30" s="802">
        <f>IF(M2="k",N21+N29,0)</f>
        <v>0</v>
      </c>
      <c r="O30" s="1259"/>
      <c r="P30" s="214"/>
      <c r="R30" s="802">
        <f>IF(Q2="k",R21+R29,0)</f>
        <v>0</v>
      </c>
      <c r="S30" s="1259"/>
      <c r="T30" s="9">
        <f t="shared" si="0"/>
        <v>30534.677419354841</v>
      </c>
    </row>
    <row r="31" spans="1:30" ht="13.5" thickBot="1">
      <c r="F31" s="59"/>
      <c r="G31" s="841"/>
      <c r="J31" s="59"/>
      <c r="K31" s="841"/>
      <c r="N31" s="59"/>
      <c r="O31" s="841"/>
      <c r="R31" s="59"/>
      <c r="S31" s="841"/>
    </row>
    <row r="32" spans="1:30" ht="13.5" thickBot="1">
      <c r="A32" s="3" t="s">
        <v>36</v>
      </c>
      <c r="F32" s="1267">
        <f>IF(E2="k",F30/F5,)</f>
        <v>23.609677419354842</v>
      </c>
      <c r="G32" s="1259"/>
      <c r="H32" s="214"/>
      <c r="J32" s="186">
        <f>IF(I2="k",J30/J5,0)</f>
        <v>69.250000000000014</v>
      </c>
      <c r="K32" s="1259"/>
      <c r="L32" s="214"/>
      <c r="N32" s="186">
        <f>IF(M2="k",N30/N5,0)</f>
        <v>0</v>
      </c>
      <c r="O32" s="1259"/>
      <c r="P32" s="214"/>
      <c r="R32" s="186">
        <f>IF(Q2="k",R30/R5,0)</f>
        <v>0</v>
      </c>
      <c r="S32" s="214"/>
      <c r="T32" s="823">
        <f t="shared" si="0"/>
        <v>92.859677419354853</v>
      </c>
    </row>
    <row r="33" spans="2:20" ht="13.5" thickBot="1">
      <c r="B33" s="3" t="s">
        <v>37</v>
      </c>
      <c r="E33" s="2533">
        <v>0.2</v>
      </c>
      <c r="F33" s="59">
        <f>IF(E2="k",((100%/(100%-E33))*F32)-F32,0)</f>
        <v>5.9024193548387096</v>
      </c>
      <c r="G33" s="1255"/>
      <c r="H33" s="52"/>
      <c r="I33" s="22">
        <v>0.2</v>
      </c>
      <c r="J33" s="59">
        <f>IF(I2="k",((100%/(100%-I33))*J32)-J32,0)</f>
        <v>17.3125</v>
      </c>
      <c r="K33" s="1255"/>
      <c r="L33" s="52"/>
      <c r="M33" s="22">
        <v>0.2</v>
      </c>
      <c r="N33" s="59">
        <f>IF(M2="k",((100%/(100%-M33))*N32)-N32,0)</f>
        <v>0</v>
      </c>
      <c r="O33" s="1255"/>
      <c r="P33" s="52"/>
      <c r="Q33" s="22">
        <v>0.2</v>
      </c>
      <c r="R33" s="59">
        <f>IF(Q2="k",((100%/(100%-Q33))*R32)-R32,0)</f>
        <v>0</v>
      </c>
      <c r="S33" s="1255"/>
      <c r="T33" s="10">
        <f t="shared" si="0"/>
        <v>23.21491935483871</v>
      </c>
    </row>
    <row r="34" spans="2:20" ht="13.5" thickBot="1">
      <c r="B34" t="s">
        <v>38</v>
      </c>
      <c r="C34" t="s">
        <v>39</v>
      </c>
      <c r="F34" s="1279">
        <v>15</v>
      </c>
      <c r="G34" s="1255"/>
      <c r="H34" s="52"/>
      <c r="I34" s="1260" t="s">
        <v>40</v>
      </c>
      <c r="J34" s="1263">
        <v>0</v>
      </c>
      <c r="K34" s="1255"/>
      <c r="L34" s="52"/>
      <c r="M34" s="1260"/>
      <c r="N34" s="1263">
        <v>0</v>
      </c>
      <c r="O34" s="1255"/>
      <c r="P34" s="52"/>
      <c r="Q34" s="1260"/>
      <c r="R34" s="1263">
        <v>0</v>
      </c>
      <c r="S34" s="1255"/>
      <c r="T34" s="836">
        <f>IF($E$2="k",F34)+IF($I$2="k",J34)+IF($M$2="k",N34)+IF($Q$2="k",R34)</f>
        <v>15</v>
      </c>
    </row>
    <row r="35" spans="2:20" ht="13.5" thickBot="1">
      <c r="B35" s="799" t="s">
        <v>41</v>
      </c>
      <c r="C35" s="800"/>
      <c r="D35" s="800"/>
      <c r="E35" s="2531"/>
      <c r="F35" s="1280">
        <f>SUM(F32:F34)</f>
        <v>44.512096774193552</v>
      </c>
      <c r="G35" s="1255"/>
      <c r="H35" s="52"/>
      <c r="J35" s="1280">
        <f>SUM(J32:J34)</f>
        <v>86.562500000000014</v>
      </c>
      <c r="K35" s="1255"/>
      <c r="L35" s="52"/>
      <c r="N35" s="1280">
        <f>SUM(N32:N34)</f>
        <v>0</v>
      </c>
      <c r="O35" s="1255"/>
      <c r="P35" s="52"/>
      <c r="R35" s="1280">
        <f>SUM(R32:R34)</f>
        <v>0</v>
      </c>
      <c r="S35" s="52"/>
      <c r="T35" s="823">
        <f>SUM(F35,J35,N35,R35)</f>
        <v>131.07459677419357</v>
      </c>
    </row>
    <row r="36" spans="2:20" ht="13.5" thickBot="1">
      <c r="B36" t="s">
        <v>42</v>
      </c>
      <c r="E36" s="2532">
        <v>0.255</v>
      </c>
      <c r="F36" s="59">
        <f>E36*F35</f>
        <v>11.350584677419356</v>
      </c>
      <c r="G36" s="1269"/>
      <c r="H36" s="52"/>
      <c r="I36" s="2530">
        <f>$E$36</f>
        <v>0.255</v>
      </c>
      <c r="J36" s="59">
        <f>I36*J35</f>
        <v>22.073437500000004</v>
      </c>
      <c r="K36" s="1255"/>
      <c r="L36" s="52"/>
      <c r="M36" s="2530">
        <f>$E$36</f>
        <v>0.255</v>
      </c>
      <c r="N36" s="59">
        <f>M36*N35</f>
        <v>0</v>
      </c>
      <c r="O36" s="1255"/>
      <c r="P36" s="52"/>
      <c r="Q36" s="2530">
        <f>$E$36</f>
        <v>0.255</v>
      </c>
      <c r="R36" s="59">
        <f>Q36*R35</f>
        <v>0</v>
      </c>
      <c r="S36" s="1255"/>
      <c r="T36" s="10">
        <f>SUM(F36,J36,N36,R36)</f>
        <v>33.42402217741936</v>
      </c>
    </row>
    <row r="37" spans="2:20" ht="13.5" thickBot="1">
      <c r="B37" s="804" t="s">
        <v>43</v>
      </c>
      <c r="C37" s="804"/>
      <c r="D37" s="804"/>
      <c r="E37" s="804"/>
      <c r="F37" s="1280">
        <f>IF(E2="k",SUM(F35:F36),0)</f>
        <v>55.862681451612907</v>
      </c>
      <c r="G37" s="1261"/>
      <c r="H37" s="1268"/>
      <c r="I37" s="816"/>
      <c r="J37" s="1280">
        <f>IF(I2="k",SUM(J35:J36),0)</f>
        <v>108.63593750000001</v>
      </c>
      <c r="K37" s="1261"/>
      <c r="L37" s="1268"/>
      <c r="M37" s="816"/>
      <c r="N37" s="1280">
        <f>IF(M2="k",SUM(N35:N36),0)</f>
        <v>0</v>
      </c>
      <c r="O37" s="1261"/>
      <c r="P37" s="1268"/>
      <c r="Q37" s="816"/>
      <c r="R37" s="1280">
        <f>IF(Q2="k",SUM(R35:R36),0)</f>
        <v>0</v>
      </c>
      <c r="S37" s="1268"/>
      <c r="T37" s="823">
        <f t="shared" si="0"/>
        <v>164.49861895161291</v>
      </c>
    </row>
  </sheetData>
  <sheetProtection algorithmName="SHA-512" hashValue="p29Ycpg3wPAvv4pPFfWhWpQcQgDap5CBzIZMCTQ0RD/Z5Bs+KS+oh8ldAMJNXZdaRNyJpx3m5j6A98TCbnS4hg==" saltValue="EHuVovwMcvT3udJ/RqfKJQ==" spinCount="100000" sheet="1" formatCells="0" formatColumns="0" formatRows="0"/>
  <mergeCells count="13">
    <mergeCell ref="A2:B2"/>
    <mergeCell ref="E3:F3"/>
    <mergeCell ref="I3:J3"/>
    <mergeCell ref="H1:J1"/>
    <mergeCell ref="I2:J2"/>
    <mergeCell ref="E1:G1"/>
    <mergeCell ref="P1:R1"/>
    <mergeCell ref="Q2:R2"/>
    <mergeCell ref="Q3:R3"/>
    <mergeCell ref="E2:F2"/>
    <mergeCell ref="L1:N1"/>
    <mergeCell ref="M2:N2"/>
    <mergeCell ref="M3:N3"/>
  </mergeCell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Lähtötiedot!$A$88:$A$93</xm:f>
          </x14:formula1>
          <xm:sqref>V24</xm:sqref>
        </x14:dataValidation>
        <x14:dataValidation type="list" allowBlank="1" showInputMessage="1" showErrorMessage="1" xr:uid="{00000000-0002-0000-0100-000001000000}">
          <x14:formula1>
            <xm:f>Lähtötiedot!$C$97:$C$98</xm:f>
          </x14:formula1>
          <xm:sqref>E2:F2 I2:J2 M2:N2 Q2:R2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103"/>
  <sheetViews>
    <sheetView topLeftCell="C1" zoomScale="80" zoomScaleNormal="80" workbookViewId="0">
      <pane xSplit="1" topLeftCell="D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2.7109375" customWidth="1"/>
    <col min="34" max="34" width="12.5703125" customWidth="1"/>
    <col min="35" max="35" width="12.140625" customWidth="1"/>
    <col min="36" max="36" width="11.5703125" customWidth="1"/>
    <col min="37" max="37" width="14.140625" customWidth="1"/>
    <col min="38" max="38" width="13.28515625" customWidth="1"/>
    <col min="39" max="39" width="11.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6" t="str">
        <f>Lähtötiedot!A19</f>
        <v>LaskeMonivuotiset marjakasvit 5 -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Lähtötiedot!F19</f>
        <v>kasvi</v>
      </c>
      <c r="B3" s="247" t="s">
        <v>188</v>
      </c>
      <c r="C3" s="247"/>
      <c r="D3" s="247"/>
      <c r="E3" s="1815">
        <f>Lähtötiedot!C4</f>
        <v>2027</v>
      </c>
      <c r="F3" s="247"/>
      <c r="G3" s="1806" t="s">
        <v>414</v>
      </c>
    </row>
    <row r="4" spans="1:39" ht="18.75" thickBot="1">
      <c r="B4" s="1797" t="s">
        <v>415</v>
      </c>
      <c r="C4" s="1560"/>
      <c r="D4" s="1798"/>
      <c r="E4" s="1799">
        <f>Lähtötiedot!C19</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56">SUM(E78:E80)</f>
        <v>0</v>
      </c>
      <c r="F81" s="1812"/>
      <c r="J81" s="2689">
        <f>SUM(J78:K80)</f>
        <v>0</v>
      </c>
      <c r="K81" s="2690">
        <f t="shared" ref="K81" si="57">SUM(K78:K80)</f>
        <v>0</v>
      </c>
      <c r="P81" s="2689">
        <f t="shared" ref="P81:Q81" si="58">SUM(P78:P80)</f>
        <v>0</v>
      </c>
      <c r="Q81" s="2690">
        <f t="shared" si="58"/>
        <v>0</v>
      </c>
      <c r="V81" s="2689">
        <f>SUM(V78:W80)</f>
        <v>0</v>
      </c>
      <c r="W81" s="2690">
        <f t="shared" ref="W81" si="59">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2" location="Lähtötiedot" display="Lähtötiedot" xr:uid="{00000000-0004-0000-1300-000000000000}"/>
    <hyperlink ref="B34" location="'Traktorin tuntihinta'!A1" display="Konelaskuri" xr:uid="{00000000-0004-0000-13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Lähtötiedot!$A$88:$A$93</xm:f>
          </x14:formula1>
          <xm:sqref>AG31 AG34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03"/>
  <sheetViews>
    <sheetView topLeftCell="B1" zoomScale="80" zoomScaleNormal="80" workbookViewId="0">
      <pane xSplit="1" topLeftCell="C1" activePane="topRight" state="frozen"/>
      <selection activeCell="B1" sqref="B1"/>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9.7109375" style="1763" customWidth="1"/>
    <col min="8" max="8" width="13.28515625" customWidth="1"/>
    <col min="9" max="9" width="9.85546875" customWidth="1"/>
    <col min="10" max="10" width="15.5703125" customWidth="1"/>
    <col min="11" max="11" width="13.7109375" customWidth="1"/>
    <col min="12" max="12" width="21.140625" customWidth="1"/>
    <col min="13" max="13" width="10.28515625" style="1763" customWidth="1"/>
    <col min="14" max="14" width="12.85546875" customWidth="1"/>
    <col min="15" max="15" width="10.7109375" customWidth="1"/>
    <col min="16" max="16" width="15.140625" customWidth="1"/>
    <col min="17" max="17" width="14.140625" customWidth="1"/>
    <col min="18" max="18" width="20.42578125" customWidth="1"/>
    <col min="19" max="19" width="9.42578125" style="1763" customWidth="1"/>
    <col min="20" max="20" width="12.42578125" customWidth="1"/>
    <col min="21" max="21" width="8.42578125" customWidth="1"/>
    <col min="22" max="22" width="14" customWidth="1"/>
    <col min="23" max="23" width="16.140625" customWidth="1"/>
    <col min="24" max="24" width="22.140625" style="1763" customWidth="1"/>
    <col min="25" max="25" width="10.140625" customWidth="1"/>
    <col min="26" max="26" width="8.85546875" customWidth="1"/>
    <col min="27" max="27" width="34.42578125" style="1763" customWidth="1"/>
    <col min="28" max="28" width="12.85546875" customWidth="1"/>
    <col min="29" max="29" width="17.5703125" customWidth="1"/>
    <col min="31" max="31" width="14.42578125" customWidth="1"/>
    <col min="33" max="33" width="19.28515625" customWidth="1"/>
    <col min="34" max="34" width="14" customWidth="1"/>
    <col min="35" max="35" width="15.140625" customWidth="1"/>
    <col min="36" max="36" width="16.42578125" customWidth="1"/>
    <col min="37" max="37" width="14" customWidth="1"/>
    <col min="38" max="38" width="14.5703125" customWidth="1"/>
    <col min="39" max="39" width="16"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Lähtötiedot!A20</f>
        <v>LaskeMonivuotiset marjakasvit 6 -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Lähtötiedot!F20</f>
        <v>kasvi</v>
      </c>
      <c r="B3" s="247" t="s">
        <v>188</v>
      </c>
      <c r="C3" s="247"/>
      <c r="D3" s="247"/>
      <c r="E3" s="1815">
        <f>Lähtötiedot!C4</f>
        <v>2027</v>
      </c>
      <c r="F3" s="247"/>
      <c r="G3" s="1806" t="s">
        <v>414</v>
      </c>
    </row>
    <row r="4" spans="1:39" ht="18.75" thickBot="1">
      <c r="B4" s="1797" t="s">
        <v>415</v>
      </c>
      <c r="C4" s="1560"/>
      <c r="D4" s="1798"/>
      <c r="E4" s="1799">
        <f>Lähtötiedot!C20</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93" t="str">
        <f>IF(E6&gt;$E$4,"Ala liian suuri, vääristää laskentaa!","")</f>
        <v/>
      </c>
      <c r="G5" s="1992"/>
      <c r="H5" s="1915" t="str">
        <f>C5</f>
        <v>Viljelyvuosi</v>
      </c>
      <c r="I5" s="1800"/>
      <c r="J5" s="1800"/>
      <c r="K5" s="1801" t="s">
        <v>99</v>
      </c>
      <c r="L5" s="2693" t="str">
        <f>IF(K6&gt;$E$4,"Ala liian suuri, vääristää laskentaa!","")</f>
        <v/>
      </c>
      <c r="M5"/>
      <c r="N5" s="1915" t="str">
        <f>C5</f>
        <v>Viljelyvuosi</v>
      </c>
      <c r="O5" s="1800"/>
      <c r="P5" s="1800"/>
      <c r="Q5" s="1801" t="s">
        <v>99</v>
      </c>
      <c r="R5" s="2693" t="str">
        <f>IF(Q6&gt;$E$4,"Ala liian suuri, vääristää laskentaa!","")</f>
        <v/>
      </c>
      <c r="S5"/>
      <c r="T5" s="1915" t="str">
        <f>C5</f>
        <v>Viljelyvuosi</v>
      </c>
      <c r="U5" s="1970"/>
      <c r="V5" s="1971"/>
      <c r="W5" s="1801" t="s">
        <v>99</v>
      </c>
      <c r="X5" s="2693" t="str">
        <f>IF(W6&gt;$E$4,"Ala liian suuri, vääristää laskentaa!","")</f>
        <v/>
      </c>
      <c r="AA5" s="1785" t="str">
        <f>IF(AA6&lt;&gt;E4,"Viljelykierron ha ei täsmää viljelyalaan. Tarkista! Ero "&amp;E4-AA6&amp;" ha"," Pinta-ala OK")</f>
        <v xml:space="preserve"> Pinta-ala OK</v>
      </c>
    </row>
    <row r="6" spans="1:39" ht="18" customHeight="1" thickBot="1">
      <c r="A6" s="1"/>
      <c r="B6" s="1914" t="s">
        <v>555</v>
      </c>
      <c r="C6" s="1856">
        <v>1</v>
      </c>
      <c r="D6" s="1811"/>
      <c r="E6" s="1749">
        <v>0</v>
      </c>
      <c r="F6" s="2693"/>
      <c r="G6" s="1802">
        <f>IF($E$4&gt;0,E6/$E$4,0)</f>
        <v>0</v>
      </c>
      <c r="H6" s="1750">
        <f>C6+1</f>
        <v>2</v>
      </c>
      <c r="I6" s="1940"/>
      <c r="J6" s="818"/>
      <c r="K6" s="1749">
        <v>0</v>
      </c>
      <c r="L6" s="2693"/>
      <c r="M6" s="1802">
        <f>IF($E$4&gt;0,K6/$E$4,0)</f>
        <v>0</v>
      </c>
      <c r="N6" s="1750">
        <f>H6+1</f>
        <v>3</v>
      </c>
      <c r="O6" s="1940"/>
      <c r="P6" s="818"/>
      <c r="Q6" s="1749">
        <v>0</v>
      </c>
      <c r="R6" s="2693"/>
      <c r="S6" s="1802">
        <f>IF($E$4&gt;0,Q6/$E$4,0)</f>
        <v>0</v>
      </c>
      <c r="T6" s="1750">
        <f>N6+1</f>
        <v>4</v>
      </c>
      <c r="U6" s="1972"/>
      <c r="V6" s="1973"/>
      <c r="W6" s="1749">
        <v>0</v>
      </c>
      <c r="X6" s="2693"/>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1955"/>
      <c r="J7" s="252" t="s">
        <v>147</v>
      </c>
      <c r="K7" s="252" t="s">
        <v>419</v>
      </c>
      <c r="L7" s="252" t="s">
        <v>235</v>
      </c>
      <c r="M7" s="1769" t="s">
        <v>159</v>
      </c>
      <c r="N7" s="252" t="s">
        <v>146</v>
      </c>
      <c r="O7" s="1955"/>
      <c r="P7" s="252" t="s">
        <v>147</v>
      </c>
      <c r="Q7" s="252" t="s">
        <v>419</v>
      </c>
      <c r="R7" s="252" t="s">
        <v>235</v>
      </c>
      <c r="S7" s="1769" t="s">
        <v>159</v>
      </c>
      <c r="T7" s="1944" t="s">
        <v>146</v>
      </c>
      <c r="U7" s="197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956"/>
      <c r="J8" s="1849">
        <v>0</v>
      </c>
      <c r="K8" s="1847">
        <f>$E8</f>
        <v>0</v>
      </c>
      <c r="L8" s="1778">
        <f>IF(K$6&gt;0,J8*K8,0)</f>
        <v>0</v>
      </c>
      <c r="M8" s="1770" t="str">
        <f>IFERROR(L8/L$17,"")</f>
        <v/>
      </c>
      <c r="N8" s="1852" t="str">
        <f>H8</f>
        <v>kg</v>
      </c>
      <c r="O8" s="1956"/>
      <c r="P8" s="1849">
        <v>0</v>
      </c>
      <c r="Q8" s="1847">
        <f>$E8</f>
        <v>0</v>
      </c>
      <c r="R8" s="1778">
        <f>IF(Q$6&gt;0,P8*Q8,0)</f>
        <v>0</v>
      </c>
      <c r="S8" s="1770" t="str">
        <f>IFERROR(R8/R$17,"")</f>
        <v/>
      </c>
      <c r="T8" s="1852" t="str">
        <f>N8</f>
        <v>kg</v>
      </c>
      <c r="U8" s="1956"/>
      <c r="V8" s="1849">
        <v>0</v>
      </c>
      <c r="W8" s="1847">
        <f>$E8</f>
        <v>0</v>
      </c>
      <c r="X8" s="1778">
        <f>IF(W$6&gt;0,V8*W8,0)</f>
        <v>0</v>
      </c>
      <c r="Y8" s="1770" t="str">
        <f>IFERROR(X8/X$17,"")</f>
        <v/>
      </c>
      <c r="AA8" s="1786">
        <f t="shared" ref="AA8:AA16" si="0">IF($M$2&lt;&gt;1,SUM(F8,L8,R8,X8),F8*$E$6+L8*$K$6+R8*$Q$6+X8*$W$6)</f>
        <v>0</v>
      </c>
      <c r="AC8" s="1969">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845"/>
      <c r="J9" s="1850">
        <v>0</v>
      </c>
      <c r="K9" s="1847">
        <f t="shared" ref="K9:K10" si="5">$E9</f>
        <v>0</v>
      </c>
      <c r="L9" s="1778">
        <f t="shared" ref="L9:L16" si="6">IF(K$6&gt;0,J9*K9,0)</f>
        <v>0</v>
      </c>
      <c r="M9" s="1770" t="str">
        <f t="shared" ref="M9:M16" si="7">IFERROR(L9/L$17,"")</f>
        <v/>
      </c>
      <c r="N9" s="1852" t="str">
        <f t="shared" ref="N9:N16" si="8">H9</f>
        <v>kg</v>
      </c>
      <c r="O9" s="1845"/>
      <c r="P9" s="1850">
        <v>0</v>
      </c>
      <c r="Q9" s="1847">
        <f t="shared" ref="Q9:Q10" si="9">$E9</f>
        <v>0</v>
      </c>
      <c r="R9" s="1778">
        <f t="shared" ref="R9:R16" si="10">IF(Q$6&gt;0,P9*Q9,0)</f>
        <v>0</v>
      </c>
      <c r="S9" s="1770" t="str">
        <f t="shared" ref="S9:S16" si="11">IFERROR(R9/R$17,"")</f>
        <v/>
      </c>
      <c r="T9" s="1852" t="str">
        <f>N9</f>
        <v>kg</v>
      </c>
      <c r="U9" s="1845"/>
      <c r="V9" s="1850">
        <v>0</v>
      </c>
      <c r="W9" s="1847">
        <f t="shared" ref="W9:W10" si="12">$E9</f>
        <v>0</v>
      </c>
      <c r="X9" s="1778">
        <f t="shared" ref="X9:X16" si="13">IF(W$6&gt;0,V9*W9,0)</f>
        <v>0</v>
      </c>
      <c r="Y9" s="1770" t="str">
        <f t="shared" ref="Y9:Y16" si="14">IFERROR(X9/X$17,"")</f>
        <v/>
      </c>
      <c r="AA9" s="1786">
        <f t="shared" si="0"/>
        <v>0</v>
      </c>
      <c r="AC9" s="845" t="s">
        <v>559</v>
      </c>
      <c r="AD9" s="813"/>
      <c r="AE9" s="813"/>
      <c r="AF9" s="839"/>
    </row>
    <row r="10" spans="1:39" ht="15.75" thickBot="1">
      <c r="A10" s="1831" t="s">
        <v>560</v>
      </c>
      <c r="B10" s="1831"/>
      <c r="C10" s="1846" t="str">
        <f t="shared" si="1"/>
        <v>kg</v>
      </c>
      <c r="D10" s="1851">
        <v>0</v>
      </c>
      <c r="E10" s="1848">
        <v>0</v>
      </c>
      <c r="F10" s="1832">
        <f t="shared" si="2"/>
        <v>0</v>
      </c>
      <c r="G10" s="1833" t="str">
        <f t="shared" si="3"/>
        <v/>
      </c>
      <c r="H10" s="1853" t="str">
        <f t="shared" si="4"/>
        <v>kg</v>
      </c>
      <c r="I10" s="1958"/>
      <c r="J10" s="1851">
        <v>0</v>
      </c>
      <c r="K10" s="1847">
        <f t="shared" si="5"/>
        <v>0</v>
      </c>
      <c r="L10" s="1832">
        <f t="shared" si="6"/>
        <v>0</v>
      </c>
      <c r="M10" s="1833" t="str">
        <f t="shared" si="7"/>
        <v/>
      </c>
      <c r="N10" s="1853" t="str">
        <f t="shared" si="8"/>
        <v>kg</v>
      </c>
      <c r="O10" s="1958"/>
      <c r="P10" s="1851">
        <v>0</v>
      </c>
      <c r="Q10" s="1847">
        <f t="shared" si="9"/>
        <v>0</v>
      </c>
      <c r="R10" s="1832">
        <f t="shared" si="10"/>
        <v>0</v>
      </c>
      <c r="S10" s="1833" t="str">
        <f t="shared" si="11"/>
        <v/>
      </c>
      <c r="T10" s="1853" t="str">
        <f t="shared" ref="T10:T16" si="15">N10</f>
        <v>kg</v>
      </c>
      <c r="U10" s="1958"/>
      <c r="V10" s="1851">
        <v>0</v>
      </c>
      <c r="W10" s="1847">
        <f t="shared" si="12"/>
        <v>0</v>
      </c>
      <c r="X10" s="1832">
        <f t="shared" si="13"/>
        <v>0</v>
      </c>
      <c r="Y10" s="1833" t="str">
        <f t="shared" si="14"/>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945" t="str">
        <f t="shared" si="4"/>
        <v>€</v>
      </c>
      <c r="I11" s="1957"/>
      <c r="J11" s="1948">
        <v>1</v>
      </c>
      <c r="K11" s="1826">
        <f>E11</f>
        <v>0</v>
      </c>
      <c r="L11" s="1827">
        <f t="shared" si="6"/>
        <v>0</v>
      </c>
      <c r="M11" s="1828" t="str">
        <f t="shared" si="7"/>
        <v/>
      </c>
      <c r="N11" s="1945" t="str">
        <f t="shared" si="8"/>
        <v>€</v>
      </c>
      <c r="O11" s="1957"/>
      <c r="P11" s="1948">
        <v>1</v>
      </c>
      <c r="Q11" s="1826">
        <f>K11</f>
        <v>0</v>
      </c>
      <c r="R11" s="1827">
        <f t="shared" si="10"/>
        <v>0</v>
      </c>
      <c r="S11" s="1828" t="str">
        <f t="shared" si="11"/>
        <v/>
      </c>
      <c r="T11" s="1829" t="str">
        <f t="shared" si="15"/>
        <v>€</v>
      </c>
      <c r="U11" s="1957"/>
      <c r="V11" s="1824">
        <v>1</v>
      </c>
      <c r="W11" s="1826">
        <f>Q11</f>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823"/>
      <c r="J12" s="1746">
        <v>1</v>
      </c>
      <c r="K12" s="1748">
        <f t="shared" ref="K12:K13" si="16">$E12</f>
        <v>0</v>
      </c>
      <c r="L12" s="1778">
        <f t="shared" si="6"/>
        <v>0</v>
      </c>
      <c r="M12" s="1770" t="str">
        <f t="shared" si="7"/>
        <v/>
      </c>
      <c r="N12" s="1946" t="str">
        <f t="shared" si="8"/>
        <v>€</v>
      </c>
      <c r="O12" s="1953"/>
      <c r="P12" s="1949">
        <v>1</v>
      </c>
      <c r="Q12" s="1748">
        <f t="shared" ref="Q12:Q13" si="17">$E12</f>
        <v>0</v>
      </c>
      <c r="R12" s="1778">
        <f t="shared" si="10"/>
        <v>0</v>
      </c>
      <c r="S12" s="1770" t="str">
        <f t="shared" si="11"/>
        <v/>
      </c>
      <c r="T12" s="1823" t="str">
        <f t="shared" si="15"/>
        <v>€</v>
      </c>
      <c r="U12" s="1823"/>
      <c r="V12" s="1746">
        <v>1</v>
      </c>
      <c r="W12" s="1748">
        <f t="shared" ref="W12:W13" si="18">$E12</f>
        <v>0</v>
      </c>
      <c r="X12" s="1778">
        <f t="shared" si="13"/>
        <v>0</v>
      </c>
      <c r="Y12" s="1770" t="str">
        <f t="shared" si="14"/>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844"/>
      <c r="J13" s="1841">
        <v>1</v>
      </c>
      <c r="K13" s="1843">
        <f t="shared" si="16"/>
        <v>0</v>
      </c>
      <c r="L13" s="1832">
        <f t="shared" si="6"/>
        <v>0</v>
      </c>
      <c r="M13" s="1833" t="str">
        <f>IFERROR(L13/L$17,"")</f>
        <v/>
      </c>
      <c r="N13" s="1844" t="str">
        <f t="shared" si="8"/>
        <v>€</v>
      </c>
      <c r="O13" s="1844"/>
      <c r="P13" s="1841">
        <v>1</v>
      </c>
      <c r="Q13" s="1843">
        <f t="shared" si="17"/>
        <v>0</v>
      </c>
      <c r="R13" s="1832">
        <f t="shared" si="10"/>
        <v>0</v>
      </c>
      <c r="S13" s="1833" t="str">
        <f>IFERROR(R13/R$17,"")</f>
        <v/>
      </c>
      <c r="T13" s="1844" t="str">
        <f t="shared" si="15"/>
        <v>€</v>
      </c>
      <c r="U13" s="1844"/>
      <c r="V13" s="1841">
        <v>1</v>
      </c>
      <c r="W13" s="1843">
        <f t="shared" si="18"/>
        <v>0</v>
      </c>
      <c r="X13" s="1832">
        <f t="shared" si="13"/>
        <v>0</v>
      </c>
      <c r="Y13" s="1833" t="str">
        <f t="shared" si="14"/>
        <v/>
      </c>
      <c r="Z13" s="1834"/>
      <c r="AA13" s="1835">
        <f t="shared" si="0"/>
        <v>0</v>
      </c>
    </row>
    <row r="14" spans="1:39" ht="15.75" thickTop="1">
      <c r="A14" s="1836" t="s">
        <v>425</v>
      </c>
      <c r="B14" s="1836"/>
      <c r="C14" s="1837" t="s">
        <v>235</v>
      </c>
      <c r="D14" s="1836">
        <v>0</v>
      </c>
      <c r="E14" s="1838">
        <v>0</v>
      </c>
      <c r="F14" s="1827">
        <f t="shared" si="2"/>
        <v>0</v>
      </c>
      <c r="G14" s="1828" t="str">
        <f t="shared" si="3"/>
        <v/>
      </c>
      <c r="H14" s="1839" t="str">
        <f t="shared" si="4"/>
        <v>€</v>
      </c>
      <c r="I14" s="1839"/>
      <c r="J14" s="1836"/>
      <c r="K14" s="1838">
        <f>E14</f>
        <v>0</v>
      </c>
      <c r="L14" s="1827">
        <f t="shared" si="6"/>
        <v>0</v>
      </c>
      <c r="M14" s="1828" t="str">
        <f t="shared" si="7"/>
        <v/>
      </c>
      <c r="N14" s="1839" t="str">
        <f t="shared" si="8"/>
        <v>€</v>
      </c>
      <c r="O14" s="1839"/>
      <c r="P14" s="1836"/>
      <c r="Q14" s="1838">
        <f>K14</f>
        <v>0</v>
      </c>
      <c r="R14" s="1827">
        <f t="shared" si="10"/>
        <v>0</v>
      </c>
      <c r="S14" s="1828" t="str">
        <f t="shared" si="11"/>
        <v/>
      </c>
      <c r="T14" s="1839" t="str">
        <f t="shared" si="15"/>
        <v>€</v>
      </c>
      <c r="U14" s="1839"/>
      <c r="V14" s="1836"/>
      <c r="W14" s="1838">
        <f>Q14</f>
        <v>0</v>
      </c>
      <c r="X14" s="1827">
        <f t="shared" si="13"/>
        <v>0</v>
      </c>
      <c r="Y14" s="1828" t="str">
        <f t="shared" si="14"/>
        <v/>
      </c>
      <c r="AA14" s="1830">
        <f t="shared" si="0"/>
        <v>0</v>
      </c>
    </row>
    <row r="15" spans="1:39" ht="15">
      <c r="A15" s="1005"/>
      <c r="B15" s="1005"/>
      <c r="C15" s="1008" t="s">
        <v>235</v>
      </c>
      <c r="D15" s="1005"/>
      <c r="E15" s="1745">
        <v>0</v>
      </c>
      <c r="F15" s="1778">
        <f t="shared" si="2"/>
        <v>0</v>
      </c>
      <c r="G15" s="1770" t="str">
        <f>IFERROR(F15/F$17,"")</f>
        <v/>
      </c>
      <c r="H15" s="1754" t="str">
        <f t="shared" si="4"/>
        <v>€</v>
      </c>
      <c r="I15" s="1754"/>
      <c r="J15" s="1005"/>
      <c r="K15" s="1838">
        <f t="shared" ref="K15:K16" si="19">E15</f>
        <v>0</v>
      </c>
      <c r="L15" s="1778">
        <f t="shared" si="6"/>
        <v>0</v>
      </c>
      <c r="M15" s="1770" t="str">
        <f>IFERROR(L15/L$17,"")</f>
        <v/>
      </c>
      <c r="N15" s="1754" t="str">
        <f t="shared" si="8"/>
        <v>€</v>
      </c>
      <c r="O15" s="1754"/>
      <c r="P15" s="1005"/>
      <c r="Q15" s="1838">
        <f t="shared" ref="Q15:Q16" si="20">K15</f>
        <v>0</v>
      </c>
      <c r="R15" s="1778">
        <f t="shared" si="10"/>
        <v>0</v>
      </c>
      <c r="S15" s="1770" t="str">
        <f t="shared" si="11"/>
        <v/>
      </c>
      <c r="T15" s="1754" t="str">
        <f t="shared" si="15"/>
        <v>€</v>
      </c>
      <c r="U15" s="1754"/>
      <c r="V15" s="1005"/>
      <c r="W15" s="1838">
        <f t="shared" ref="W15:W16" si="21">Q15</f>
        <v>0</v>
      </c>
      <c r="X15" s="1778">
        <f t="shared" si="13"/>
        <v>0</v>
      </c>
      <c r="Y15" s="1770" t="str">
        <f t="shared" si="14"/>
        <v/>
      </c>
      <c r="AA15" s="1786">
        <f t="shared" si="0"/>
        <v>0</v>
      </c>
    </row>
    <row r="16" spans="1:39" ht="15">
      <c r="A16" s="1005"/>
      <c r="B16" s="1005"/>
      <c r="C16" s="1008" t="s">
        <v>235</v>
      </c>
      <c r="D16" s="1005"/>
      <c r="E16" s="1745">
        <v>0</v>
      </c>
      <c r="F16" s="1778">
        <f t="shared" si="2"/>
        <v>0</v>
      </c>
      <c r="G16" s="1770" t="str">
        <f t="shared" si="3"/>
        <v/>
      </c>
      <c r="H16" s="1754" t="str">
        <f t="shared" si="4"/>
        <v>€</v>
      </c>
      <c r="I16" s="1754"/>
      <c r="J16" s="1005"/>
      <c r="K16" s="1838">
        <f t="shared" si="19"/>
        <v>0</v>
      </c>
      <c r="L16" s="1778">
        <f t="shared" si="6"/>
        <v>0</v>
      </c>
      <c r="M16" s="1770" t="str">
        <f t="shared" si="7"/>
        <v/>
      </c>
      <c r="N16" s="1754" t="str">
        <f t="shared" si="8"/>
        <v>€</v>
      </c>
      <c r="O16" s="1754"/>
      <c r="P16" s="1005"/>
      <c r="Q16" s="1838">
        <f t="shared" si="20"/>
        <v>0</v>
      </c>
      <c r="R16" s="1778">
        <f t="shared" si="10"/>
        <v>0</v>
      </c>
      <c r="S16" s="1770" t="str">
        <f t="shared" si="11"/>
        <v/>
      </c>
      <c r="T16" s="1754" t="str">
        <f t="shared" si="15"/>
        <v>€</v>
      </c>
      <c r="U16" s="1754"/>
      <c r="V16" s="1005"/>
      <c r="W16" s="1838">
        <f t="shared" si="21"/>
        <v>0</v>
      </c>
      <c r="X16" s="1778">
        <f t="shared" si="13"/>
        <v>0</v>
      </c>
      <c r="Y16" s="1770" t="str">
        <f t="shared" si="14"/>
        <v/>
      </c>
      <c r="AA16" s="1786">
        <f t="shared" si="0"/>
        <v>0</v>
      </c>
    </row>
    <row r="17" spans="1:39" ht="15.75">
      <c r="A17" s="1" t="s">
        <v>561</v>
      </c>
      <c r="B17" s="1"/>
      <c r="C17" s="14"/>
      <c r="D17" s="14"/>
      <c r="E17" s="14"/>
      <c r="F17" s="178">
        <f>SUM(F8:F16)</f>
        <v>0</v>
      </c>
      <c r="G17" s="1771" t="str">
        <f t="shared" ref="G17" si="22">IFERROR(F17/$F$17,"")</f>
        <v/>
      </c>
      <c r="H17" s="14"/>
      <c r="I17" s="14"/>
      <c r="J17" s="14"/>
      <c r="K17" s="14"/>
      <c r="L17" s="178">
        <f>SUM(L8:L16)</f>
        <v>0</v>
      </c>
      <c r="M17" s="1771" t="str">
        <f t="shared" ref="M17" si="23">IFERROR(L17/$F$17,"")</f>
        <v/>
      </c>
      <c r="N17" s="14"/>
      <c r="O17" s="14"/>
      <c r="P17" s="14"/>
      <c r="Q17" s="14"/>
      <c r="R17" s="178">
        <f>SUM(R8:R16)</f>
        <v>0</v>
      </c>
      <c r="S17" s="1771" t="str">
        <f t="shared" ref="S17" si="24">IFERROR(R17/$F$17,"")</f>
        <v/>
      </c>
      <c r="T17" s="14"/>
      <c r="U17" s="14"/>
      <c r="V17" s="14"/>
      <c r="W17" s="14"/>
      <c r="X17" s="1779">
        <f>SUM(X8:X16)</f>
        <v>0</v>
      </c>
      <c r="Y17" s="189" t="str">
        <f t="shared" ref="Y17" si="25">IFERROR(X17/$F$17,"")</f>
        <v/>
      </c>
      <c r="AA17" s="1787">
        <f>SUM(AA8:AA16)</f>
        <v>0</v>
      </c>
    </row>
    <row r="18" spans="1:39" ht="13.5" thickBot="1">
      <c r="A18" s="3"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6">IF($M$2&lt;&gt;1,SUM(F22,L22,R22,X22),F22*$E$6+L22*$K$6+R22*$Q$6+X22*$W$6)</f>
        <v>0</v>
      </c>
    </row>
    <row r="23" spans="1:39" s="14" customFormat="1" ht="15">
      <c r="A23" s="277" t="s">
        <v>516</v>
      </c>
      <c r="B23" s="88" t="str">
        <f>"Oletus: sato pakataan "&amp;C19&amp;" "&amp;B19</f>
        <v>Oletus: sato pakataan 5 kg/laatikko</v>
      </c>
      <c r="C23" s="165" t="str">
        <f t="shared" ref="C23:C30" si="27">IF(C22&lt;&gt;"",C22,"kg")</f>
        <v>kpl</v>
      </c>
      <c r="D23" s="282">
        <f>D18/$C$19</f>
        <v>0</v>
      </c>
      <c r="E23" s="1739"/>
      <c r="F23" s="1778">
        <f t="shared" ref="F23:F32" si="28">IF(E$6&gt;0,D23*E23,0)</f>
        <v>0</v>
      </c>
      <c r="G23" s="1771" t="e">
        <f t="shared" ref="G23:G36" si="29">F23/F$59</f>
        <v>#DIV/0!</v>
      </c>
      <c r="H23" s="1755" t="str">
        <f t="shared" ref="H23:H32" si="30">C23</f>
        <v>kpl</v>
      </c>
      <c r="I23" s="1954">
        <v>1</v>
      </c>
      <c r="J23" s="282">
        <f>J18/$C$19</f>
        <v>0</v>
      </c>
      <c r="K23" s="1740">
        <f t="shared" ref="K23:K25" si="31">$E23</f>
        <v>0</v>
      </c>
      <c r="L23" s="1778">
        <f>IF(K$6&gt;0,J23*K23*I23,0)</f>
        <v>0</v>
      </c>
      <c r="M23" s="1771" t="e">
        <f t="shared" ref="M23:M36" si="32">L23/L$59</f>
        <v>#DIV/0!</v>
      </c>
      <c r="N23" s="1755" t="str">
        <f t="shared" ref="N23:N32" si="33">H23</f>
        <v>kpl</v>
      </c>
      <c r="O23" s="1954">
        <v>1</v>
      </c>
      <c r="P23" s="282">
        <f>P18/$C$19</f>
        <v>0</v>
      </c>
      <c r="Q23" s="1740">
        <f t="shared" ref="Q23:Q32" si="34">$E23</f>
        <v>0</v>
      </c>
      <c r="R23" s="1778">
        <f>IF(Q$6&gt;0,P23*Q23*O23,0)</f>
        <v>0</v>
      </c>
      <c r="S23" s="1771" t="e">
        <f t="shared" ref="S23:S36" si="35">R23/R$59</f>
        <v>#DIV/0!</v>
      </c>
      <c r="T23" s="1755" t="str">
        <f t="shared" ref="T23:T32" si="36">N23</f>
        <v>kpl</v>
      </c>
      <c r="U23" s="1954">
        <v>1</v>
      </c>
      <c r="V23" s="282">
        <f>V18/$C$19</f>
        <v>0</v>
      </c>
      <c r="W23" s="1740">
        <f t="shared" ref="W23:W32" si="37">$E23</f>
        <v>0</v>
      </c>
      <c r="X23" s="1778">
        <f>IF(W$6&gt;0,V23*W23*U23,0)</f>
        <v>0</v>
      </c>
      <c r="Y23" s="1771" t="e">
        <f t="shared" ref="Y23:Y36" si="38">X23/X$59</f>
        <v>#DIV/0!</v>
      </c>
      <c r="AA23" s="1786">
        <f t="shared" si="26"/>
        <v>0</v>
      </c>
    </row>
    <row r="24" spans="1:39" s="14" customFormat="1" ht="15">
      <c r="A24" s="277" t="s">
        <v>517</v>
      </c>
      <c r="B24" s="277"/>
      <c r="C24" s="165" t="str">
        <f t="shared" si="27"/>
        <v>kpl</v>
      </c>
      <c r="D24" s="1813">
        <f>D18</f>
        <v>0</v>
      </c>
      <c r="E24" s="1739"/>
      <c r="F24" s="1778">
        <f t="shared" si="28"/>
        <v>0</v>
      </c>
      <c r="G24" s="1771" t="e">
        <f t="shared" si="29"/>
        <v>#DIV/0!</v>
      </c>
      <c r="H24" s="1755" t="str">
        <f t="shared" si="30"/>
        <v>kpl</v>
      </c>
      <c r="I24" s="1954">
        <v>1</v>
      </c>
      <c r="J24" s="1813">
        <f>J18*I24</f>
        <v>0</v>
      </c>
      <c r="K24" s="1740">
        <f t="shared" si="31"/>
        <v>0</v>
      </c>
      <c r="L24" s="1778">
        <f t="shared" ref="L24:L32" si="39">IF(K$6&gt;0,J24*K24*I24,0)</f>
        <v>0</v>
      </c>
      <c r="M24" s="1771" t="e">
        <f t="shared" si="32"/>
        <v>#DIV/0!</v>
      </c>
      <c r="N24" s="1755" t="str">
        <f t="shared" si="33"/>
        <v>kpl</v>
      </c>
      <c r="O24" s="1954">
        <v>1</v>
      </c>
      <c r="P24" s="1813">
        <f>P18*O24</f>
        <v>0</v>
      </c>
      <c r="Q24" s="1740">
        <f t="shared" si="34"/>
        <v>0</v>
      </c>
      <c r="R24" s="1778">
        <f t="shared" ref="R24:R32" si="40">IF(Q$6&gt;0,P24*Q24*O24,0)</f>
        <v>0</v>
      </c>
      <c r="S24" s="1771" t="e">
        <f t="shared" si="35"/>
        <v>#DIV/0!</v>
      </c>
      <c r="T24" s="1755" t="str">
        <f t="shared" si="36"/>
        <v>kpl</v>
      </c>
      <c r="U24" s="1954">
        <v>1</v>
      </c>
      <c r="V24" s="1813">
        <f>V18*U24</f>
        <v>0</v>
      </c>
      <c r="W24" s="1740">
        <f t="shared" si="37"/>
        <v>0</v>
      </c>
      <c r="X24" s="1778">
        <f t="shared" ref="X24:X32" si="41">IF(W$6&gt;0,V24*W24*U24,0)</f>
        <v>0</v>
      </c>
      <c r="Y24" s="1771" t="e">
        <f t="shared" si="38"/>
        <v>#DIV/0!</v>
      </c>
      <c r="AA24" s="1786">
        <f t="shared" si="26"/>
        <v>0</v>
      </c>
    </row>
    <row r="25" spans="1:39" s="14" customFormat="1" ht="15">
      <c r="A25" s="277" t="s">
        <v>443</v>
      </c>
      <c r="B25" s="277"/>
      <c r="C25" s="165" t="str">
        <f t="shared" si="27"/>
        <v>kpl</v>
      </c>
      <c r="D25" s="1813">
        <f>D$18</f>
        <v>0</v>
      </c>
      <c r="E25" s="1739"/>
      <c r="F25" s="1778">
        <f t="shared" si="28"/>
        <v>0</v>
      </c>
      <c r="G25" s="1771" t="e">
        <f t="shared" si="29"/>
        <v>#DIV/0!</v>
      </c>
      <c r="H25" s="1755" t="str">
        <f t="shared" si="30"/>
        <v>kpl</v>
      </c>
      <c r="I25" s="1954">
        <v>1</v>
      </c>
      <c r="J25" s="1813">
        <f>J$18*I25</f>
        <v>0</v>
      </c>
      <c r="K25" s="1740">
        <f t="shared" si="31"/>
        <v>0</v>
      </c>
      <c r="L25" s="1778">
        <f t="shared" si="39"/>
        <v>0</v>
      </c>
      <c r="M25" s="1771" t="e">
        <f t="shared" si="32"/>
        <v>#DIV/0!</v>
      </c>
      <c r="N25" s="1755" t="str">
        <f t="shared" si="33"/>
        <v>kpl</v>
      </c>
      <c r="O25" s="1954">
        <v>1</v>
      </c>
      <c r="P25" s="1813">
        <f>P$18*O25</f>
        <v>0</v>
      </c>
      <c r="Q25" s="1740">
        <f>$E25</f>
        <v>0</v>
      </c>
      <c r="R25" s="1778">
        <f t="shared" si="40"/>
        <v>0</v>
      </c>
      <c r="S25" s="1771" t="e">
        <f t="shared" si="35"/>
        <v>#DIV/0!</v>
      </c>
      <c r="T25" s="1755" t="str">
        <f t="shared" si="36"/>
        <v>kpl</v>
      </c>
      <c r="U25" s="1954">
        <v>1</v>
      </c>
      <c r="V25" s="1813">
        <f>V$18*U25</f>
        <v>0</v>
      </c>
      <c r="W25" s="1740">
        <f t="shared" si="37"/>
        <v>0</v>
      </c>
      <c r="X25" s="1778">
        <f t="shared" si="41"/>
        <v>0</v>
      </c>
      <c r="Y25" s="1771" t="e">
        <f t="shared" si="38"/>
        <v>#DIV/0!</v>
      </c>
      <c r="AA25" s="1786">
        <f t="shared" si="26"/>
        <v>0</v>
      </c>
    </row>
    <row r="26" spans="1:39" s="14" customFormat="1" ht="15">
      <c r="A26" s="277" t="s">
        <v>515</v>
      </c>
      <c r="B26" s="277"/>
      <c r="C26" s="165" t="str">
        <f t="shared" si="27"/>
        <v>kpl</v>
      </c>
      <c r="D26" s="282">
        <v>1</v>
      </c>
      <c r="E26" s="1739"/>
      <c r="F26" s="1778">
        <f t="shared" si="28"/>
        <v>0</v>
      </c>
      <c r="G26" s="1771" t="e">
        <f t="shared" si="29"/>
        <v>#DIV/0!</v>
      </c>
      <c r="H26" s="1755" t="str">
        <f t="shared" si="30"/>
        <v>kpl</v>
      </c>
      <c r="I26" s="1954">
        <v>1</v>
      </c>
      <c r="J26" s="282">
        <f>$D26*I26</f>
        <v>1</v>
      </c>
      <c r="K26" s="1740">
        <f>E26</f>
        <v>0</v>
      </c>
      <c r="L26" s="1778">
        <f t="shared" si="39"/>
        <v>0</v>
      </c>
      <c r="M26" s="1771" t="e">
        <f t="shared" si="32"/>
        <v>#DIV/0!</v>
      </c>
      <c r="N26" s="1755" t="str">
        <f t="shared" si="33"/>
        <v>kpl</v>
      </c>
      <c r="O26" s="1954">
        <v>1</v>
      </c>
      <c r="P26" s="282">
        <f>$D26*O26</f>
        <v>1</v>
      </c>
      <c r="Q26" s="1740">
        <f t="shared" si="34"/>
        <v>0</v>
      </c>
      <c r="R26" s="1778">
        <f t="shared" si="40"/>
        <v>0</v>
      </c>
      <c r="S26" s="1771" t="e">
        <f>R26/R$59</f>
        <v>#DIV/0!</v>
      </c>
      <c r="T26" s="1755" t="str">
        <f t="shared" si="36"/>
        <v>kpl</v>
      </c>
      <c r="U26" s="1954">
        <v>1</v>
      </c>
      <c r="V26" s="282">
        <f>$D26*U26</f>
        <v>1</v>
      </c>
      <c r="W26" s="1740">
        <f t="shared" si="37"/>
        <v>0</v>
      </c>
      <c r="X26" s="1778">
        <f t="shared" si="41"/>
        <v>0</v>
      </c>
      <c r="Y26" s="1771" t="e">
        <f t="shared" si="38"/>
        <v>#DIV/0!</v>
      </c>
      <c r="AA26" s="1786">
        <f t="shared" si="26"/>
        <v>0</v>
      </c>
    </row>
    <row r="27" spans="1:39" s="14" customFormat="1" ht="15">
      <c r="A27" s="277" t="s">
        <v>437</v>
      </c>
      <c r="B27" s="277"/>
      <c r="C27" s="165" t="str">
        <f t="shared" si="27"/>
        <v>kpl</v>
      </c>
      <c r="D27" s="282">
        <v>1</v>
      </c>
      <c r="E27" s="1739">
        <v>0</v>
      </c>
      <c r="F27" s="1778">
        <f t="shared" si="28"/>
        <v>0</v>
      </c>
      <c r="G27" s="1771" t="e">
        <f t="shared" si="29"/>
        <v>#DIV/0!</v>
      </c>
      <c r="H27" s="1755" t="str">
        <f t="shared" si="30"/>
        <v>kpl</v>
      </c>
      <c r="I27" s="1954">
        <v>1</v>
      </c>
      <c r="J27" s="282">
        <f>$D27*I27</f>
        <v>1</v>
      </c>
      <c r="K27" s="1740">
        <f t="shared" ref="K27:K32" si="42">E27</f>
        <v>0</v>
      </c>
      <c r="L27" s="1778">
        <f t="shared" si="39"/>
        <v>0</v>
      </c>
      <c r="M27" s="1771" t="e">
        <f t="shared" si="32"/>
        <v>#DIV/0!</v>
      </c>
      <c r="N27" s="1755" t="str">
        <f t="shared" si="33"/>
        <v>kpl</v>
      </c>
      <c r="O27" s="1954">
        <v>1</v>
      </c>
      <c r="P27" s="282">
        <f>$D27*O27</f>
        <v>1</v>
      </c>
      <c r="Q27" s="1740">
        <f t="shared" si="34"/>
        <v>0</v>
      </c>
      <c r="R27" s="1778">
        <f t="shared" si="40"/>
        <v>0</v>
      </c>
      <c r="S27" s="1771" t="e">
        <f t="shared" si="35"/>
        <v>#DIV/0!</v>
      </c>
      <c r="T27" s="1755" t="str">
        <f t="shared" si="36"/>
        <v>kpl</v>
      </c>
      <c r="U27" s="1954">
        <v>1</v>
      </c>
      <c r="V27" s="282">
        <f>$D27*U27</f>
        <v>1</v>
      </c>
      <c r="W27" s="1740">
        <f t="shared" si="37"/>
        <v>0</v>
      </c>
      <c r="X27" s="1778">
        <f t="shared" si="41"/>
        <v>0</v>
      </c>
      <c r="Y27" s="1771" t="e">
        <f t="shared" si="38"/>
        <v>#DIV/0!</v>
      </c>
      <c r="AA27" s="1786">
        <f t="shared" si="26"/>
        <v>0</v>
      </c>
    </row>
    <row r="28" spans="1:39" s="14" customFormat="1" ht="15">
      <c r="A28" s="277"/>
      <c r="B28" s="1165"/>
      <c r="C28" s="165" t="s">
        <v>150</v>
      </c>
      <c r="D28" s="282">
        <v>0</v>
      </c>
      <c r="E28" s="1739">
        <v>0</v>
      </c>
      <c r="F28" s="1778">
        <f t="shared" si="28"/>
        <v>0</v>
      </c>
      <c r="G28" s="1771" t="e">
        <f t="shared" si="29"/>
        <v>#DIV/0!</v>
      </c>
      <c r="H28" s="1755" t="str">
        <f t="shared" si="30"/>
        <v>kpl</v>
      </c>
      <c r="I28" s="1954">
        <v>1</v>
      </c>
      <c r="J28" s="282">
        <f>$D28*I28</f>
        <v>0</v>
      </c>
      <c r="K28" s="1740">
        <f t="shared" si="42"/>
        <v>0</v>
      </c>
      <c r="L28" s="1778">
        <f t="shared" si="39"/>
        <v>0</v>
      </c>
      <c r="M28" s="1771" t="e">
        <f t="shared" si="32"/>
        <v>#DIV/0!</v>
      </c>
      <c r="N28" s="1755" t="str">
        <f t="shared" si="33"/>
        <v>kpl</v>
      </c>
      <c r="O28" s="1954">
        <v>1</v>
      </c>
      <c r="P28" s="282">
        <f>$D28*O28</f>
        <v>0</v>
      </c>
      <c r="Q28" s="1740">
        <f t="shared" si="34"/>
        <v>0</v>
      </c>
      <c r="R28" s="1778">
        <f t="shared" si="40"/>
        <v>0</v>
      </c>
      <c r="S28" s="1771" t="e">
        <f t="shared" si="35"/>
        <v>#DIV/0!</v>
      </c>
      <c r="T28" s="1755" t="str">
        <f t="shared" si="36"/>
        <v>kpl</v>
      </c>
      <c r="U28" s="1954">
        <v>1</v>
      </c>
      <c r="V28" s="282">
        <f>$D28*U28</f>
        <v>0</v>
      </c>
      <c r="W28" s="1740">
        <f t="shared" si="37"/>
        <v>0</v>
      </c>
      <c r="X28" s="1778">
        <f t="shared" si="41"/>
        <v>0</v>
      </c>
      <c r="Y28" s="1771" t="e">
        <f t="shared" si="38"/>
        <v>#DIV/0!</v>
      </c>
      <c r="AA28" s="1786">
        <f t="shared" si="26"/>
        <v>0</v>
      </c>
    </row>
    <row r="29" spans="1:39" s="14" customFormat="1" ht="15">
      <c r="A29" s="277"/>
      <c r="B29" s="277"/>
      <c r="C29" s="165" t="str">
        <f t="shared" si="27"/>
        <v>kpl</v>
      </c>
      <c r="D29" s="282">
        <v>1</v>
      </c>
      <c r="E29" s="1739">
        <v>0</v>
      </c>
      <c r="F29" s="1778">
        <f t="shared" si="28"/>
        <v>0</v>
      </c>
      <c r="G29" s="1771" t="e">
        <f t="shared" si="29"/>
        <v>#DIV/0!</v>
      </c>
      <c r="H29" s="1755" t="str">
        <f t="shared" si="30"/>
        <v>kpl</v>
      </c>
      <c r="I29" s="1954">
        <v>1</v>
      </c>
      <c r="J29" s="282">
        <f>$D29*I29</f>
        <v>1</v>
      </c>
      <c r="K29" s="1740">
        <f t="shared" si="42"/>
        <v>0</v>
      </c>
      <c r="L29" s="1778">
        <f t="shared" si="39"/>
        <v>0</v>
      </c>
      <c r="M29" s="1771" t="e">
        <f t="shared" si="32"/>
        <v>#DIV/0!</v>
      </c>
      <c r="N29" s="1755" t="str">
        <f t="shared" si="33"/>
        <v>kpl</v>
      </c>
      <c r="O29" s="1954">
        <v>1</v>
      </c>
      <c r="P29" s="282">
        <f>$D29*O29</f>
        <v>1</v>
      </c>
      <c r="Q29" s="1740">
        <v>0</v>
      </c>
      <c r="R29" s="1778">
        <f t="shared" si="40"/>
        <v>0</v>
      </c>
      <c r="S29" s="1771" t="e">
        <f t="shared" si="35"/>
        <v>#DIV/0!</v>
      </c>
      <c r="T29" s="1755" t="str">
        <f t="shared" si="36"/>
        <v>kpl</v>
      </c>
      <c r="U29" s="1954">
        <v>1</v>
      </c>
      <c r="V29" s="282">
        <f>$D29*U29</f>
        <v>1</v>
      </c>
      <c r="W29" s="1740">
        <v>0</v>
      </c>
      <c r="X29" s="1778">
        <f t="shared" si="41"/>
        <v>0</v>
      </c>
      <c r="Y29" s="1771" t="e">
        <f t="shared" si="38"/>
        <v>#DIV/0!</v>
      </c>
      <c r="AA29" s="1786">
        <f t="shared" si="26"/>
        <v>0</v>
      </c>
    </row>
    <row r="30" spans="1:39" ht="15.75" thickBot="1">
      <c r="A30" s="277"/>
      <c r="B30" s="277"/>
      <c r="C30" s="165" t="str">
        <f t="shared" si="27"/>
        <v>kpl</v>
      </c>
      <c r="D30" s="282">
        <v>0</v>
      </c>
      <c r="E30" s="1739">
        <v>0</v>
      </c>
      <c r="F30" s="1778">
        <f t="shared" si="28"/>
        <v>0</v>
      </c>
      <c r="G30" s="1771" t="e">
        <f t="shared" si="29"/>
        <v>#DIV/0!</v>
      </c>
      <c r="H30" s="1755" t="str">
        <f t="shared" si="30"/>
        <v>kpl</v>
      </c>
      <c r="I30" s="1954">
        <v>1</v>
      </c>
      <c r="J30" s="282">
        <f>$D30*I30</f>
        <v>0</v>
      </c>
      <c r="K30" s="1740">
        <f t="shared" si="42"/>
        <v>0</v>
      </c>
      <c r="L30" s="1778">
        <f t="shared" si="39"/>
        <v>0</v>
      </c>
      <c r="M30" s="1771" t="e">
        <f t="shared" si="32"/>
        <v>#DIV/0!</v>
      </c>
      <c r="N30" s="1755" t="str">
        <f t="shared" si="33"/>
        <v>kpl</v>
      </c>
      <c r="O30" s="1954">
        <v>1</v>
      </c>
      <c r="P30" s="282">
        <f>$D30*O30</f>
        <v>0</v>
      </c>
      <c r="Q30" s="1740">
        <f t="shared" si="34"/>
        <v>0</v>
      </c>
      <c r="R30" s="1778">
        <f t="shared" si="40"/>
        <v>0</v>
      </c>
      <c r="S30" s="1771" t="e">
        <f t="shared" si="35"/>
        <v>#DIV/0!</v>
      </c>
      <c r="T30" s="1755" t="str">
        <f t="shared" si="36"/>
        <v>kpl</v>
      </c>
      <c r="U30" s="1954">
        <v>1</v>
      </c>
      <c r="V30" s="282">
        <f>$D30*U30</f>
        <v>0</v>
      </c>
      <c r="W30" s="1740">
        <f t="shared" si="37"/>
        <v>0</v>
      </c>
      <c r="X30" s="1778">
        <f t="shared" si="41"/>
        <v>0</v>
      </c>
      <c r="Y30" s="1771" t="e">
        <f t="shared" si="38"/>
        <v>#DIV/0!</v>
      </c>
      <c r="AA30" s="1786">
        <f t="shared" si="26"/>
        <v>0</v>
      </c>
    </row>
    <row r="31" spans="1:39" ht="15.75">
      <c r="A31" s="277" t="s">
        <v>518</v>
      </c>
      <c r="B31" s="277"/>
      <c r="C31" s="165" t="s">
        <v>564</v>
      </c>
      <c r="D31" s="282">
        <v>0</v>
      </c>
      <c r="E31" s="1739">
        <v>0</v>
      </c>
      <c r="F31" s="1778">
        <f t="shared" si="28"/>
        <v>0</v>
      </c>
      <c r="G31" s="1771" t="e">
        <f t="shared" si="29"/>
        <v>#DIV/0!</v>
      </c>
      <c r="H31" s="1755" t="str">
        <f t="shared" si="30"/>
        <v>l</v>
      </c>
      <c r="I31" s="1954">
        <v>1</v>
      </c>
      <c r="J31" s="282">
        <f>I31*D31</f>
        <v>0</v>
      </c>
      <c r="K31" s="1740">
        <f t="shared" si="42"/>
        <v>0</v>
      </c>
      <c r="L31" s="1778">
        <f t="shared" si="39"/>
        <v>0</v>
      </c>
      <c r="M31" s="1771" t="e">
        <f t="shared" si="32"/>
        <v>#DIV/0!</v>
      </c>
      <c r="N31" s="1755" t="str">
        <f t="shared" si="33"/>
        <v>l</v>
      </c>
      <c r="O31" s="1954">
        <v>1</v>
      </c>
      <c r="P31" s="282">
        <f>O31*J31</f>
        <v>0</v>
      </c>
      <c r="Q31" s="1740">
        <f t="shared" si="34"/>
        <v>0</v>
      </c>
      <c r="R31" s="1778">
        <f t="shared" si="40"/>
        <v>0</v>
      </c>
      <c r="S31" s="1771" t="e">
        <f t="shared" si="35"/>
        <v>#DIV/0!</v>
      </c>
      <c r="T31" s="1755" t="str">
        <f t="shared" si="36"/>
        <v>l</v>
      </c>
      <c r="U31" s="1954">
        <v>1</v>
      </c>
      <c r="V31" s="282">
        <f>U31*P31</f>
        <v>0</v>
      </c>
      <c r="W31" s="1740">
        <f t="shared" si="37"/>
        <v>0</v>
      </c>
      <c r="X31" s="1778">
        <f t="shared" si="41"/>
        <v>0</v>
      </c>
      <c r="Y31" s="1771" t="e">
        <f t="shared" si="38"/>
        <v>#DIV/0!</v>
      </c>
      <c r="AA31" s="2063">
        <f t="shared" si="26"/>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8"/>
        <v>0</v>
      </c>
      <c r="G32" s="1771" t="e">
        <f>F32/F$59</f>
        <v>#DIV/0!</v>
      </c>
      <c r="H32" s="1755" t="str">
        <f t="shared" si="30"/>
        <v>kpl</v>
      </c>
      <c r="I32" s="1954">
        <v>1</v>
      </c>
      <c r="J32" s="282">
        <f>$D32*I32</f>
        <v>0</v>
      </c>
      <c r="K32" s="1740">
        <f t="shared" si="42"/>
        <v>0</v>
      </c>
      <c r="L32" s="1778">
        <f t="shared" si="39"/>
        <v>0</v>
      </c>
      <c r="M32" s="1771" t="e">
        <f t="shared" si="32"/>
        <v>#DIV/0!</v>
      </c>
      <c r="N32" s="1755" t="str">
        <f t="shared" si="33"/>
        <v>kpl</v>
      </c>
      <c r="O32" s="1954">
        <v>1</v>
      </c>
      <c r="P32" s="282">
        <f>$D32*O32</f>
        <v>0</v>
      </c>
      <c r="Q32" s="1740">
        <f t="shared" si="34"/>
        <v>0</v>
      </c>
      <c r="R32" s="1778">
        <f t="shared" si="40"/>
        <v>0</v>
      </c>
      <c r="S32" s="1771" t="e">
        <f t="shared" si="35"/>
        <v>#DIV/0!</v>
      </c>
      <c r="T32" s="1755" t="str">
        <f t="shared" si="36"/>
        <v>kpl</v>
      </c>
      <c r="U32" s="1954">
        <v>1</v>
      </c>
      <c r="V32" s="282">
        <f>$D32*U32</f>
        <v>0</v>
      </c>
      <c r="W32" s="1740">
        <f t="shared" si="37"/>
        <v>0</v>
      </c>
      <c r="X32" s="1778">
        <f t="shared" si="41"/>
        <v>0</v>
      </c>
      <c r="Y32" s="1771" t="e">
        <f t="shared" si="38"/>
        <v>#DIV/0!</v>
      </c>
      <c r="AA32" s="2063">
        <f t="shared" si="26"/>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9"/>
        <v>#DIV/0!</v>
      </c>
      <c r="H33" s="1756" t="s">
        <v>235</v>
      </c>
      <c r="I33" s="1756"/>
      <c r="J33" s="1152">
        <v>1</v>
      </c>
      <c r="K33" s="59">
        <f>IF($E$4&gt;0,$B$33*M6*J33,0)</f>
        <v>0</v>
      </c>
      <c r="L33" s="1780">
        <f>IF(K$6&gt;0,IF($M$2&lt;&gt;2,J33*K33/K6,K33*J33),0)</f>
        <v>0</v>
      </c>
      <c r="M33" s="1771" t="e">
        <f t="shared" si="32"/>
        <v>#DIV/0!</v>
      </c>
      <c r="N33" s="1756" t="s">
        <v>235</v>
      </c>
      <c r="O33" s="1756"/>
      <c r="P33" s="1152">
        <v>1</v>
      </c>
      <c r="Q33">
        <f>IF($E$4&gt;0,$B$33*S6*P33,0)</f>
        <v>0</v>
      </c>
      <c r="R33" s="1780">
        <f>IF(Q$6&gt;0,IF($M$2&lt;&gt;2,P33*Q33/Q6,Q33*P33),0)</f>
        <v>0</v>
      </c>
      <c r="S33" s="1771" t="e">
        <f t="shared" si="35"/>
        <v>#DIV/0!</v>
      </c>
      <c r="T33" s="1756" t="s">
        <v>235</v>
      </c>
      <c r="U33" s="1756"/>
      <c r="V33" s="1152">
        <v>1</v>
      </c>
      <c r="W33">
        <f>IF($E$4&gt;0,$B$33*Y6*V33,0)</f>
        <v>0</v>
      </c>
      <c r="X33" s="1780">
        <f>IF(W$6&gt;0,IF($M$2&lt;&gt;2,V33*W33/W6,W33*V33),0)</f>
        <v>0</v>
      </c>
      <c r="Y33" s="1771" t="e">
        <f t="shared" si="38"/>
        <v>#DIV/0!</v>
      </c>
      <c r="AA33" s="2063">
        <f t="shared" si="26"/>
        <v>0</v>
      </c>
      <c r="AB33" s="1306" t="str">
        <f>IF(AA33&lt;&gt;B33,"Et käyttänyt alkuperäistä summaa "&amp;TEXT(B33,"#,##")&amp;". Tarkista ero:"&amp;TEXT(AH37,"#,##€"),"Ok")</f>
        <v>Ok</v>
      </c>
      <c r="AM33" s="841"/>
    </row>
    <row r="34" spans="1:39" ht="15.75">
      <c r="A34" s="277" t="s">
        <v>445</v>
      </c>
      <c r="B34" s="1166" t="s">
        <v>519</v>
      </c>
      <c r="C34" s="165" t="s">
        <v>15</v>
      </c>
      <c r="D34" s="282">
        <v>0</v>
      </c>
      <c r="E34" s="1739">
        <v>17</v>
      </c>
      <c r="F34" s="1778">
        <f t="shared" ref="F34:F35" si="43">IF(E$6&gt;0,D34*E34,0)</f>
        <v>0</v>
      </c>
      <c r="G34" s="1771" t="e">
        <f t="shared" si="29"/>
        <v>#DIV/0!</v>
      </c>
      <c r="H34" s="1755" t="str">
        <f>C34</f>
        <v>h</v>
      </c>
      <c r="I34" s="1954">
        <v>1</v>
      </c>
      <c r="J34" s="282">
        <f>$D$34*I34</f>
        <v>0</v>
      </c>
      <c r="K34" s="1740">
        <f>$E$34</f>
        <v>17</v>
      </c>
      <c r="L34" s="1778">
        <f>IF(K$6&gt;0,J34*K34*I34,0)</f>
        <v>0</v>
      </c>
      <c r="M34" s="1771" t="e">
        <f t="shared" si="32"/>
        <v>#DIV/0!</v>
      </c>
      <c r="N34" s="1755" t="str">
        <f>H34</f>
        <v>h</v>
      </c>
      <c r="O34" s="1954">
        <v>1</v>
      </c>
      <c r="P34" s="282">
        <f>$D$34*O34</f>
        <v>0</v>
      </c>
      <c r="Q34" s="1740">
        <f>$E$34</f>
        <v>17</v>
      </c>
      <c r="R34" s="1778">
        <f>IF(Q$6&gt;0,P34*Q34*O34,0)</f>
        <v>0</v>
      </c>
      <c r="S34" s="1771" t="e">
        <f t="shared" si="35"/>
        <v>#DIV/0!</v>
      </c>
      <c r="T34" s="1755" t="str">
        <f>N34</f>
        <v>h</v>
      </c>
      <c r="U34" s="1954">
        <v>1</v>
      </c>
      <c r="V34" s="282">
        <f>$D$34*U34</f>
        <v>0</v>
      </c>
      <c r="W34" s="1740">
        <f>$E$34</f>
        <v>17</v>
      </c>
      <c r="X34" s="1778">
        <f>IF(W$6&gt;0,V34*W34*U34,0)</f>
        <v>0</v>
      </c>
      <c r="Y34" s="1771" t="e">
        <f t="shared" si="38"/>
        <v>#DIV/0!</v>
      </c>
      <c r="AA34" s="2063">
        <f t="shared" si="26"/>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43"/>
        <v>0</v>
      </c>
      <c r="G35" s="1771" t="e">
        <f t="shared" si="29"/>
        <v>#DIV/0!</v>
      </c>
      <c r="H35" s="1757" t="s">
        <v>159</v>
      </c>
      <c r="I35" s="1757"/>
      <c r="J35" s="286">
        <f>H40*J40</f>
        <v>0</v>
      </c>
      <c r="K35" s="287">
        <v>0.01</v>
      </c>
      <c r="L35" s="1778">
        <f t="shared" ref="L35" si="44">IF(K$6&gt;0,J35*K35,0)</f>
        <v>0</v>
      </c>
      <c r="M35" s="1771" t="e">
        <f t="shared" si="32"/>
        <v>#DIV/0!</v>
      </c>
      <c r="N35" s="1757" t="s">
        <v>159</v>
      </c>
      <c r="O35" s="1757"/>
      <c r="P35" s="286">
        <f>N40*P40</f>
        <v>0</v>
      </c>
      <c r="Q35" s="287">
        <v>0.01</v>
      </c>
      <c r="R35" s="1778">
        <f t="shared" ref="R35" si="45">IF(Q$6&gt;0,P35*Q35,0)</f>
        <v>0</v>
      </c>
      <c r="S35" s="1771" t="e">
        <f t="shared" si="35"/>
        <v>#DIV/0!</v>
      </c>
      <c r="T35" s="1757" t="s">
        <v>159</v>
      </c>
      <c r="U35" s="1757"/>
      <c r="V35" s="286">
        <f>T40*V40</f>
        <v>0</v>
      </c>
      <c r="W35" s="287">
        <v>0.01</v>
      </c>
      <c r="X35" s="1778">
        <f t="shared" ref="X35" si="46">IF(W$6&gt;0,V35*W35,0)</f>
        <v>0</v>
      </c>
      <c r="Y35" s="1771" t="e">
        <f t="shared" si="38"/>
        <v>#DIV/0!</v>
      </c>
      <c r="AA35" s="2063">
        <f t="shared" si="26"/>
        <v>0</v>
      </c>
      <c r="AB35" s="814" t="s">
        <v>1617</v>
      </c>
      <c r="AC35" s="1617"/>
      <c r="AD35" s="1694">
        <v>15</v>
      </c>
      <c r="AE35" t="s">
        <v>1597</v>
      </c>
      <c r="AH35" s="2114">
        <f>SUM(AH34,AH31)</f>
        <v>0</v>
      </c>
      <c r="AI35" s="2114">
        <f t="shared" ref="AI35:AM35" si="47">SUM(AI34,AI31)</f>
        <v>0</v>
      </c>
      <c r="AJ35" s="2114"/>
      <c r="AK35" s="2114">
        <f t="shared" si="47"/>
        <v>0</v>
      </c>
      <c r="AL35" s="2114">
        <f t="shared" si="47"/>
        <v>0</v>
      </c>
      <c r="AM35" s="2114">
        <f t="shared" si="47"/>
        <v>0</v>
      </c>
    </row>
    <row r="36" spans="1:39" ht="17.25" thickTop="1" thickBot="1">
      <c r="A36" s="1" t="s">
        <v>448</v>
      </c>
      <c r="B36" s="1"/>
      <c r="D36" s="14"/>
      <c r="E36" s="14"/>
      <c r="F36" s="178">
        <f>SUM(F21:F35)</f>
        <v>0</v>
      </c>
      <c r="G36" s="1771" t="e">
        <f t="shared" si="29"/>
        <v>#DIV/0!</v>
      </c>
      <c r="J36" s="14"/>
      <c r="K36" s="14"/>
      <c r="L36" s="178">
        <f>SUM(L21:L35)</f>
        <v>0</v>
      </c>
      <c r="M36" s="1771" t="e">
        <f t="shared" si="32"/>
        <v>#DIV/0!</v>
      </c>
      <c r="P36" s="14"/>
      <c r="Q36" s="14"/>
      <c r="R36" s="178">
        <f>SUM(R21:R35)</f>
        <v>0</v>
      </c>
      <c r="S36" s="1771" t="e">
        <f t="shared" si="35"/>
        <v>#DIV/0!</v>
      </c>
      <c r="V36" s="14"/>
      <c r="W36" s="14"/>
      <c r="X36" s="1779">
        <f>SUM(X21:X35)</f>
        <v>0</v>
      </c>
      <c r="Y36" s="1771" t="e">
        <f t="shared" si="38"/>
        <v>#DIV/0!</v>
      </c>
      <c r="AA36" s="2091">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290">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5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5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8">IF(E$6&gt;0,D42*E42,0)</f>
        <v>0</v>
      </c>
      <c r="G42" s="1771" t="e">
        <f>F42/$F$59</f>
        <v>#DIV/0!</v>
      </c>
      <c r="H42" s="1755" t="s">
        <v>15</v>
      </c>
      <c r="I42" s="1755"/>
      <c r="J42" s="90">
        <v>0</v>
      </c>
      <c r="K42" s="299">
        <f>E42</f>
        <v>15</v>
      </c>
      <c r="L42" s="1778">
        <f t="shared" ref="L42" si="49">IF(K$6&gt;0,J42*K42,0)</f>
        <v>0</v>
      </c>
      <c r="M42" s="1771" t="e">
        <f>L42/$F$59</f>
        <v>#DIV/0!</v>
      </c>
      <c r="N42" s="1755" t="s">
        <v>15</v>
      </c>
      <c r="O42" s="1755"/>
      <c r="P42" s="90">
        <v>0</v>
      </c>
      <c r="Q42" s="299">
        <f>K42</f>
        <v>15</v>
      </c>
      <c r="R42" s="1778">
        <f t="shared" ref="R42" si="50">IF(Q$6&gt;0,P42*Q42,0)</f>
        <v>0</v>
      </c>
      <c r="S42" s="1771" t="e">
        <f>R42/$F$59</f>
        <v>#DIV/0!</v>
      </c>
      <c r="T42" s="1755" t="s">
        <v>15</v>
      </c>
      <c r="U42" s="1755"/>
      <c r="V42" s="90">
        <v>0</v>
      </c>
      <c r="W42" s="299">
        <f>Q42</f>
        <v>15</v>
      </c>
      <c r="X42" s="1778">
        <f t="shared" ref="X42" si="51">IF(W$6&gt;0,V42*W42,0)</f>
        <v>0</v>
      </c>
      <c r="Y42" s="189" t="e">
        <f>X42/$F$59</f>
        <v>#DIV/0!</v>
      </c>
      <c r="AA42" s="1786">
        <f t="shared" ref="AA42" si="52">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18"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7"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53">IF($M$2&lt;&gt;1,SUM(F50,L50,R50,X50),F50*$E$6+L50*$K$6+R50*$Q$6+X50*$W$6)</f>
        <v>0</v>
      </c>
      <c r="AB50" t="str">
        <f>IF(AA50&gt;D50,"Lähtötiedoissa "&amp;TEXT(D50,"#,##")&amp;". Tarkista ero:"&amp;TEXT(D50-AA50,"#,##€")&amp;"Pinta-alajako ei ehkä oikein?","Ok")</f>
        <v>Ok</v>
      </c>
    </row>
    <row r="51" spans="1:28" ht="16.5" thickBot="1">
      <c r="A51" s="2678"/>
      <c r="B51" s="878" t="s">
        <v>232</v>
      </c>
      <c r="C51" s="1497">
        <f>IF($M$2=1,SUMIF(Lähtötiedot!$F$10:$F$20,$B$46,Lähtötiedot!$C$10:$C$20),$E$4)</f>
        <v>0</v>
      </c>
      <c r="D51" s="1810">
        <f>SUMIF(Lähtötiedot!$A$60:$A$70,$B$46,Lähtötiedot!$E$60:$E$70)</f>
        <v>0</v>
      </c>
      <c r="E51" s="1227">
        <v>1</v>
      </c>
      <c r="F51" s="1501">
        <f>IF(E6&gt;0,IF($M$2=1,D51/C51*E51,D51/C51*E51*E$6),0)</f>
        <v>0</v>
      </c>
      <c r="G51" s="1771" t="e">
        <f t="shared" ref="G51:G53" si="54">F51/F$59</f>
        <v>#DIV/0!</v>
      </c>
      <c r="H51" s="1760">
        <f t="shared" ref="H51:H53" si="55">$C51</f>
        <v>0</v>
      </c>
      <c r="I51" s="1760"/>
      <c r="J51" s="1810">
        <f>SUMIF(Lähtötiedot!$A$60:$A$70,$B$46,Lähtötiedot!$E$60:$E$70)</f>
        <v>0</v>
      </c>
      <c r="K51" s="1227">
        <v>1</v>
      </c>
      <c r="L51" s="1501">
        <f>IF(K6&gt;0,IF($M$2=1,J51/H51*K51,J51/H51*K51*K$6),0)</f>
        <v>0</v>
      </c>
      <c r="M51" s="1771" t="e">
        <f t="shared" ref="M51:M53" si="56">L51/L$59</f>
        <v>#DIV/0!</v>
      </c>
      <c r="N51" s="1760">
        <f t="shared" ref="N51:N53" si="57">$C51</f>
        <v>0</v>
      </c>
      <c r="O51" s="1760"/>
      <c r="P51" s="1810">
        <f>SUMIF(Lähtötiedot!$A$60:$A$70,$B$46,Lähtötiedot!$E$60:$E$70)</f>
        <v>0</v>
      </c>
      <c r="Q51" s="1227">
        <v>1</v>
      </c>
      <c r="R51" s="1501">
        <f>IF(Q6&gt;0,IF($M$2=1,P51/N51*Q51,P51/N51*Q51*Q$6),0)</f>
        <v>0</v>
      </c>
      <c r="S51" s="1771" t="e">
        <f t="shared" ref="S51:S53" si="58">R51/R$59</f>
        <v>#DIV/0!</v>
      </c>
      <c r="T51" s="1760">
        <f t="shared" ref="T51:T53" si="59">$C51</f>
        <v>0</v>
      </c>
      <c r="U51" s="1760"/>
      <c r="V51" s="1810">
        <f>SUMIF(Lähtötiedot!$A$60:$A$70,$B$46,Lähtötiedot!$E$60:$E$70)</f>
        <v>0</v>
      </c>
      <c r="W51" s="1227">
        <v>1</v>
      </c>
      <c r="X51" s="1501">
        <f>IF(W6&gt;0,IF($M$2=1,V51/T51*W51,V51/T51*W51*W$6),0)</f>
        <v>0</v>
      </c>
      <c r="Y51" s="1771" t="e">
        <f t="shared" ref="Y51:Y53" si="60">X51/X$59</f>
        <v>#DIV/0!</v>
      </c>
      <c r="AA51" s="1786">
        <f>IF($M$2&lt;&gt;1,SUM(F51,L51,R51,X51),F51*$E$6+L51*$K$6+R51*$Q$6+X51*$W$6)</f>
        <v>0</v>
      </c>
      <c r="AB51" t="str">
        <f t="shared" ref="AB51:AB53" si="61">IF(AA51&gt;D51,"Lähtötiedoissa "&amp;TEXT(D51,"#,##")&amp;". Tarkista ero:"&amp;TEXT(D51-AA51,"#,##€")&amp;"Pinta-alajako ei ehkä oikein?","Ok")</f>
        <v>Ok</v>
      </c>
    </row>
    <row r="52" spans="1:28" ht="16.5" thickBot="1">
      <c r="A52" s="2678"/>
      <c r="B52" s="874" t="s">
        <v>468</v>
      </c>
      <c r="C52" s="1497">
        <f>IF($M$2=1,SUMIF(Lähtötiedot!$F$10:$F$20,$B$46,Lähtötiedot!$C$10:$C$20),$E$4)</f>
        <v>0</v>
      </c>
      <c r="D52" s="1810">
        <f>SUMIF(Lähtötiedot!$A$60:$A$70,$B$46,Lähtötiedot!$F$60:$F$70)</f>
        <v>0</v>
      </c>
      <c r="E52" s="1227">
        <v>1</v>
      </c>
      <c r="F52" s="1501">
        <f>IF(E6&gt;0,IF($M$2=1,D52/C52*E52,D52/C52*E52*E$6),0)</f>
        <v>0</v>
      </c>
      <c r="G52" s="1771" t="e">
        <f t="shared" si="54"/>
        <v>#DIV/0!</v>
      </c>
      <c r="H52" s="1760">
        <f t="shared" si="55"/>
        <v>0</v>
      </c>
      <c r="I52" s="1760"/>
      <c r="J52" s="1810">
        <f>SUMIF(Lähtötiedot!$A$60:$A$70,$B$46,Lähtötiedot!$F$60:$F$70)</f>
        <v>0</v>
      </c>
      <c r="K52" s="1227">
        <v>1</v>
      </c>
      <c r="L52" s="1501">
        <f>IF(K6&gt;0,IF($M$2=1,J52/H52*K52,J52/H52*K52*K$6),0)</f>
        <v>0</v>
      </c>
      <c r="M52" s="1771" t="e">
        <f t="shared" si="56"/>
        <v>#DIV/0!</v>
      </c>
      <c r="N52" s="1760">
        <f t="shared" si="57"/>
        <v>0</v>
      </c>
      <c r="O52" s="1760"/>
      <c r="P52" s="1810">
        <f>SUMIF(Lähtötiedot!$A$60:$A$70,$B$46,Lähtötiedot!$F$60:$F$70)</f>
        <v>0</v>
      </c>
      <c r="Q52" s="1227">
        <v>1</v>
      </c>
      <c r="R52" s="1501">
        <f>IF(Q6&gt;0,IF($M$2=1,P52/N52*Q52,P52/N52*Q52*Q$6),0)</f>
        <v>0</v>
      </c>
      <c r="S52" s="1771" t="e">
        <f t="shared" si="58"/>
        <v>#DIV/0!</v>
      </c>
      <c r="T52" s="1760">
        <f t="shared" si="59"/>
        <v>0</v>
      </c>
      <c r="U52" s="1760"/>
      <c r="V52" s="1810">
        <f>SUMIF(Lähtötiedot!$A$60:$A$70,$B$46,Lähtötiedot!$F$60:$F$70)</f>
        <v>0</v>
      </c>
      <c r="W52" s="1227">
        <v>1</v>
      </c>
      <c r="X52" s="1501">
        <f>IF(W6&gt;0,IF($M$2=1,V52/T52*W52,V52/T52*W52*W$6),0)</f>
        <v>0</v>
      </c>
      <c r="Y52" s="1771" t="e">
        <f t="shared" si="60"/>
        <v>#DIV/0!</v>
      </c>
      <c r="AA52" s="1786">
        <f t="shared" ref="AA52" si="62">IF($M$2&lt;&gt;1,SUM(F52,L52,R52,X52),F52*$E$6+L52*$K$6+R52*$Q$6+X52*$W$6)</f>
        <v>0</v>
      </c>
      <c r="AB52" t="str">
        <f t="shared" si="61"/>
        <v>Ok</v>
      </c>
    </row>
    <row r="53" spans="1:28" ht="16.5" thickBot="1">
      <c r="A53" s="2679"/>
      <c r="B53" s="874" t="s">
        <v>469</v>
      </c>
      <c r="C53" s="1497">
        <f>IF($M$2=1,SUMIF(Lähtötiedot!$F$10:$F$20,$B$46,Lähtötiedot!$C$10:$C$20),$E$4)</f>
        <v>0</v>
      </c>
      <c r="D53" s="1810">
        <f>SUMIF(Lähtötiedot!$A$60:$A$70,$B$46,Lähtötiedot!$G$60:$G$70)</f>
        <v>0</v>
      </c>
      <c r="E53" s="1227">
        <v>1</v>
      </c>
      <c r="F53" s="1501">
        <f>IF(E6&gt;0,IF($M$2=1,D53/C53*E53,D53/C53*E53*E$6),0)</f>
        <v>0</v>
      </c>
      <c r="G53" s="1771" t="e">
        <f t="shared" si="54"/>
        <v>#DIV/0!</v>
      </c>
      <c r="H53" s="1760">
        <f t="shared" si="55"/>
        <v>0</v>
      </c>
      <c r="I53" s="1760"/>
      <c r="J53" s="1810">
        <f>SUMIF(Lähtötiedot!$A$60:$A$70,$B$46,Lähtötiedot!$G$60:$G$70)</f>
        <v>0</v>
      </c>
      <c r="K53" s="1227">
        <v>1</v>
      </c>
      <c r="L53" s="1501">
        <f>IF(K6&gt;0,IF($M$2=1,J53/H53*K53,J53/H53*K53*K$6),0)</f>
        <v>0</v>
      </c>
      <c r="M53" s="1771" t="e">
        <f t="shared" si="56"/>
        <v>#DIV/0!</v>
      </c>
      <c r="N53" s="1760">
        <f t="shared" si="57"/>
        <v>0</v>
      </c>
      <c r="O53" s="1760"/>
      <c r="P53" s="1810">
        <f>SUMIF(Lähtötiedot!$A$60:$A$70,$B$46,Lähtötiedot!$G$60:$G$70)</f>
        <v>0</v>
      </c>
      <c r="Q53" s="1227">
        <v>1</v>
      </c>
      <c r="R53" s="1501">
        <f>IF(Q6&gt;0,IF($M$2=1,P53/N53*Q53,P53/N53*Q53*Q$6),0)</f>
        <v>0</v>
      </c>
      <c r="S53" s="1771" t="e">
        <f t="shared" si="58"/>
        <v>#DIV/0!</v>
      </c>
      <c r="T53" s="1760">
        <f t="shared" si="59"/>
        <v>0</v>
      </c>
      <c r="U53" s="1760"/>
      <c r="V53" s="1810">
        <f>SUMIF(Lähtötiedot!$A$60:$A$70,$B$46,Lähtötiedot!$G$60:$G$70)</f>
        <v>0</v>
      </c>
      <c r="W53" s="1227">
        <v>1</v>
      </c>
      <c r="X53" s="1501">
        <f>IF(W6&gt;0,IF($M$2=1,V53/T53*W53,V53/T53*W53*W$6),0)</f>
        <v>0</v>
      </c>
      <c r="Y53" s="1771" t="e">
        <f t="shared" si="60"/>
        <v>#DIV/0!</v>
      </c>
      <c r="AA53" s="1786">
        <f>IF($M$2&lt;&gt;1,SUM(F53,L53,R53,X53),F53*$E$6+L53*$K$6+R53*$Q$6+X53*$W$6)</f>
        <v>0</v>
      </c>
      <c r="AB53" t="str">
        <f t="shared" si="61"/>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85">
        <f>F36</f>
        <v>0</v>
      </c>
      <c r="E78" s="2686"/>
      <c r="J78" s="2685">
        <f>L36</f>
        <v>0</v>
      </c>
      <c r="K78" s="2686"/>
      <c r="P78" s="2685">
        <f>R36</f>
        <v>0</v>
      </c>
      <c r="Q78" s="2686"/>
      <c r="V78" s="2685">
        <f>X36</f>
        <v>0</v>
      </c>
      <c r="W78" s="2686"/>
    </row>
    <row r="79" spans="1:27">
      <c r="A79" s="814"/>
      <c r="B79" s="183" t="str">
        <f>A42</f>
        <v>Työkustannus (ihmistyö)</v>
      </c>
      <c r="D79" s="2687">
        <f>F42</f>
        <v>0</v>
      </c>
      <c r="E79" s="2688"/>
      <c r="J79" s="2687">
        <f>L42</f>
        <v>0</v>
      </c>
      <c r="K79" s="2688"/>
      <c r="P79" s="2687">
        <f>R42</f>
        <v>0</v>
      </c>
      <c r="Q79" s="2688"/>
      <c r="V79" s="2687">
        <f>X42</f>
        <v>0</v>
      </c>
      <c r="W79" s="2688"/>
    </row>
    <row r="80" spans="1:27" ht="13.5" thickBot="1">
      <c r="A80" s="814"/>
      <c r="B80" s="183" t="s">
        <v>470</v>
      </c>
      <c r="D80" s="2687">
        <f>F55</f>
        <v>0</v>
      </c>
      <c r="E80" s="2688"/>
      <c r="J80" s="2687">
        <f>L55</f>
        <v>0</v>
      </c>
      <c r="K80" s="2688"/>
      <c r="P80" s="2687">
        <f>R55</f>
        <v>0</v>
      </c>
      <c r="Q80" s="2688"/>
      <c r="V80" s="2687">
        <f>X55</f>
        <v>0</v>
      </c>
      <c r="W80" s="2688"/>
    </row>
    <row r="81" spans="1:27" ht="13.5" thickBot="1">
      <c r="A81" s="814"/>
      <c r="B81" s="323" t="s">
        <v>494</v>
      </c>
      <c r="D81" s="2689">
        <f>SUM(D78:E80)</f>
        <v>0</v>
      </c>
      <c r="E81" s="2690">
        <f t="shared" ref="E81" si="63">SUM(E78:E80)</f>
        <v>0</v>
      </c>
      <c r="F81" s="1812"/>
      <c r="J81" s="2689">
        <f>SUM(J78:K80)</f>
        <v>0</v>
      </c>
      <c r="K81" s="2690">
        <f t="shared" ref="K81" si="64">SUM(K78:K80)</f>
        <v>0</v>
      </c>
      <c r="P81" s="2689">
        <f t="shared" ref="P81:Q81" si="65">SUM(P78:P80)</f>
        <v>0</v>
      </c>
      <c r="Q81" s="2690">
        <f t="shared" si="65"/>
        <v>0</v>
      </c>
      <c r="V81" s="2689">
        <f>SUM(V78:W80)</f>
        <v>0</v>
      </c>
      <c r="W81" s="2690">
        <f t="shared" ref="W81" si="66">SUM(W78:W80)</f>
        <v>0</v>
      </c>
    </row>
    <row r="82" spans="1:27" ht="13.5" thickBot="1">
      <c r="A82" s="814"/>
      <c r="B82" s="183" t="s">
        <v>495</v>
      </c>
      <c r="D82" s="2691">
        <f>C70</f>
        <v>0</v>
      </c>
      <c r="E82" s="2692"/>
      <c r="J82" s="2691">
        <f>H70</f>
        <v>0</v>
      </c>
      <c r="K82" s="2692"/>
      <c r="P82" s="2691">
        <f>N70</f>
        <v>0</v>
      </c>
      <c r="Q82" s="2692"/>
      <c r="V82" s="2691">
        <f>T70</f>
        <v>0</v>
      </c>
      <c r="W82" s="2692"/>
    </row>
    <row r="83" spans="1:27" ht="16.5" thickBot="1">
      <c r="A83" s="815"/>
      <c r="B83" s="1814" t="s">
        <v>567</v>
      </c>
      <c r="C83" s="818" t="s">
        <v>497</v>
      </c>
      <c r="D83" s="2694" t="e">
        <f>D81/D82</f>
        <v>#DIV/0!</v>
      </c>
      <c r="E83" s="2695"/>
      <c r="F83" s="1753"/>
      <c r="G83" s="1775"/>
      <c r="H83" s="1753"/>
      <c r="I83" s="1753"/>
      <c r="J83" s="2683" t="e">
        <f>J81/J82</f>
        <v>#DIV/0!</v>
      </c>
      <c r="K83" s="2684"/>
      <c r="L83" s="1753"/>
      <c r="M83" s="1775"/>
      <c r="N83" s="1753"/>
      <c r="O83" s="1753"/>
      <c r="P83" s="2683" t="e">
        <f>P81/P82</f>
        <v>#DIV/0!</v>
      </c>
      <c r="Q83" s="2684"/>
      <c r="R83" s="1753"/>
      <c r="S83" s="1775"/>
      <c r="T83" s="1753"/>
      <c r="U83" s="1753"/>
      <c r="V83" s="2683" t="e">
        <f>V81/V82</f>
        <v>#DIV/0!</v>
      </c>
      <c r="W83" s="2684"/>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7">(A91*$E$8)+SUM($F$11:$F$16)</f>
        <v>0</v>
      </c>
      <c r="C91" s="11"/>
      <c r="D91" s="328">
        <f>$D$78</f>
        <v>0</v>
      </c>
      <c r="E91" s="329">
        <f t="shared" ref="E91:E103" si="68">$D$79</f>
        <v>0</v>
      </c>
      <c r="F91" s="330">
        <f t="shared" ref="F91:F103" si="69">$D$80</f>
        <v>0</v>
      </c>
      <c r="G91" s="1776">
        <f t="shared" ref="G91:G103" si="70">SUM(D91:F91)</f>
        <v>0</v>
      </c>
      <c r="J91" s="332">
        <f t="shared" ref="J91:J103" si="71">B91-G91</f>
        <v>0</v>
      </c>
      <c r="K91" s="333">
        <f t="shared" ref="K91:K103" si="72">J91/A91</f>
        <v>0</v>
      </c>
      <c r="L91" s="334"/>
      <c r="AA91" s="1793">
        <f t="shared" ref="AA91:AA103" si="73">G91/A91</f>
        <v>0</v>
      </c>
    </row>
    <row r="92" spans="1:27" hidden="1">
      <c r="A92" s="329">
        <f>A93-$B$86</f>
        <v>-1000</v>
      </c>
      <c r="B92" s="329">
        <f t="shared" si="67"/>
        <v>0</v>
      </c>
      <c r="C92" s="328">
        <f>(B92-B91)/(A92-A91)</f>
        <v>0</v>
      </c>
      <c r="D92" s="328">
        <f>$D$78</f>
        <v>0</v>
      </c>
      <c r="E92" s="329">
        <f t="shared" si="68"/>
        <v>0</v>
      </c>
      <c r="F92" s="330">
        <f t="shared" si="69"/>
        <v>0</v>
      </c>
      <c r="G92" s="1776">
        <f t="shared" si="70"/>
        <v>0</v>
      </c>
      <c r="J92" s="332">
        <f t="shared" si="71"/>
        <v>0</v>
      </c>
      <c r="K92" s="333">
        <f t="shared" si="72"/>
        <v>0</v>
      </c>
      <c r="L92" s="334">
        <f t="shared" ref="L92:L103" si="74">(G92-G91)/(A92-A91)</f>
        <v>0</v>
      </c>
      <c r="M92" s="1777" t="e">
        <f>(B92-B93)/B93</f>
        <v>#DIV/0!</v>
      </c>
      <c r="N92" s="341">
        <v>0</v>
      </c>
      <c r="O92" s="341"/>
      <c r="AA92" s="1793">
        <f t="shared" si="73"/>
        <v>0</v>
      </c>
    </row>
    <row r="93" spans="1:27" hidden="1">
      <c r="A93" s="329">
        <f>A94-$B$86</f>
        <v>-500</v>
      </c>
      <c r="B93" s="329">
        <f t="shared" si="67"/>
        <v>0</v>
      </c>
      <c r="C93" s="328">
        <f>(B93-B92)/(A93-A92)</f>
        <v>0</v>
      </c>
      <c r="D93" s="328">
        <f>$D$78</f>
        <v>0</v>
      </c>
      <c r="E93" s="329">
        <f t="shared" si="68"/>
        <v>0</v>
      </c>
      <c r="F93" s="330">
        <f t="shared" si="69"/>
        <v>0</v>
      </c>
      <c r="G93" s="1776">
        <f t="shared" si="70"/>
        <v>0</v>
      </c>
      <c r="J93" s="332">
        <f t="shared" si="71"/>
        <v>0</v>
      </c>
      <c r="K93" s="333">
        <f t="shared" si="72"/>
        <v>0</v>
      </c>
      <c r="L93" s="334">
        <f t="shared" si="74"/>
        <v>0</v>
      </c>
      <c r="M93" s="1777" t="e">
        <f>(B93-B94)/B94</f>
        <v>#DIV/0!</v>
      </c>
      <c r="N93" s="341">
        <v>0</v>
      </c>
      <c r="O93" s="341"/>
      <c r="AA93" s="1793">
        <f t="shared" si="73"/>
        <v>0</v>
      </c>
    </row>
    <row r="94" spans="1:27" hidden="1">
      <c r="A94" s="336">
        <f>D8</f>
        <v>0</v>
      </c>
      <c r="B94" s="336">
        <f t="shared" si="67"/>
        <v>0</v>
      </c>
      <c r="C94" s="338">
        <f>(B94-B93)/(A94-A93)</f>
        <v>0</v>
      </c>
      <c r="D94" s="328">
        <f>$D$78</f>
        <v>0</v>
      </c>
      <c r="E94" s="329">
        <f t="shared" si="68"/>
        <v>0</v>
      </c>
      <c r="F94" s="330">
        <f t="shared" si="69"/>
        <v>0</v>
      </c>
      <c r="G94" s="1776">
        <f t="shared" si="70"/>
        <v>0</v>
      </c>
      <c r="J94" s="332">
        <f t="shared" si="71"/>
        <v>0</v>
      </c>
      <c r="K94" s="333" t="e">
        <f t="shared" si="72"/>
        <v>#DIV/0!</v>
      </c>
      <c r="L94" s="334">
        <f t="shared" si="74"/>
        <v>0</v>
      </c>
      <c r="M94" s="1777">
        <v>0</v>
      </c>
      <c r="N94" s="341" t="e">
        <f t="shared" ref="N94:N103" si="75">(G94-G93)/G93</f>
        <v>#DIV/0!</v>
      </c>
      <c r="O94" s="341"/>
      <c r="AA94" s="1793" t="e">
        <f t="shared" si="73"/>
        <v>#DIV/0!</v>
      </c>
    </row>
    <row r="95" spans="1:27" hidden="1">
      <c r="A95" s="329">
        <f t="shared" ref="A95:A103" si="76">A94+$B$86</f>
        <v>500</v>
      </c>
      <c r="B95" s="329">
        <f t="shared" si="67"/>
        <v>0</v>
      </c>
      <c r="C95" s="328">
        <f t="shared" ref="C95:C103" si="77">(B95-B94)/(A95-A94)</f>
        <v>0</v>
      </c>
      <c r="D95" s="328">
        <f t="shared" ref="D95:D103" si="78">($B$87*D94)+D94</f>
        <v>0</v>
      </c>
      <c r="E95" s="329">
        <f t="shared" si="68"/>
        <v>0</v>
      </c>
      <c r="F95" s="330">
        <f t="shared" si="69"/>
        <v>0</v>
      </c>
      <c r="G95" s="1776">
        <f t="shared" si="70"/>
        <v>0</v>
      </c>
      <c r="J95" s="332">
        <f t="shared" si="71"/>
        <v>0</v>
      </c>
      <c r="K95" s="333">
        <f t="shared" si="72"/>
        <v>0</v>
      </c>
      <c r="L95" s="334">
        <f t="shared" si="74"/>
        <v>0</v>
      </c>
      <c r="M95" s="1777" t="e">
        <f t="shared" ref="M95:M103" si="79">(B95-B94)/B94</f>
        <v>#DIV/0!</v>
      </c>
      <c r="N95" s="341" t="e">
        <f t="shared" si="75"/>
        <v>#DIV/0!</v>
      </c>
      <c r="O95" s="341"/>
      <c r="AA95" s="1793">
        <f t="shared" si="73"/>
        <v>0</v>
      </c>
    </row>
    <row r="96" spans="1:27" hidden="1">
      <c r="A96" s="329">
        <f t="shared" si="76"/>
        <v>1000</v>
      </c>
      <c r="B96" s="329">
        <f t="shared" si="67"/>
        <v>0</v>
      </c>
      <c r="C96" s="328">
        <f t="shared" si="77"/>
        <v>0</v>
      </c>
      <c r="D96" s="328">
        <f t="shared" si="78"/>
        <v>0</v>
      </c>
      <c r="E96" s="329">
        <f t="shared" si="68"/>
        <v>0</v>
      </c>
      <c r="F96" s="330">
        <f t="shared" si="69"/>
        <v>0</v>
      </c>
      <c r="G96" s="1776">
        <f t="shared" si="70"/>
        <v>0</v>
      </c>
      <c r="J96" s="332">
        <f t="shared" si="71"/>
        <v>0</v>
      </c>
      <c r="K96" s="333">
        <f t="shared" si="72"/>
        <v>0</v>
      </c>
      <c r="L96" s="334">
        <f t="shared" si="74"/>
        <v>0</v>
      </c>
      <c r="M96" s="1777" t="e">
        <f t="shared" si="79"/>
        <v>#DIV/0!</v>
      </c>
      <c r="N96" s="341" t="e">
        <f t="shared" si="75"/>
        <v>#DIV/0!</v>
      </c>
      <c r="O96" s="341"/>
      <c r="AA96" s="1793">
        <f t="shared" si="73"/>
        <v>0</v>
      </c>
    </row>
    <row r="97" spans="1:27" hidden="1">
      <c r="A97" s="329">
        <f t="shared" si="76"/>
        <v>1500</v>
      </c>
      <c r="B97" s="329">
        <f t="shared" si="67"/>
        <v>0</v>
      </c>
      <c r="C97" s="328">
        <f t="shared" si="77"/>
        <v>0</v>
      </c>
      <c r="D97" s="328">
        <f t="shared" si="78"/>
        <v>0</v>
      </c>
      <c r="E97" s="329">
        <f t="shared" si="68"/>
        <v>0</v>
      </c>
      <c r="F97" s="330">
        <f t="shared" si="69"/>
        <v>0</v>
      </c>
      <c r="G97" s="1776">
        <f t="shared" si="70"/>
        <v>0</v>
      </c>
      <c r="J97" s="332">
        <f t="shared" si="71"/>
        <v>0</v>
      </c>
      <c r="K97" s="333">
        <f t="shared" si="72"/>
        <v>0</v>
      </c>
      <c r="L97" s="334">
        <f t="shared" si="74"/>
        <v>0</v>
      </c>
      <c r="M97" s="1777" t="e">
        <f t="shared" si="79"/>
        <v>#DIV/0!</v>
      </c>
      <c r="N97" s="341" t="e">
        <f t="shared" si="75"/>
        <v>#DIV/0!</v>
      </c>
      <c r="O97" s="341"/>
      <c r="AA97" s="1793">
        <f t="shared" si="73"/>
        <v>0</v>
      </c>
    </row>
    <row r="98" spans="1:27" hidden="1">
      <c r="A98" s="329">
        <f t="shared" si="76"/>
        <v>2000</v>
      </c>
      <c r="B98" s="329">
        <f t="shared" si="67"/>
        <v>0</v>
      </c>
      <c r="C98" s="328">
        <f t="shared" si="77"/>
        <v>0</v>
      </c>
      <c r="D98" s="328">
        <f t="shared" si="78"/>
        <v>0</v>
      </c>
      <c r="E98" s="329">
        <f t="shared" si="68"/>
        <v>0</v>
      </c>
      <c r="F98" s="330">
        <f t="shared" si="69"/>
        <v>0</v>
      </c>
      <c r="G98" s="1776">
        <f t="shared" si="70"/>
        <v>0</v>
      </c>
      <c r="J98" s="332">
        <f t="shared" si="71"/>
        <v>0</v>
      </c>
      <c r="K98" s="333">
        <f t="shared" si="72"/>
        <v>0</v>
      </c>
      <c r="L98" s="334">
        <f t="shared" si="74"/>
        <v>0</v>
      </c>
      <c r="M98" s="1777" t="e">
        <f t="shared" si="79"/>
        <v>#DIV/0!</v>
      </c>
      <c r="N98" s="341" t="e">
        <f t="shared" si="75"/>
        <v>#DIV/0!</v>
      </c>
      <c r="O98" s="341"/>
      <c r="AA98" s="1793">
        <f t="shared" si="73"/>
        <v>0</v>
      </c>
    </row>
    <row r="99" spans="1:27" hidden="1">
      <c r="A99" s="329">
        <f t="shared" si="76"/>
        <v>2500</v>
      </c>
      <c r="B99" s="329">
        <f t="shared" si="67"/>
        <v>0</v>
      </c>
      <c r="C99" s="328">
        <f t="shared" si="77"/>
        <v>0</v>
      </c>
      <c r="D99" s="328">
        <f t="shared" si="78"/>
        <v>0</v>
      </c>
      <c r="E99" s="329">
        <f t="shared" si="68"/>
        <v>0</v>
      </c>
      <c r="F99" s="330">
        <f t="shared" si="69"/>
        <v>0</v>
      </c>
      <c r="G99" s="1776">
        <f t="shared" si="70"/>
        <v>0</v>
      </c>
      <c r="J99" s="332">
        <f t="shared" si="71"/>
        <v>0</v>
      </c>
      <c r="K99" s="333">
        <f t="shared" si="72"/>
        <v>0</v>
      </c>
      <c r="L99" s="334">
        <f t="shared" si="74"/>
        <v>0</v>
      </c>
      <c r="M99" s="1777" t="e">
        <f t="shared" si="79"/>
        <v>#DIV/0!</v>
      </c>
      <c r="N99" s="341" t="e">
        <f t="shared" si="75"/>
        <v>#DIV/0!</v>
      </c>
      <c r="O99" s="341"/>
      <c r="AA99" s="1793">
        <f t="shared" si="73"/>
        <v>0</v>
      </c>
    </row>
    <row r="100" spans="1:27" hidden="1">
      <c r="A100" s="329">
        <f t="shared" si="76"/>
        <v>3000</v>
      </c>
      <c r="B100" s="329">
        <f t="shared" si="67"/>
        <v>0</v>
      </c>
      <c r="C100" s="328">
        <f t="shared" si="77"/>
        <v>0</v>
      </c>
      <c r="D100" s="328">
        <f t="shared" si="78"/>
        <v>0</v>
      </c>
      <c r="E100" s="329">
        <f t="shared" si="68"/>
        <v>0</v>
      </c>
      <c r="F100" s="330">
        <f t="shared" si="69"/>
        <v>0</v>
      </c>
      <c r="G100" s="1776">
        <f t="shared" si="70"/>
        <v>0</v>
      </c>
      <c r="J100" s="332">
        <f t="shared" si="71"/>
        <v>0</v>
      </c>
      <c r="K100" s="333">
        <f t="shared" si="72"/>
        <v>0</v>
      </c>
      <c r="L100" s="334">
        <f t="shared" si="74"/>
        <v>0</v>
      </c>
      <c r="M100" s="1777" t="e">
        <f t="shared" si="79"/>
        <v>#DIV/0!</v>
      </c>
      <c r="N100" s="341" t="e">
        <f t="shared" si="75"/>
        <v>#DIV/0!</v>
      </c>
      <c r="O100" s="341"/>
      <c r="AA100" s="1793">
        <f t="shared" si="73"/>
        <v>0</v>
      </c>
    </row>
    <row r="101" spans="1:27" hidden="1">
      <c r="A101" s="329">
        <f t="shared" si="76"/>
        <v>3500</v>
      </c>
      <c r="B101" s="329">
        <f t="shared" si="67"/>
        <v>0</v>
      </c>
      <c r="C101" s="328">
        <f t="shared" si="77"/>
        <v>0</v>
      </c>
      <c r="D101" s="328">
        <f t="shared" si="78"/>
        <v>0</v>
      </c>
      <c r="E101" s="329">
        <f t="shared" si="68"/>
        <v>0</v>
      </c>
      <c r="F101" s="330">
        <f t="shared" si="69"/>
        <v>0</v>
      </c>
      <c r="G101" s="1776">
        <f t="shared" si="70"/>
        <v>0</v>
      </c>
      <c r="J101" s="332">
        <f t="shared" si="71"/>
        <v>0</v>
      </c>
      <c r="K101" s="333">
        <f t="shared" si="72"/>
        <v>0</v>
      </c>
      <c r="L101" s="334">
        <f t="shared" si="74"/>
        <v>0</v>
      </c>
      <c r="M101" s="1777" t="e">
        <f t="shared" si="79"/>
        <v>#DIV/0!</v>
      </c>
      <c r="N101" s="341" t="e">
        <f t="shared" si="75"/>
        <v>#DIV/0!</v>
      </c>
      <c r="O101" s="341"/>
      <c r="AA101" s="1793">
        <f t="shared" si="73"/>
        <v>0</v>
      </c>
    </row>
    <row r="102" spans="1:27" hidden="1">
      <c r="A102" s="329">
        <f t="shared" si="76"/>
        <v>4000</v>
      </c>
      <c r="B102" s="329">
        <f t="shared" si="67"/>
        <v>0</v>
      </c>
      <c r="C102" s="328">
        <f t="shared" si="77"/>
        <v>0</v>
      </c>
      <c r="D102" s="328">
        <f t="shared" si="78"/>
        <v>0</v>
      </c>
      <c r="E102" s="329">
        <f t="shared" si="68"/>
        <v>0</v>
      </c>
      <c r="F102" s="330">
        <f t="shared" si="69"/>
        <v>0</v>
      </c>
      <c r="G102" s="1776">
        <f t="shared" si="70"/>
        <v>0</v>
      </c>
      <c r="J102" s="332">
        <f t="shared" si="71"/>
        <v>0</v>
      </c>
      <c r="K102" s="333">
        <f t="shared" si="72"/>
        <v>0</v>
      </c>
      <c r="L102" s="334">
        <f t="shared" si="74"/>
        <v>0</v>
      </c>
      <c r="M102" s="1777" t="e">
        <f t="shared" si="79"/>
        <v>#DIV/0!</v>
      </c>
      <c r="N102" s="341" t="e">
        <f t="shared" si="75"/>
        <v>#DIV/0!</v>
      </c>
      <c r="O102" s="341"/>
      <c r="AA102" s="1793">
        <f t="shared" si="73"/>
        <v>0</v>
      </c>
    </row>
    <row r="103" spans="1:27" hidden="1">
      <c r="A103" s="329">
        <f t="shared" si="76"/>
        <v>4500</v>
      </c>
      <c r="B103" s="329">
        <f t="shared" si="67"/>
        <v>0</v>
      </c>
      <c r="C103" s="328">
        <f t="shared" si="77"/>
        <v>0</v>
      </c>
      <c r="D103" s="328">
        <f t="shared" si="78"/>
        <v>0</v>
      </c>
      <c r="E103" s="329">
        <f t="shared" si="68"/>
        <v>0</v>
      </c>
      <c r="F103" s="330">
        <f t="shared" si="69"/>
        <v>0</v>
      </c>
      <c r="G103" s="1776">
        <f t="shared" si="70"/>
        <v>0</v>
      </c>
      <c r="J103" s="332">
        <f t="shared" si="71"/>
        <v>0</v>
      </c>
      <c r="K103" s="333">
        <f t="shared" si="72"/>
        <v>0</v>
      </c>
      <c r="L103" s="334">
        <f t="shared" si="74"/>
        <v>0</v>
      </c>
      <c r="M103" s="1777" t="e">
        <f t="shared" si="79"/>
        <v>#DIV/0!</v>
      </c>
      <c r="N103" s="341" t="e">
        <f t="shared" si="75"/>
        <v>#DIV/0!</v>
      </c>
      <c r="O103" s="341"/>
      <c r="AA103" s="1793">
        <f t="shared" si="73"/>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34" location="'Traktorin tuntihinta'!A1" display="Konelaskuri" xr:uid="{00000000-0004-0000-1400-000000000000}"/>
  </hyperlinks>
  <pageMargins left="0.7" right="0.7" top="0.75" bottom="0.75" header="0.51180555555555551" footer="0.51180555555555551"/>
  <pageSetup paperSize="9" scale="35"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Lähtötiedot!$A$88:$A$93</xm:f>
          </x14:formula1>
          <xm:sqref>AG31 AG34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ul18"/>
  <dimension ref="A1:N124"/>
  <sheetViews>
    <sheetView zoomScale="80" zoomScaleNormal="80" zoomScaleSheetLayoutView="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10" ht="18">
      <c r="A1" s="79" t="s">
        <v>586</v>
      </c>
    </row>
    <row r="2" spans="1:10" ht="18">
      <c r="A2" s="1188" t="s">
        <v>587</v>
      </c>
      <c r="B2" s="1190" t="str">
        <f>Lähtötiedot!A39</f>
        <v>Maito (LaskeMaito1)</v>
      </c>
      <c r="C2" s="246"/>
      <c r="D2" s="1992" t="s">
        <v>189</v>
      </c>
      <c r="E2" s="884" t="str">
        <f>Lähtötiedot!E4</f>
        <v>C</v>
      </c>
    </row>
    <row r="3" spans="1:10" ht="18">
      <c r="A3" s="247"/>
      <c r="B3" s="247" t="s">
        <v>188</v>
      </c>
      <c r="C3" s="247"/>
      <c r="D3" s="247"/>
      <c r="E3" s="248">
        <f>Lähtötiedot!C4</f>
        <v>2027</v>
      </c>
      <c r="F3" s="247"/>
    </row>
    <row r="4" spans="1:10" ht="18.75" thickBot="1">
      <c r="B4" s="249" t="s">
        <v>588</v>
      </c>
      <c r="D4" s="250"/>
      <c r="E4" s="251">
        <f>Lähtötiedot!C39</f>
        <v>0</v>
      </c>
      <c r="F4" s="247" t="s">
        <v>150</v>
      </c>
    </row>
    <row r="5" spans="1:10" ht="18.75" thickBot="1">
      <c r="A5" s="1" t="str">
        <f>IF($E$5&lt;&gt;1,"TUOTOT € "&amp;$E$4&amp;" "&amp; $F$4,"TUOTOT €/1 "&amp;$F$4)</f>
        <v>TUOTOT €/1 kpl</v>
      </c>
      <c r="B5" s="249" t="s">
        <v>589</v>
      </c>
      <c r="E5" s="1394">
        <v>1</v>
      </c>
      <c r="F5" s="247" t="str">
        <f>IF(E5&lt;&gt;1,"Huom!, laskenta koko karjalle","")</f>
        <v/>
      </c>
    </row>
    <row r="6" spans="1:10" ht="15.75">
      <c r="A6" s="1" t="s">
        <v>417</v>
      </c>
      <c r="B6" s="1" t="s">
        <v>418</v>
      </c>
      <c r="C6" s="252" t="s">
        <v>146</v>
      </c>
      <c r="D6" s="1180" t="str">
        <f>C7</f>
        <v>l</v>
      </c>
      <c r="E6" s="252" t="s">
        <v>419</v>
      </c>
      <c r="F6" s="252" t="s">
        <v>235</v>
      </c>
      <c r="G6" s="521" t="s">
        <v>159</v>
      </c>
      <c r="H6" s="252" t="s">
        <v>590</v>
      </c>
      <c r="I6" s="2696" t="s">
        <v>591</v>
      </c>
      <c r="J6" s="2696"/>
    </row>
    <row r="7" spans="1:10" ht="15.75" thickBot="1">
      <c r="A7" s="276" t="s">
        <v>592</v>
      </c>
      <c r="B7" s="276"/>
      <c r="C7" s="370" t="s">
        <v>564</v>
      </c>
      <c r="D7" s="1527">
        <v>0</v>
      </c>
      <c r="E7" s="371">
        <v>0</v>
      </c>
      <c r="F7" s="172">
        <f t="shared" ref="F7:F17" si="0">D7*E7</f>
        <v>0</v>
      </c>
      <c r="G7" s="189" t="str">
        <f>IFERROR(F7/$F$18,"")</f>
        <v/>
      </c>
      <c r="H7" s="1528">
        <f>IF($E$5&lt;&gt;1,F7,F7*$E$4)</f>
        <v>0</v>
      </c>
      <c r="I7" s="1525">
        <f>IF(AND($E$5&lt;&gt;1,D7&gt;0),D7/$E$4,D7)</f>
        <v>0</v>
      </c>
    </row>
    <row r="8" spans="1:10" ht="15">
      <c r="A8" s="260" t="s">
        <v>593</v>
      </c>
      <c r="B8" s="372" t="s">
        <v>594</v>
      </c>
      <c r="C8" s="262" t="s">
        <v>235</v>
      </c>
      <c r="D8" s="1526">
        <f>D7</f>
        <v>0</v>
      </c>
      <c r="E8" s="374">
        <v>0</v>
      </c>
      <c r="F8" s="258">
        <f t="shared" si="0"/>
        <v>0</v>
      </c>
      <c r="G8" s="189" t="str">
        <f t="shared" ref="G8:G17" si="1">IFERROR(F8/$F$18,"")</f>
        <v/>
      </c>
      <c r="H8" s="1528">
        <f t="shared" ref="H8:H17" si="2">IF($E$5&lt;&gt;1,F8,F8*$E$4)</f>
        <v>0</v>
      </c>
      <c r="I8" s="1525">
        <f t="shared" ref="I8:I17" si="3">IF(AND($E$5&lt;&gt;1,D8&gt;0),D8/$E$4,D8)</f>
        <v>0</v>
      </c>
    </row>
    <row r="9" spans="1:10" ht="15">
      <c r="A9" s="264" t="s">
        <v>1840</v>
      </c>
      <c r="B9" s="375" t="s">
        <v>594</v>
      </c>
      <c r="C9" s="266" t="s">
        <v>235</v>
      </c>
      <c r="D9" s="265">
        <v>1</v>
      </c>
      <c r="E9" s="263">
        <v>0</v>
      </c>
      <c r="F9" s="258">
        <f t="shared" si="0"/>
        <v>0</v>
      </c>
      <c r="G9" s="189" t="str">
        <f t="shared" si="1"/>
        <v/>
      </c>
      <c r="H9" s="1528">
        <f t="shared" si="2"/>
        <v>0</v>
      </c>
      <c r="I9" s="1525">
        <f t="shared" si="3"/>
        <v>1</v>
      </c>
    </row>
    <row r="10" spans="1:10" ht="15">
      <c r="A10" s="264" t="s">
        <v>596</v>
      </c>
      <c r="B10" s="375" t="s">
        <v>594</v>
      </c>
      <c r="C10" s="266" t="s">
        <v>235</v>
      </c>
      <c r="D10" s="265">
        <v>1</v>
      </c>
      <c r="E10" s="263">
        <v>0</v>
      </c>
      <c r="F10" s="258">
        <f t="shared" si="0"/>
        <v>0</v>
      </c>
      <c r="G10" s="189" t="str">
        <f t="shared" si="1"/>
        <v/>
      </c>
      <c r="H10" s="1528">
        <f t="shared" si="2"/>
        <v>0</v>
      </c>
      <c r="I10" s="1525">
        <f t="shared" si="3"/>
        <v>1</v>
      </c>
    </row>
    <row r="11" spans="1:10" ht="15">
      <c r="A11" s="264" t="s">
        <v>597</v>
      </c>
      <c r="B11" s="375" t="s">
        <v>594</v>
      </c>
      <c r="C11" s="266" t="s">
        <v>235</v>
      </c>
      <c r="D11" s="265">
        <v>1</v>
      </c>
      <c r="E11" s="263">
        <v>0</v>
      </c>
      <c r="F11" s="258">
        <f t="shared" si="0"/>
        <v>0</v>
      </c>
      <c r="G11" s="189" t="str">
        <f t="shared" si="1"/>
        <v/>
      </c>
      <c r="H11" s="1528">
        <f t="shared" si="2"/>
        <v>0</v>
      </c>
      <c r="I11" s="1525">
        <f t="shared" si="3"/>
        <v>1</v>
      </c>
    </row>
    <row r="12" spans="1:10" ht="15">
      <c r="A12" s="264" t="s">
        <v>598</v>
      </c>
      <c r="B12" s="375" t="s">
        <v>594</v>
      </c>
      <c r="C12" s="266" t="s">
        <v>235</v>
      </c>
      <c r="D12" s="265">
        <v>1</v>
      </c>
      <c r="E12" s="263">
        <v>0</v>
      </c>
      <c r="F12" s="258">
        <f t="shared" si="0"/>
        <v>0</v>
      </c>
      <c r="G12" s="189" t="str">
        <f t="shared" si="1"/>
        <v/>
      </c>
      <c r="H12" s="1528">
        <f t="shared" si="2"/>
        <v>0</v>
      </c>
      <c r="I12" s="1525">
        <f t="shared" si="3"/>
        <v>1</v>
      </c>
    </row>
    <row r="13" spans="1:10" ht="15">
      <c r="A13" s="273" t="s">
        <v>599</v>
      </c>
      <c r="B13" s="376" t="s">
        <v>600</v>
      </c>
      <c r="C13" s="273" t="s">
        <v>235</v>
      </c>
      <c r="D13" s="273">
        <v>40</v>
      </c>
      <c r="E13" s="278">
        <v>0</v>
      </c>
      <c r="F13" s="258">
        <f t="shared" si="0"/>
        <v>0</v>
      </c>
      <c r="G13" s="189" t="str">
        <f t="shared" si="1"/>
        <v/>
      </c>
      <c r="H13" s="1528">
        <f t="shared" si="2"/>
        <v>0</v>
      </c>
      <c r="I13" s="1525">
        <f t="shared" si="3"/>
        <v>40</v>
      </c>
    </row>
    <row r="14" spans="1:10" ht="15">
      <c r="A14" s="273" t="s">
        <v>601</v>
      </c>
      <c r="B14" s="1186" t="s">
        <v>602</v>
      </c>
      <c r="C14" s="274"/>
      <c r="D14" s="273">
        <v>0.5</v>
      </c>
      <c r="E14" s="275">
        <v>0</v>
      </c>
      <c r="F14" s="172">
        <f t="shared" si="0"/>
        <v>0</v>
      </c>
      <c r="G14" s="189" t="str">
        <f t="shared" si="1"/>
        <v/>
      </c>
      <c r="H14" s="1528">
        <f t="shared" si="2"/>
        <v>0</v>
      </c>
      <c r="I14" s="1525">
        <f t="shared" si="3"/>
        <v>0.5</v>
      </c>
    </row>
    <row r="15" spans="1:10" ht="15">
      <c r="A15" s="277" t="s">
        <v>603</v>
      </c>
      <c r="B15" s="277"/>
      <c r="C15" s="165" t="s">
        <v>235</v>
      </c>
      <c r="D15" s="277"/>
      <c r="E15" s="278">
        <v>0</v>
      </c>
      <c r="F15" s="172">
        <f t="shared" si="0"/>
        <v>0</v>
      </c>
      <c r="G15" s="189" t="str">
        <f t="shared" si="1"/>
        <v/>
      </c>
      <c r="H15" s="1528">
        <f t="shared" si="2"/>
        <v>0</v>
      </c>
      <c r="I15" s="1525">
        <f t="shared" si="3"/>
        <v>0</v>
      </c>
    </row>
    <row r="16" spans="1:10" ht="15">
      <c r="A16" s="276"/>
      <c r="B16" s="277"/>
      <c r="C16" s="165" t="s">
        <v>235</v>
      </c>
      <c r="D16" s="277"/>
      <c r="E16" s="278">
        <v>0</v>
      </c>
      <c r="F16" s="172">
        <f t="shared" si="0"/>
        <v>0</v>
      </c>
      <c r="G16" s="189" t="str">
        <f t="shared" si="1"/>
        <v/>
      </c>
      <c r="H16" s="1528">
        <f t="shared" si="2"/>
        <v>0</v>
      </c>
      <c r="I16" s="1525">
        <f t="shared" si="3"/>
        <v>0</v>
      </c>
    </row>
    <row r="17" spans="1:14" ht="15">
      <c r="A17" s="279"/>
      <c r="B17" s="277"/>
      <c r="C17" s="165" t="s">
        <v>235</v>
      </c>
      <c r="D17" s="279"/>
      <c r="E17" s="278">
        <v>0</v>
      </c>
      <c r="F17" s="172">
        <f t="shared" si="0"/>
        <v>0</v>
      </c>
      <c r="G17" s="189" t="str">
        <f t="shared" si="1"/>
        <v/>
      </c>
      <c r="H17" s="1528">
        <f t="shared" si="2"/>
        <v>0</v>
      </c>
      <c r="I17" s="1525">
        <f t="shared" si="3"/>
        <v>0</v>
      </c>
    </row>
    <row r="18" spans="1:14" ht="15.75">
      <c r="A18" s="1" t="s">
        <v>426</v>
      </c>
      <c r="B18" s="1"/>
      <c r="C18" s="14"/>
      <c r="D18" s="14"/>
      <c r="E18" s="14"/>
      <c r="F18" s="178">
        <f>SUM(F7:F17)</f>
        <v>0</v>
      </c>
      <c r="G18" s="280">
        <f>SUM(G7:G17)</f>
        <v>0</v>
      </c>
      <c r="H18" s="1529">
        <f>SUM(H7:H17)</f>
        <v>0</v>
      </c>
    </row>
    <row r="19" spans="1:14">
      <c r="G19" s="52"/>
      <c r="H19" s="52"/>
    </row>
    <row r="20" spans="1:14">
      <c r="G20" s="52"/>
      <c r="H20" s="52"/>
    </row>
    <row r="21" spans="1:14" s="247" customFormat="1" ht="18">
      <c r="A21" s="1" t="str">
        <f>IF($E$5&lt;&gt;1,"Muuttuvat kustannukset € "&amp;$E$4&amp;" "&amp; $F$4,"Muuttuvat kustannukset €/1 "&amp;$F$4)</f>
        <v>Muuttuvat kustannukset €/1 kpl</v>
      </c>
      <c r="B21" s="1" t="s">
        <v>427</v>
      </c>
      <c r="C21" s="252" t="s">
        <v>146</v>
      </c>
      <c r="D21" s="252" t="s">
        <v>147</v>
      </c>
      <c r="E21" s="252" t="s">
        <v>428</v>
      </c>
      <c r="F21" s="252" t="s">
        <v>235</v>
      </c>
      <c r="G21" s="521" t="s">
        <v>159</v>
      </c>
      <c r="H21" s="252" t="s">
        <v>590</v>
      </c>
    </row>
    <row r="22" spans="1:14" s="14" customFormat="1" ht="18">
      <c r="A22" s="377" t="s">
        <v>604</v>
      </c>
      <c r="B22" s="378" t="s">
        <v>605</v>
      </c>
      <c r="C22" s="379" t="s">
        <v>606</v>
      </c>
      <c r="D22" s="908">
        <v>0</v>
      </c>
      <c r="E22" s="381">
        <v>0</v>
      </c>
      <c r="F22" s="258">
        <f t="shared" ref="F22:F38" si="4">D22*E22</f>
        <v>0</v>
      </c>
      <c r="G22" s="189" t="e">
        <f t="shared" ref="G22:G38" si="5">F22/$F$63</f>
        <v>#DIV/0!</v>
      </c>
      <c r="H22" s="1528">
        <f t="shared" ref="H22:H38" si="6">IF($E$5&lt;&gt;1,F22,F22*$E$4)</f>
        <v>0</v>
      </c>
      <c r="I22" t="s">
        <v>607</v>
      </c>
      <c r="K22" s="247"/>
      <c r="N22" s="1525"/>
    </row>
    <row r="23" spans="1:14" s="14" customFormat="1" ht="15">
      <c r="A23" s="377" t="s">
        <v>608</v>
      </c>
      <c r="B23" s="378" t="s">
        <v>609</v>
      </c>
      <c r="C23" s="379" t="s">
        <v>137</v>
      </c>
      <c r="D23" s="908">
        <v>0</v>
      </c>
      <c r="E23" s="381">
        <v>0.36</v>
      </c>
      <c r="F23" s="258">
        <f t="shared" si="4"/>
        <v>0</v>
      </c>
      <c r="G23" s="189" t="e">
        <f t="shared" si="5"/>
        <v>#DIV/0!</v>
      </c>
      <c r="H23" s="1528">
        <f t="shared" si="6"/>
        <v>0</v>
      </c>
      <c r="I23" t="s">
        <v>610</v>
      </c>
    </row>
    <row r="24" spans="1:14" s="14" customFormat="1" ht="15">
      <c r="A24" s="377" t="s">
        <v>611</v>
      </c>
      <c r="B24" s="377" t="s">
        <v>612</v>
      </c>
      <c r="C24" s="379" t="s">
        <v>137</v>
      </c>
      <c r="D24" s="908">
        <v>0</v>
      </c>
      <c r="E24" s="381">
        <v>0</v>
      </c>
      <c r="F24" s="172">
        <f t="shared" si="4"/>
        <v>0</v>
      </c>
      <c r="G24" s="189" t="e">
        <f t="shared" si="5"/>
        <v>#DIV/0!</v>
      </c>
      <c r="H24" s="1528">
        <f t="shared" si="6"/>
        <v>0</v>
      </c>
      <c r="I24" t="s">
        <v>610</v>
      </c>
    </row>
    <row r="25" spans="1:14" s="14" customFormat="1" ht="15">
      <c r="A25" s="277" t="s">
        <v>613</v>
      </c>
      <c r="B25" s="277" t="s">
        <v>1841</v>
      </c>
      <c r="C25" s="165" t="s">
        <v>137</v>
      </c>
      <c r="D25" s="382">
        <v>0</v>
      </c>
      <c r="E25" s="383">
        <v>0</v>
      </c>
      <c r="F25" s="172">
        <f t="shared" si="4"/>
        <v>0</v>
      </c>
      <c r="G25" s="189" t="e">
        <f t="shared" si="5"/>
        <v>#DIV/0!</v>
      </c>
      <c r="H25" s="1528">
        <f t="shared" si="6"/>
        <v>0</v>
      </c>
      <c r="I25" s="1525">
        <f>IF(AND($E$5&lt;&gt;1,D25&gt;0),D25/$E$4,D25)</f>
        <v>0</v>
      </c>
    </row>
    <row r="26" spans="1:14" s="14" customFormat="1" ht="15">
      <c r="A26" s="277" t="s">
        <v>1843</v>
      </c>
      <c r="B26" s="277" t="s">
        <v>1842</v>
      </c>
      <c r="C26" s="165" t="s">
        <v>137</v>
      </c>
      <c r="D26" s="382">
        <v>0</v>
      </c>
      <c r="E26" s="383">
        <v>0</v>
      </c>
      <c r="F26" s="172">
        <f t="shared" si="4"/>
        <v>0</v>
      </c>
      <c r="G26" s="189" t="e">
        <f t="shared" si="5"/>
        <v>#DIV/0!</v>
      </c>
      <c r="H26" s="1528">
        <f t="shared" si="6"/>
        <v>0</v>
      </c>
      <c r="I26" s="1525">
        <f>IF(AND($E$5&lt;&gt;1,D26&gt;0),D26/$E$4,D26)</f>
        <v>0</v>
      </c>
    </row>
    <row r="27" spans="1:14" s="14" customFormat="1" ht="15">
      <c r="A27" s="277" t="s">
        <v>1844</v>
      </c>
      <c r="B27" s="277"/>
      <c r="C27" s="165" t="s">
        <v>137</v>
      </c>
      <c r="D27" s="382">
        <v>0</v>
      </c>
      <c r="E27" s="383">
        <v>0</v>
      </c>
      <c r="F27" s="172">
        <f t="shared" si="4"/>
        <v>0</v>
      </c>
      <c r="G27" s="189" t="e">
        <f t="shared" si="5"/>
        <v>#DIV/0!</v>
      </c>
      <c r="H27" s="1528">
        <f t="shared" si="6"/>
        <v>0</v>
      </c>
      <c r="I27" s="1525">
        <f t="shared" ref="I27:I35" si="7">IF(AND($E$5&lt;&gt;1,D27&gt;0),D27/$E$4,D27)</f>
        <v>0</v>
      </c>
    </row>
    <row r="28" spans="1:14" s="14" customFormat="1" ht="15">
      <c r="A28" s="277" t="s">
        <v>1845</v>
      </c>
      <c r="B28" s="277"/>
      <c r="C28" s="165" t="s">
        <v>564</v>
      </c>
      <c r="D28" s="382">
        <v>0</v>
      </c>
      <c r="E28" s="383">
        <v>0</v>
      </c>
      <c r="F28" s="172">
        <f t="shared" si="4"/>
        <v>0</v>
      </c>
      <c r="G28" s="189" t="e">
        <f t="shared" si="5"/>
        <v>#DIV/0!</v>
      </c>
      <c r="H28" s="1528">
        <f t="shared" si="6"/>
        <v>0</v>
      </c>
      <c r="I28" s="1525">
        <f t="shared" si="7"/>
        <v>0</v>
      </c>
    </row>
    <row r="29" spans="1:14" s="14" customFormat="1" ht="15">
      <c r="A29" s="277" t="s">
        <v>616</v>
      </c>
      <c r="B29" s="277" t="s">
        <v>617</v>
      </c>
      <c r="C29" s="165" t="s">
        <v>618</v>
      </c>
      <c r="D29" s="382">
        <v>0</v>
      </c>
      <c r="E29" s="383">
        <v>0</v>
      </c>
      <c r="F29" s="172">
        <f t="shared" si="4"/>
        <v>0</v>
      </c>
      <c r="G29" s="189" t="e">
        <f t="shared" si="5"/>
        <v>#DIV/0!</v>
      </c>
      <c r="H29" s="1528">
        <f t="shared" si="6"/>
        <v>0</v>
      </c>
      <c r="I29" s="1525">
        <f t="shared" si="7"/>
        <v>0</v>
      </c>
    </row>
    <row r="30" spans="1:14" s="14" customFormat="1" ht="15">
      <c r="A30" s="277" t="s">
        <v>619</v>
      </c>
      <c r="B30" s="277"/>
      <c r="C30" s="165" t="s">
        <v>150</v>
      </c>
      <c r="D30" s="382">
        <v>0</v>
      </c>
      <c r="E30" s="383">
        <v>0</v>
      </c>
      <c r="F30" s="172">
        <f>D30*E30</f>
        <v>0</v>
      </c>
      <c r="G30" s="189" t="e">
        <f t="shared" si="5"/>
        <v>#DIV/0!</v>
      </c>
      <c r="H30" s="1528">
        <f t="shared" si="6"/>
        <v>0</v>
      </c>
      <c r="I30" s="1525">
        <f t="shared" si="7"/>
        <v>0</v>
      </c>
    </row>
    <row r="31" spans="1:14" ht="15">
      <c r="A31" s="277"/>
      <c r="B31" s="277"/>
      <c r="C31" s="165"/>
      <c r="D31" s="382">
        <v>0</v>
      </c>
      <c r="E31" s="383">
        <v>0</v>
      </c>
      <c r="F31" s="172">
        <f>D31*E31</f>
        <v>0</v>
      </c>
      <c r="G31" s="189" t="e">
        <f t="shared" si="5"/>
        <v>#DIV/0!</v>
      </c>
      <c r="H31" s="1528">
        <f t="shared" si="6"/>
        <v>0</v>
      </c>
      <c r="I31" s="1525">
        <f t="shared" si="7"/>
        <v>0</v>
      </c>
      <c r="J31" s="14"/>
      <c r="K31" s="14"/>
    </row>
    <row r="32" spans="1:14" ht="15">
      <c r="A32" s="277" t="s">
        <v>28</v>
      </c>
      <c r="B32" s="277"/>
      <c r="C32" s="165"/>
      <c r="D32" s="282"/>
      <c r="E32" s="383">
        <v>0</v>
      </c>
      <c r="F32" s="172">
        <f>D32*E32</f>
        <v>0</v>
      </c>
      <c r="G32" s="189" t="e">
        <f t="shared" si="5"/>
        <v>#DIV/0!</v>
      </c>
      <c r="H32" s="1528">
        <f t="shared" si="6"/>
        <v>0</v>
      </c>
      <c r="I32" s="1525">
        <f t="shared" si="7"/>
        <v>0</v>
      </c>
    </row>
    <row r="33" spans="1:9" ht="15">
      <c r="A33" s="277" t="s">
        <v>620</v>
      </c>
      <c r="B33" s="277" t="s">
        <v>621</v>
      </c>
      <c r="C33" s="165" t="s">
        <v>150</v>
      </c>
      <c r="D33" s="282">
        <v>0.2</v>
      </c>
      <c r="E33" s="176">
        <v>1600</v>
      </c>
      <c r="F33" s="172">
        <f>IF(E4&gt;0,D33*E33,0)</f>
        <v>0</v>
      </c>
      <c r="G33" s="189" t="e">
        <f t="shared" si="5"/>
        <v>#DIV/0!</v>
      </c>
      <c r="H33" s="1528">
        <f t="shared" si="6"/>
        <v>0</v>
      </c>
      <c r="I33" s="1525">
        <f t="shared" si="7"/>
        <v>0.2</v>
      </c>
    </row>
    <row r="34" spans="1:9" ht="15">
      <c r="A34" s="277"/>
      <c r="B34" s="277"/>
      <c r="C34" s="165"/>
      <c r="D34" s="282"/>
      <c r="E34" s="383">
        <v>0</v>
      </c>
      <c r="F34" s="172">
        <f t="shared" si="4"/>
        <v>0</v>
      </c>
      <c r="G34" s="189" t="e">
        <f t="shared" si="5"/>
        <v>#DIV/0!</v>
      </c>
      <c r="H34" s="1528">
        <f t="shared" si="6"/>
        <v>0</v>
      </c>
      <c r="I34" s="1525">
        <f t="shared" si="7"/>
        <v>0</v>
      </c>
    </row>
    <row r="35" spans="1:9" ht="15">
      <c r="A35" s="1545" t="s">
        <v>444</v>
      </c>
      <c r="B35" s="1549">
        <f>IF(E4&gt;0,SUMIF('Muut kustannustiedot'!$H$38:$H$48,"eläin",'Muut kustannustiedot'!$V$38:$V$48)*Lähtötiedot!C73,0)</f>
        <v>0</v>
      </c>
      <c r="C35" s="1541" t="s">
        <v>235</v>
      </c>
      <c r="D35" s="1152">
        <v>1</v>
      </c>
      <c r="E35" s="1550">
        <f>B35*D35</f>
        <v>0</v>
      </c>
      <c r="F35" s="172" t="e">
        <f>IF(E5&lt;&gt;2,E35/E4,E35*D35)</f>
        <v>#DIV/0!</v>
      </c>
      <c r="G35" s="189" t="e">
        <f t="shared" si="5"/>
        <v>#DIV/0!</v>
      </c>
      <c r="H35" s="1528">
        <f>E35*D35</f>
        <v>0</v>
      </c>
      <c r="I35" s="1525">
        <f t="shared" si="7"/>
        <v>1</v>
      </c>
    </row>
    <row r="36" spans="1:9" ht="15.75">
      <c r="A36" s="2697" t="s">
        <v>622</v>
      </c>
      <c r="B36" s="2697"/>
      <c r="C36" s="2697"/>
      <c r="D36" s="2697"/>
      <c r="E36" s="2697"/>
      <c r="F36" s="384" t="e">
        <f>SUM(F22:F35)</f>
        <v>#DIV/0!</v>
      </c>
      <c r="G36" s="385" t="e">
        <f t="shared" si="5"/>
        <v>#DIV/0!</v>
      </c>
      <c r="H36" s="1530">
        <f>SUM(H22:H35)</f>
        <v>0</v>
      </c>
      <c r="I36" s="1525"/>
    </row>
    <row r="37" spans="1:9" ht="15">
      <c r="A37" s="284" t="s">
        <v>623</v>
      </c>
      <c r="B37" s="387" t="s">
        <v>624</v>
      </c>
      <c r="C37" s="285" t="s">
        <v>159</v>
      </c>
      <c r="D37" s="176">
        <f>F33</f>
        <v>0</v>
      </c>
      <c r="E37" s="287">
        <v>0.01</v>
      </c>
      <c r="F37" s="172">
        <f t="shared" si="4"/>
        <v>0</v>
      </c>
      <c r="G37" s="189" t="e">
        <f t="shared" si="5"/>
        <v>#DIV/0!</v>
      </c>
      <c r="H37" s="1528">
        <f t="shared" si="6"/>
        <v>0</v>
      </c>
      <c r="I37" t="s">
        <v>625</v>
      </c>
    </row>
    <row r="38" spans="1:9" ht="15">
      <c r="A38" s="284" t="s">
        <v>447</v>
      </c>
      <c r="B38" s="388"/>
      <c r="C38" s="285" t="s">
        <v>159</v>
      </c>
      <c r="D38" s="286" t="e">
        <f>C43*D43</f>
        <v>#DIV/0!</v>
      </c>
      <c r="E38" s="287">
        <v>0.01</v>
      </c>
      <c r="F38" s="172" t="e">
        <f t="shared" si="4"/>
        <v>#DIV/0!</v>
      </c>
      <c r="G38" s="189" t="e">
        <f t="shared" si="5"/>
        <v>#DIV/0!</v>
      </c>
      <c r="H38" s="1528" t="e">
        <f t="shared" si="6"/>
        <v>#DIV/0!</v>
      </c>
      <c r="I38" t="s">
        <v>520</v>
      </c>
    </row>
    <row r="39" spans="1:9" ht="15.75">
      <c r="A39" s="1" t="s">
        <v>448</v>
      </c>
      <c r="B39" s="1"/>
      <c r="D39" s="14"/>
      <c r="E39" s="14"/>
      <c r="F39" s="178" t="e">
        <f>SUM(F22:F35,F37:F38)</f>
        <v>#DIV/0!</v>
      </c>
      <c r="G39" s="389" t="e">
        <f>F39/F63</f>
        <v>#DIV/0!</v>
      </c>
      <c r="H39" s="1531" t="e">
        <f>SUM(H22:H35,H37:H38)</f>
        <v>#DIV/0!</v>
      </c>
    </row>
    <row r="40" spans="1:9" ht="18">
      <c r="A40" s="1" t="s">
        <v>449</v>
      </c>
      <c r="B40" s="52" t="s">
        <v>450</v>
      </c>
      <c r="D40" s="14"/>
      <c r="E40" s="14"/>
      <c r="F40" s="289" t="e">
        <f>F18-F39</f>
        <v>#DIV/0!</v>
      </c>
      <c r="G40" s="189"/>
      <c r="H40" s="1532"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109.5</v>
      </c>
      <c r="E47" s="299">
        <v>10</v>
      </c>
      <c r="F47" s="172">
        <f>D47*E47</f>
        <v>1095</v>
      </c>
      <c r="G47" s="389" t="e">
        <f>F47/$F$63</f>
        <v>#DIV/0!</v>
      </c>
      <c r="H47" s="635">
        <f>IF($E$5&lt;&gt;1,F47,F47*$E$4)</f>
        <v>0</v>
      </c>
    </row>
    <row r="48" spans="1:9" ht="15">
      <c r="A48" s="187"/>
      <c r="B48" s="187"/>
      <c r="C48" s="301"/>
      <c r="D48" s="1519">
        <f>IF($E$5=1,$D$47*$E$4,$D$47)</f>
        <v>0</v>
      </c>
      <c r="E48" t="s">
        <v>167</v>
      </c>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524"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1500" t="str">
        <f>Lähtötiedot!D73</f>
        <v/>
      </c>
      <c r="F55" s="876" t="e">
        <f>E55/$E$4*D55</f>
        <v>#VALUE!</v>
      </c>
      <c r="G55" s="877" t="e">
        <f>F55/$F$63</f>
        <v>#VALUE!</v>
      </c>
    </row>
    <row r="56" spans="1:9" ht="16.5" thickBot="1">
      <c r="A56" s="2678"/>
      <c r="B56" s="878" t="s">
        <v>232</v>
      </c>
      <c r="C56" s="1233"/>
      <c r="D56" s="1235">
        <v>1</v>
      </c>
      <c r="E56" s="1500" t="str">
        <f>Lähtötiedot!E73</f>
        <v/>
      </c>
      <c r="F56" s="876" t="e">
        <f t="shared" ref="F56:F57" si="8">E56/$E$4*D56</f>
        <v>#VALUE!</v>
      </c>
      <c r="G56" s="875" t="e">
        <f>F56/$F$63</f>
        <v>#VALUE!</v>
      </c>
    </row>
    <row r="57" spans="1:9" ht="16.5" thickBot="1">
      <c r="A57" s="2679"/>
      <c r="B57" s="874" t="s">
        <v>628</v>
      </c>
      <c r="C57" s="818"/>
      <c r="D57" s="1236">
        <v>1</v>
      </c>
      <c r="E57" s="1500" t="e">
        <f>Lähtötiedot!F73+Lähtötiedot!G73</f>
        <v>#VALUE!</v>
      </c>
      <c r="F57" s="876" t="e">
        <f t="shared" si="8"/>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IF(E5&lt;&gt;1,F49-E59,F49-F59)</f>
        <v>#DIV/0!</v>
      </c>
      <c r="G61" s="167"/>
      <c r="H61" s="634" t="e">
        <f>H49-E59</f>
        <v>#DIV/0!</v>
      </c>
    </row>
    <row r="62" spans="1:9" ht="15">
      <c r="D62" s="14"/>
      <c r="E62" s="14"/>
      <c r="F62" s="301"/>
    </row>
    <row r="63" spans="1:9" ht="15.75">
      <c r="A63" s="1" t="s">
        <v>630</v>
      </c>
      <c r="B63" s="1"/>
      <c r="D63" s="14"/>
      <c r="E63" s="14"/>
      <c r="F63" s="308" t="e">
        <f>IF(E5&lt;&gt;1,F39+F47+E59,F39+F47+F59)</f>
        <v>#DIV/0!</v>
      </c>
      <c r="G63" s="392" t="e">
        <f>SUM(G39+G47+G59)</f>
        <v>#DIV/0!</v>
      </c>
      <c r="H63" s="259" t="e">
        <f t="shared" ref="H63:H67" si="9">IF($E$5&lt;&gt;1,F63,F63*$E$4)</f>
        <v>#DIV/0!</v>
      </c>
      <c r="I63" t="s">
        <v>474</v>
      </c>
    </row>
    <row r="64" spans="1:9" ht="15.75">
      <c r="A64" s="1" t="s">
        <v>475</v>
      </c>
      <c r="F64" s="308">
        <f>F18</f>
        <v>0</v>
      </c>
      <c r="H64" s="259">
        <f t="shared" si="9"/>
        <v>0</v>
      </c>
    </row>
    <row r="65" spans="1:9" ht="15.75">
      <c r="A65" s="1" t="s">
        <v>476</v>
      </c>
      <c r="F65" s="308">
        <f>SUM(F7,F13:F14,F15)</f>
        <v>0</v>
      </c>
      <c r="H65" s="259">
        <f t="shared" si="9"/>
        <v>0</v>
      </c>
    </row>
    <row r="66" spans="1:9" ht="15.75">
      <c r="A66" s="1" t="s">
        <v>631</v>
      </c>
      <c r="B66" s="1"/>
      <c r="F66" s="308" t="e">
        <f>F64-F63</f>
        <v>#DIV/0!</v>
      </c>
      <c r="G66" s="189"/>
      <c r="H66" s="259" t="e">
        <f>IF($E$5&lt;&gt;1,F66,F66*$E$4)</f>
        <v>#DIV/0!</v>
      </c>
    </row>
    <row r="67" spans="1:9" ht="15.75">
      <c r="A67" s="1" t="s">
        <v>632</v>
      </c>
      <c r="B67" s="1"/>
      <c r="F67" s="308" t="e">
        <f>F65-F63</f>
        <v>#DIV/0!</v>
      </c>
      <c r="G67" s="189"/>
      <c r="H67" s="259" t="e">
        <f t="shared" si="9"/>
        <v>#DIV/0!</v>
      </c>
    </row>
    <row r="69" spans="1:9" ht="15.75">
      <c r="A69" s="1" t="s">
        <v>633</v>
      </c>
      <c r="B69" s="1"/>
    </row>
    <row r="70" spans="1:9">
      <c r="C70" s="311" t="s">
        <v>147</v>
      </c>
      <c r="D70" s="311" t="s">
        <v>235</v>
      </c>
      <c r="E70" s="312" t="s">
        <v>634</v>
      </c>
    </row>
    <row r="71" spans="1:9" ht="15">
      <c r="A71" s="14" t="s">
        <v>635</v>
      </c>
      <c r="B71" s="14"/>
      <c r="C71" s="14"/>
      <c r="D71" s="172" t="e">
        <f>F63</f>
        <v>#DIV/0!</v>
      </c>
      <c r="E71" s="313"/>
    </row>
    <row r="72" spans="1:9" ht="15">
      <c r="A72" s="315" t="s">
        <v>636</v>
      </c>
      <c r="B72" s="315"/>
      <c r="C72" s="316">
        <f>D7</f>
        <v>0</v>
      </c>
      <c r="D72" s="317"/>
      <c r="E72" s="313"/>
    </row>
    <row r="73" spans="1:9" ht="18">
      <c r="A73" s="1" t="s">
        <v>582</v>
      </c>
      <c r="B73" s="86" t="s">
        <v>485</v>
      </c>
      <c r="C73" s="14"/>
      <c r="D73" s="313"/>
      <c r="E73" s="340" t="e">
        <f>D71/C72</f>
        <v>#DIV/0!</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639</v>
      </c>
      <c r="E79" s="841"/>
    </row>
    <row r="80" spans="1:9">
      <c r="A80" s="814"/>
      <c r="B80" s="838" t="s">
        <v>493</v>
      </c>
      <c r="C80" s="813"/>
      <c r="D80" s="813"/>
      <c r="E80" s="1117" t="e">
        <f>F39</f>
        <v>#DIV/0!</v>
      </c>
    </row>
    <row r="81" spans="1:7">
      <c r="A81" s="814"/>
      <c r="B81" s="814" t="str">
        <f>A47</f>
        <v>Työkustannus (ihmistyö)</v>
      </c>
      <c r="E81" s="846">
        <f>F47</f>
        <v>1095</v>
      </c>
    </row>
    <row r="82" spans="1:7">
      <c r="A82" s="814"/>
      <c r="B82" s="814" t="s">
        <v>470</v>
      </c>
      <c r="E82" s="846" t="e">
        <f>IF($E$5&lt;&gt;1,E59,F59)</f>
        <v>#VALUE!</v>
      </c>
    </row>
    <row r="83" spans="1:7">
      <c r="A83" s="814"/>
      <c r="B83" s="842" t="s">
        <v>494</v>
      </c>
      <c r="E83" s="847" t="e">
        <f>SUM(E80:E82)</f>
        <v>#DIV/0!</v>
      </c>
    </row>
    <row r="84" spans="1:7">
      <c r="A84" s="814"/>
      <c r="B84" s="814" t="s">
        <v>495</v>
      </c>
      <c r="C84" t="str">
        <f>D6</f>
        <v>l</v>
      </c>
      <c r="E84" s="848">
        <f>C72</f>
        <v>0</v>
      </c>
    </row>
    <row r="85" spans="1:7" ht="13.5" thickBot="1">
      <c r="A85" s="815"/>
      <c r="B85" s="815" t="s">
        <v>640</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10">C90*$B$102</f>
        <v>0</v>
      </c>
      <c r="C90" s="1136">
        <v>0</v>
      </c>
      <c r="D90" s="393" t="e">
        <f t="shared" ref="D90:D100" si="11">$F$63/A90</f>
        <v>#DIV/0!</v>
      </c>
      <c r="E90" s="394" t="e">
        <f t="shared" ref="E90:E100" si="12">$E$73-D90</f>
        <v>#DIV/0!</v>
      </c>
      <c r="F90" s="395" t="e">
        <f t="shared" ref="F90:F100" si="13">E90*A90*B90</f>
        <v>#DIV/0!</v>
      </c>
      <c r="G90" s="396" t="e">
        <f t="shared" ref="G90:G100" si="14">ABS(F90/$E$7)</f>
        <v>#DIV/0!</v>
      </c>
    </row>
    <row r="91" spans="1:7">
      <c r="A91" s="5">
        <v>6500</v>
      </c>
      <c r="B91" s="1137">
        <f t="shared" si="10"/>
        <v>0</v>
      </c>
      <c r="C91" s="1136">
        <v>0.1</v>
      </c>
      <c r="D91" s="393" t="e">
        <f t="shared" si="11"/>
        <v>#DIV/0!</v>
      </c>
      <c r="E91" s="394" t="e">
        <f t="shared" si="12"/>
        <v>#DIV/0!</v>
      </c>
      <c r="F91" s="395" t="e">
        <f t="shared" si="13"/>
        <v>#DIV/0!</v>
      </c>
      <c r="G91" s="396" t="e">
        <f t="shared" si="14"/>
        <v>#DIV/0!</v>
      </c>
    </row>
    <row r="92" spans="1:7">
      <c r="A92" s="5">
        <v>7000</v>
      </c>
      <c r="B92" s="1137">
        <f t="shared" si="10"/>
        <v>0</v>
      </c>
      <c r="C92" s="1136">
        <v>0.1</v>
      </c>
      <c r="D92" s="393" t="e">
        <f t="shared" si="11"/>
        <v>#DIV/0!</v>
      </c>
      <c r="E92" s="394" t="e">
        <f t="shared" si="12"/>
        <v>#DIV/0!</v>
      </c>
      <c r="F92" s="395" t="e">
        <f t="shared" si="13"/>
        <v>#DIV/0!</v>
      </c>
      <c r="G92" s="396" t="e">
        <f t="shared" si="14"/>
        <v>#DIV/0!</v>
      </c>
    </row>
    <row r="93" spans="1:7">
      <c r="A93" s="5">
        <v>7500</v>
      </c>
      <c r="B93" s="1137">
        <f t="shared" si="10"/>
        <v>0</v>
      </c>
      <c r="C93" s="1136">
        <v>0.1</v>
      </c>
      <c r="D93" s="393" t="e">
        <f t="shared" si="11"/>
        <v>#DIV/0!</v>
      </c>
      <c r="E93" s="394" t="e">
        <f t="shared" si="12"/>
        <v>#DIV/0!</v>
      </c>
      <c r="F93" s="395" t="e">
        <f t="shared" si="13"/>
        <v>#DIV/0!</v>
      </c>
      <c r="G93" s="396" t="e">
        <f t="shared" si="14"/>
        <v>#DIV/0!</v>
      </c>
    </row>
    <row r="94" spans="1:7">
      <c r="A94" s="5">
        <v>8000</v>
      </c>
      <c r="B94" s="1137">
        <f t="shared" si="10"/>
        <v>0</v>
      </c>
      <c r="C94" s="1136">
        <v>0.1</v>
      </c>
      <c r="D94" s="393" t="e">
        <f t="shared" si="11"/>
        <v>#DIV/0!</v>
      </c>
      <c r="E94" s="394" t="e">
        <f t="shared" si="12"/>
        <v>#DIV/0!</v>
      </c>
      <c r="F94" s="395" t="e">
        <f t="shared" si="13"/>
        <v>#DIV/0!</v>
      </c>
      <c r="G94" s="396" t="e">
        <f t="shared" si="14"/>
        <v>#DIV/0!</v>
      </c>
    </row>
    <row r="95" spans="1:7">
      <c r="A95" s="5">
        <v>8500</v>
      </c>
      <c r="B95" s="1137">
        <f t="shared" si="10"/>
        <v>0</v>
      </c>
      <c r="C95" s="1136">
        <v>0.1</v>
      </c>
      <c r="D95" s="393" t="e">
        <f t="shared" si="11"/>
        <v>#DIV/0!</v>
      </c>
      <c r="E95" s="394" t="e">
        <f t="shared" si="12"/>
        <v>#DIV/0!</v>
      </c>
      <c r="F95" s="395" t="e">
        <f t="shared" si="13"/>
        <v>#DIV/0!</v>
      </c>
      <c r="G95" s="396" t="e">
        <f t="shared" si="14"/>
        <v>#DIV/0!</v>
      </c>
    </row>
    <row r="96" spans="1:7">
      <c r="A96" s="5">
        <v>9000</v>
      </c>
      <c r="B96" s="1137">
        <f t="shared" si="10"/>
        <v>0</v>
      </c>
      <c r="C96" s="1136">
        <v>0.1</v>
      </c>
      <c r="D96" s="393" t="e">
        <f t="shared" si="11"/>
        <v>#DIV/0!</v>
      </c>
      <c r="E96" s="394" t="e">
        <f t="shared" si="12"/>
        <v>#DIV/0!</v>
      </c>
      <c r="F96" s="395" t="e">
        <f t="shared" si="13"/>
        <v>#DIV/0!</v>
      </c>
      <c r="G96" s="396" t="e">
        <f t="shared" si="14"/>
        <v>#DIV/0!</v>
      </c>
    </row>
    <row r="97" spans="1:13">
      <c r="A97" s="5">
        <v>9600</v>
      </c>
      <c r="B97" s="1137">
        <f t="shared" si="10"/>
        <v>0</v>
      </c>
      <c r="C97" s="1136">
        <v>0.1</v>
      </c>
      <c r="D97" s="393" t="e">
        <f t="shared" si="11"/>
        <v>#DIV/0!</v>
      </c>
      <c r="E97" s="394" t="e">
        <f t="shared" si="12"/>
        <v>#DIV/0!</v>
      </c>
      <c r="F97" s="395" t="e">
        <f t="shared" si="13"/>
        <v>#DIV/0!</v>
      </c>
      <c r="G97" s="396" t="e">
        <f t="shared" si="14"/>
        <v>#DIV/0!</v>
      </c>
    </row>
    <row r="98" spans="1:13">
      <c r="A98" s="5">
        <v>9700</v>
      </c>
      <c r="B98" s="1137">
        <f t="shared" si="10"/>
        <v>0</v>
      </c>
      <c r="C98" s="1136">
        <v>0.1</v>
      </c>
      <c r="D98" s="393" t="e">
        <f t="shared" si="11"/>
        <v>#DIV/0!</v>
      </c>
      <c r="E98" s="394" t="e">
        <f t="shared" si="12"/>
        <v>#DIV/0!</v>
      </c>
      <c r="F98" s="395" t="e">
        <f t="shared" si="13"/>
        <v>#DIV/0!</v>
      </c>
      <c r="G98" s="396" t="e">
        <f t="shared" si="14"/>
        <v>#DIV/0!</v>
      </c>
    </row>
    <row r="99" spans="1:13">
      <c r="A99" s="5">
        <v>10500</v>
      </c>
      <c r="B99" s="1137">
        <f t="shared" si="10"/>
        <v>0</v>
      </c>
      <c r="C99" s="1136">
        <v>0.1</v>
      </c>
      <c r="D99" s="393" t="e">
        <f t="shared" si="11"/>
        <v>#DIV/0!</v>
      </c>
      <c r="E99" s="394" t="e">
        <f t="shared" si="12"/>
        <v>#DIV/0!</v>
      </c>
      <c r="F99" s="395" t="e">
        <f t="shared" si="13"/>
        <v>#DIV/0!</v>
      </c>
      <c r="G99" s="396" t="e">
        <f t="shared" si="14"/>
        <v>#DIV/0!</v>
      </c>
    </row>
    <row r="100" spans="1:13">
      <c r="A100" s="5">
        <v>11000</v>
      </c>
      <c r="B100" s="1137">
        <f t="shared" si="10"/>
        <v>0</v>
      </c>
      <c r="C100" s="1136">
        <v>0.1</v>
      </c>
      <c r="D100" s="393" t="e">
        <f t="shared" si="11"/>
        <v>#DIV/0!</v>
      </c>
      <c r="E100" s="394" t="e">
        <f t="shared" si="12"/>
        <v>#DIV/0!</v>
      </c>
      <c r="F100" s="395" t="e">
        <f t="shared" si="13"/>
        <v>#DIV/0!</v>
      </c>
      <c r="G100" s="396" t="e">
        <f t="shared" si="14"/>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5">(A109*$E$7)+SUM($F$8:$F$17)</f>
        <v>0</v>
      </c>
      <c r="C109" s="11"/>
      <c r="D109" s="328" t="e">
        <f>$E$80</f>
        <v>#DIV/0!</v>
      </c>
      <c r="E109" s="329">
        <f t="shared" ref="E109:E121" si="16">$E$81</f>
        <v>1095</v>
      </c>
      <c r="F109" s="330" t="e">
        <f t="shared" ref="F109:F121" si="17">$E$82</f>
        <v>#VALUE!</v>
      </c>
      <c r="G109" s="805" t="e">
        <f t="shared" ref="G109:G121" si="18">SUM(D109:F109)</f>
        <v>#DIV/0!</v>
      </c>
      <c r="H109" s="806" t="e">
        <f t="shared" ref="H109:H121" si="19">G109/A109</f>
        <v>#DIV/0!</v>
      </c>
      <c r="I109" s="7" t="e">
        <f t="shared" ref="I109:I121" si="20">B109-G109</f>
        <v>#DIV/0!</v>
      </c>
      <c r="J109" s="339" t="e">
        <f t="shared" ref="J109:J121" si="21">I109/A109</f>
        <v>#DIV/0!</v>
      </c>
      <c r="K109" s="334"/>
    </row>
    <row r="110" spans="1:13" hidden="1">
      <c r="A110" s="329">
        <f>A111-$B$104</f>
        <v>-1000</v>
      </c>
      <c r="B110" s="329">
        <f t="shared" si="15"/>
        <v>0</v>
      </c>
      <c r="C110" s="328">
        <f>(B110-B109)/(A110-A109)</f>
        <v>0</v>
      </c>
      <c r="D110" s="328" t="e">
        <f>$E$80</f>
        <v>#DIV/0!</v>
      </c>
      <c r="E110" s="329">
        <f t="shared" si="16"/>
        <v>1095</v>
      </c>
      <c r="F110" s="330" t="e">
        <f t="shared" si="17"/>
        <v>#VALUE!</v>
      </c>
      <c r="G110" s="805" t="e">
        <f t="shared" si="18"/>
        <v>#DIV/0!</v>
      </c>
      <c r="H110" s="806" t="e">
        <f t="shared" si="19"/>
        <v>#DIV/0!</v>
      </c>
      <c r="I110" s="7" t="e">
        <f t="shared" si="20"/>
        <v>#DIV/0!</v>
      </c>
      <c r="J110" s="339" t="e">
        <f t="shared" si="21"/>
        <v>#DIV/0!</v>
      </c>
      <c r="K110" s="334" t="e">
        <f t="shared" ref="K110:K121" si="22">(G110-G109)/(A110-A109)</f>
        <v>#DIV/0!</v>
      </c>
      <c r="L110" s="341" t="e">
        <f>(B110-B111)/B111</f>
        <v>#DIV/0!</v>
      </c>
      <c r="M110" s="341">
        <v>0</v>
      </c>
    </row>
    <row r="111" spans="1:13" hidden="1">
      <c r="A111" s="329">
        <f>A112-$B$104</f>
        <v>-500</v>
      </c>
      <c r="B111" s="329">
        <f t="shared" si="15"/>
        <v>0</v>
      </c>
      <c r="C111" s="328">
        <f>(B111-B110)/(A111-A110)</f>
        <v>0</v>
      </c>
      <c r="D111" s="328" t="e">
        <f>$E$80</f>
        <v>#DIV/0!</v>
      </c>
      <c r="E111" s="329">
        <f t="shared" si="16"/>
        <v>1095</v>
      </c>
      <c r="F111" s="330" t="e">
        <f t="shared" si="17"/>
        <v>#VALUE!</v>
      </c>
      <c r="G111" s="805" t="e">
        <f t="shared" si="18"/>
        <v>#DIV/0!</v>
      </c>
      <c r="H111" s="806" t="e">
        <f t="shared" si="19"/>
        <v>#DIV/0!</v>
      </c>
      <c r="I111" s="7" t="e">
        <f t="shared" si="20"/>
        <v>#DIV/0!</v>
      </c>
      <c r="J111" s="339" t="e">
        <f t="shared" si="21"/>
        <v>#DIV/0!</v>
      </c>
      <c r="K111" s="400" t="e">
        <f t="shared" si="22"/>
        <v>#DIV/0!</v>
      </c>
      <c r="L111" s="341" t="e">
        <f>(B111-B112)/B112</f>
        <v>#DIV/0!</v>
      </c>
      <c r="M111" s="341">
        <v>0</v>
      </c>
    </row>
    <row r="112" spans="1:13" hidden="1">
      <c r="A112" s="336">
        <f>E84</f>
        <v>0</v>
      </c>
      <c r="B112" s="336">
        <f t="shared" si="15"/>
        <v>0</v>
      </c>
      <c r="C112" s="338">
        <f>(B112-B111)/(A112-A111)</f>
        <v>0</v>
      </c>
      <c r="D112" s="328" t="e">
        <f>$E$80</f>
        <v>#DIV/0!</v>
      </c>
      <c r="E112" s="329">
        <f t="shared" si="16"/>
        <v>1095</v>
      </c>
      <c r="F112" s="330" t="e">
        <f t="shared" si="17"/>
        <v>#VALUE!</v>
      </c>
      <c r="G112" s="805" t="e">
        <f t="shared" si="18"/>
        <v>#DIV/0!</v>
      </c>
      <c r="H112" s="806" t="e">
        <f t="shared" si="19"/>
        <v>#DIV/0!</v>
      </c>
      <c r="I112" s="401" t="e">
        <f t="shared" si="20"/>
        <v>#DIV/0!</v>
      </c>
      <c r="J112" s="333" t="e">
        <f t="shared" si="21"/>
        <v>#DIV/0!</v>
      </c>
      <c r="K112" s="334" t="e">
        <f t="shared" si="22"/>
        <v>#DIV/0!</v>
      </c>
      <c r="L112" s="341">
        <v>0</v>
      </c>
      <c r="M112" s="341" t="e">
        <f t="shared" ref="M112:M121" si="23">(G112-G111)/G111</f>
        <v>#DIV/0!</v>
      </c>
    </row>
    <row r="113" spans="1:13" hidden="1">
      <c r="A113" s="329">
        <f>A112+$B$104</f>
        <v>500</v>
      </c>
      <c r="B113" s="329">
        <f t="shared" si="15"/>
        <v>0</v>
      </c>
      <c r="C113" s="328">
        <f t="shared" ref="C113:C121" si="24">(B113-B112)/(A113-A112)</f>
        <v>0</v>
      </c>
      <c r="D113" s="328" t="e">
        <f>D112*(1+$B$105)</f>
        <v>#DIV/0!</v>
      </c>
      <c r="E113" s="329">
        <f t="shared" si="16"/>
        <v>1095</v>
      </c>
      <c r="F113" s="330" t="e">
        <f t="shared" si="17"/>
        <v>#VALUE!</v>
      </c>
      <c r="G113" s="805" t="e">
        <f t="shared" si="18"/>
        <v>#DIV/0!</v>
      </c>
      <c r="H113" s="806" t="e">
        <f t="shared" si="19"/>
        <v>#DIV/0!</v>
      </c>
      <c r="I113" s="7" t="e">
        <f t="shared" si="20"/>
        <v>#DIV/0!</v>
      </c>
      <c r="J113" s="339" t="e">
        <f t="shared" si="21"/>
        <v>#DIV/0!</v>
      </c>
      <c r="K113" s="402" t="e">
        <f t="shared" si="22"/>
        <v>#DIV/0!</v>
      </c>
      <c r="L113" s="341" t="e">
        <f>(B113-B112)/B112</f>
        <v>#DIV/0!</v>
      </c>
      <c r="M113" s="341" t="e">
        <f t="shared" si="23"/>
        <v>#DIV/0!</v>
      </c>
    </row>
    <row r="114" spans="1:13" hidden="1">
      <c r="A114" s="329">
        <f t="shared" ref="A114:A120" si="25">A113+$B$104</f>
        <v>1000</v>
      </c>
      <c r="B114" s="329">
        <f t="shared" si="15"/>
        <v>0</v>
      </c>
      <c r="C114" s="328">
        <f t="shared" si="24"/>
        <v>0</v>
      </c>
      <c r="D114" s="328" t="e">
        <f>D113*(1+$B$105)</f>
        <v>#DIV/0!</v>
      </c>
      <c r="E114" s="329">
        <f t="shared" si="16"/>
        <v>1095</v>
      </c>
      <c r="F114" s="330" t="e">
        <f t="shared" si="17"/>
        <v>#VALUE!</v>
      </c>
      <c r="G114" s="805" t="e">
        <f t="shared" si="18"/>
        <v>#DIV/0!</v>
      </c>
      <c r="H114" s="806" t="e">
        <f t="shared" si="19"/>
        <v>#DIV/0!</v>
      </c>
      <c r="I114" s="7" t="e">
        <f t="shared" si="20"/>
        <v>#DIV/0!</v>
      </c>
      <c r="J114" s="339" t="e">
        <f t="shared" si="21"/>
        <v>#DIV/0!</v>
      </c>
      <c r="K114" s="334" t="e">
        <f t="shared" si="22"/>
        <v>#DIV/0!</v>
      </c>
      <c r="L114" s="341" t="e">
        <f t="shared" ref="L114:L121" si="26">(B114-B113)/B113</f>
        <v>#DIV/0!</v>
      </c>
      <c r="M114" s="341" t="e">
        <f>(G114-G113)/G113</f>
        <v>#DIV/0!</v>
      </c>
    </row>
    <row r="115" spans="1:13" hidden="1">
      <c r="A115" s="329">
        <f t="shared" si="25"/>
        <v>1500</v>
      </c>
      <c r="B115" s="329">
        <f t="shared" si="15"/>
        <v>0</v>
      </c>
      <c r="C115" s="328">
        <f t="shared" si="24"/>
        <v>0</v>
      </c>
      <c r="D115" s="328" t="e">
        <f t="shared" ref="D115:D121" si="27">D114*(1+$B$105)</f>
        <v>#DIV/0!</v>
      </c>
      <c r="E115" s="329">
        <f t="shared" si="16"/>
        <v>1095</v>
      </c>
      <c r="F115" s="330" t="e">
        <f t="shared" si="17"/>
        <v>#VALUE!</v>
      </c>
      <c r="G115" s="805" t="e">
        <f t="shared" si="18"/>
        <v>#DIV/0!</v>
      </c>
      <c r="H115" s="806" t="e">
        <f t="shared" si="19"/>
        <v>#DIV/0!</v>
      </c>
      <c r="I115" s="7" t="e">
        <f t="shared" si="20"/>
        <v>#DIV/0!</v>
      </c>
      <c r="J115" s="339" t="e">
        <f t="shared" si="21"/>
        <v>#DIV/0!</v>
      </c>
      <c r="K115" s="334" t="e">
        <f t="shared" si="22"/>
        <v>#DIV/0!</v>
      </c>
      <c r="L115" s="341" t="e">
        <f t="shared" si="26"/>
        <v>#DIV/0!</v>
      </c>
      <c r="M115" s="341" t="e">
        <f t="shared" si="23"/>
        <v>#DIV/0!</v>
      </c>
    </row>
    <row r="116" spans="1:13" hidden="1">
      <c r="A116" s="329">
        <f t="shared" si="25"/>
        <v>2000</v>
      </c>
      <c r="B116" s="329">
        <f t="shared" si="15"/>
        <v>0</v>
      </c>
      <c r="C116" s="328">
        <f t="shared" si="24"/>
        <v>0</v>
      </c>
      <c r="D116" s="328" t="e">
        <f t="shared" si="27"/>
        <v>#DIV/0!</v>
      </c>
      <c r="E116" s="329">
        <f t="shared" si="16"/>
        <v>1095</v>
      </c>
      <c r="F116" s="330" t="e">
        <f t="shared" si="17"/>
        <v>#VALUE!</v>
      </c>
      <c r="G116" s="805" t="e">
        <f t="shared" si="18"/>
        <v>#DIV/0!</v>
      </c>
      <c r="H116" s="806" t="e">
        <f t="shared" si="19"/>
        <v>#DIV/0!</v>
      </c>
      <c r="I116" s="7" t="e">
        <f t="shared" si="20"/>
        <v>#DIV/0!</v>
      </c>
      <c r="J116" s="339" t="e">
        <f t="shared" si="21"/>
        <v>#DIV/0!</v>
      </c>
      <c r="K116" s="334" t="e">
        <f t="shared" si="22"/>
        <v>#DIV/0!</v>
      </c>
      <c r="L116" s="341" t="e">
        <f t="shared" si="26"/>
        <v>#DIV/0!</v>
      </c>
      <c r="M116" s="341" t="e">
        <f t="shared" si="23"/>
        <v>#DIV/0!</v>
      </c>
    </row>
    <row r="117" spans="1:13" hidden="1">
      <c r="A117" s="329">
        <f t="shared" si="25"/>
        <v>2500</v>
      </c>
      <c r="B117" s="329">
        <f t="shared" si="15"/>
        <v>0</v>
      </c>
      <c r="C117" s="328">
        <f t="shared" si="24"/>
        <v>0</v>
      </c>
      <c r="D117" s="328" t="e">
        <f t="shared" si="27"/>
        <v>#DIV/0!</v>
      </c>
      <c r="E117" s="329">
        <f t="shared" si="16"/>
        <v>1095</v>
      </c>
      <c r="F117" s="330" t="e">
        <f t="shared" si="17"/>
        <v>#VALUE!</v>
      </c>
      <c r="G117" s="805" t="e">
        <f t="shared" si="18"/>
        <v>#DIV/0!</v>
      </c>
      <c r="H117" s="806" t="e">
        <f t="shared" si="19"/>
        <v>#DIV/0!</v>
      </c>
      <c r="I117" s="7" t="e">
        <f t="shared" si="20"/>
        <v>#DIV/0!</v>
      </c>
      <c r="J117" s="339" t="e">
        <f t="shared" si="21"/>
        <v>#DIV/0!</v>
      </c>
      <c r="K117" s="334" t="e">
        <f t="shared" si="22"/>
        <v>#DIV/0!</v>
      </c>
      <c r="L117" s="341" t="e">
        <f t="shared" si="26"/>
        <v>#DIV/0!</v>
      </c>
      <c r="M117" s="341" t="e">
        <f t="shared" si="23"/>
        <v>#DIV/0!</v>
      </c>
    </row>
    <row r="118" spans="1:13" hidden="1">
      <c r="A118" s="329">
        <f t="shared" si="25"/>
        <v>3000</v>
      </c>
      <c r="B118" s="329">
        <f t="shared" si="15"/>
        <v>0</v>
      </c>
      <c r="C118" s="328">
        <f t="shared" si="24"/>
        <v>0</v>
      </c>
      <c r="D118" s="328" t="e">
        <f t="shared" si="27"/>
        <v>#DIV/0!</v>
      </c>
      <c r="E118" s="329">
        <f t="shared" si="16"/>
        <v>1095</v>
      </c>
      <c r="F118" s="330" t="e">
        <f t="shared" si="17"/>
        <v>#VALUE!</v>
      </c>
      <c r="G118" s="805" t="e">
        <f t="shared" si="18"/>
        <v>#DIV/0!</v>
      </c>
      <c r="H118" s="806" t="e">
        <f t="shared" si="19"/>
        <v>#DIV/0!</v>
      </c>
      <c r="I118" s="7" t="e">
        <f t="shared" si="20"/>
        <v>#DIV/0!</v>
      </c>
      <c r="J118" s="339" t="e">
        <f t="shared" si="21"/>
        <v>#DIV/0!</v>
      </c>
      <c r="K118" s="334" t="e">
        <f t="shared" si="22"/>
        <v>#DIV/0!</v>
      </c>
      <c r="L118" s="341" t="e">
        <f t="shared" si="26"/>
        <v>#DIV/0!</v>
      </c>
      <c r="M118" s="341" t="e">
        <f t="shared" si="23"/>
        <v>#DIV/0!</v>
      </c>
    </row>
    <row r="119" spans="1:13" hidden="1">
      <c r="A119" s="329">
        <f t="shared" si="25"/>
        <v>3500</v>
      </c>
      <c r="B119" s="329">
        <f t="shared" si="15"/>
        <v>0</v>
      </c>
      <c r="C119" s="328">
        <f t="shared" si="24"/>
        <v>0</v>
      </c>
      <c r="D119" s="328" t="e">
        <f t="shared" si="27"/>
        <v>#DIV/0!</v>
      </c>
      <c r="E119" s="329">
        <f t="shared" si="16"/>
        <v>1095</v>
      </c>
      <c r="F119" s="330" t="e">
        <f t="shared" si="17"/>
        <v>#VALUE!</v>
      </c>
      <c r="G119" s="805" t="e">
        <f t="shared" si="18"/>
        <v>#DIV/0!</v>
      </c>
      <c r="H119" s="806" t="e">
        <f t="shared" si="19"/>
        <v>#DIV/0!</v>
      </c>
      <c r="I119" s="7" t="e">
        <f t="shared" si="20"/>
        <v>#DIV/0!</v>
      </c>
      <c r="J119" s="339" t="e">
        <f t="shared" si="21"/>
        <v>#DIV/0!</v>
      </c>
      <c r="K119" s="334" t="e">
        <f t="shared" si="22"/>
        <v>#DIV/0!</v>
      </c>
      <c r="L119" s="341" t="e">
        <f t="shared" si="26"/>
        <v>#DIV/0!</v>
      </c>
      <c r="M119" s="341" t="e">
        <f t="shared" si="23"/>
        <v>#DIV/0!</v>
      </c>
    </row>
    <row r="120" spans="1:13" hidden="1">
      <c r="A120" s="329">
        <f t="shared" si="25"/>
        <v>4000</v>
      </c>
      <c r="B120" s="329">
        <f t="shared" si="15"/>
        <v>0</v>
      </c>
      <c r="C120" s="328">
        <f t="shared" si="24"/>
        <v>0</v>
      </c>
      <c r="D120" s="328" t="e">
        <f t="shared" si="27"/>
        <v>#DIV/0!</v>
      </c>
      <c r="E120" s="329">
        <f t="shared" si="16"/>
        <v>1095</v>
      </c>
      <c r="F120" s="330" t="e">
        <f t="shared" si="17"/>
        <v>#VALUE!</v>
      </c>
      <c r="G120" s="805" t="e">
        <f t="shared" si="18"/>
        <v>#DIV/0!</v>
      </c>
      <c r="H120" s="806" t="e">
        <f t="shared" si="19"/>
        <v>#DIV/0!</v>
      </c>
      <c r="I120" s="7" t="e">
        <f t="shared" si="20"/>
        <v>#DIV/0!</v>
      </c>
      <c r="J120" s="339" t="e">
        <f t="shared" si="21"/>
        <v>#DIV/0!</v>
      </c>
      <c r="K120" s="334" t="e">
        <f t="shared" si="22"/>
        <v>#DIV/0!</v>
      </c>
      <c r="L120" s="341" t="e">
        <f t="shared" si="26"/>
        <v>#DIV/0!</v>
      </c>
      <c r="M120" s="341" t="e">
        <f t="shared" si="23"/>
        <v>#DIV/0!</v>
      </c>
    </row>
    <row r="121" spans="1:13" hidden="1">
      <c r="A121" s="329">
        <f>A120+$B$104</f>
        <v>4500</v>
      </c>
      <c r="B121" s="329">
        <f t="shared" si="15"/>
        <v>0</v>
      </c>
      <c r="C121" s="328">
        <f t="shared" si="24"/>
        <v>0</v>
      </c>
      <c r="D121" s="328" t="e">
        <f t="shared" si="27"/>
        <v>#DIV/0!</v>
      </c>
      <c r="E121" s="329">
        <f t="shared" si="16"/>
        <v>1095</v>
      </c>
      <c r="F121" s="330" t="e">
        <f t="shared" si="17"/>
        <v>#VALUE!</v>
      </c>
      <c r="G121" s="805" t="e">
        <f t="shared" si="18"/>
        <v>#DIV/0!</v>
      </c>
      <c r="H121" s="806" t="e">
        <f t="shared" si="19"/>
        <v>#DIV/0!</v>
      </c>
      <c r="I121" s="7" t="e">
        <f t="shared" si="20"/>
        <v>#DIV/0!</v>
      </c>
      <c r="J121" s="339" t="e">
        <f t="shared" si="21"/>
        <v>#DIV/0!</v>
      </c>
      <c r="K121" s="334" t="e">
        <f t="shared" si="22"/>
        <v>#DIV/0!</v>
      </c>
      <c r="L121" s="341" t="e">
        <f t="shared" si="26"/>
        <v>#DIV/0!</v>
      </c>
      <c r="M121" s="341" t="e">
        <f t="shared" si="23"/>
        <v>#DIV/0!</v>
      </c>
    </row>
    <row r="122" spans="1:13" hidden="1"/>
    <row r="124" spans="1:13" ht="12.75" customHeight="1"/>
  </sheetData>
  <sheetProtection sheet="1" formatCells="0" formatColumns="0" formatRows="0"/>
  <mergeCells count="7">
    <mergeCell ref="I6:J6"/>
    <mergeCell ref="A36:E36"/>
    <mergeCell ref="B87:B88"/>
    <mergeCell ref="C87:C88"/>
    <mergeCell ref="D87:D88"/>
    <mergeCell ref="F87:F88"/>
    <mergeCell ref="A55:A57"/>
  </mergeCells>
  <conditionalFormatting sqref="E89:E100 F89:F101">
    <cfRule type="cellIs" dxfId="49" priority="1" stopIfTrue="1" operator="lessThan">
      <formula>0</formula>
    </cfRule>
  </conditionalFormatting>
  <hyperlinks>
    <hyperlink ref="B2" location="Lähtötiedot" display="Lähtötiedot" xr:uid="{00000000-0004-0000-15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Lähtötiedot!A40</f>
        <v>LaskeMaito2 laskelma 2. Piilossa, aktivoi</v>
      </c>
      <c r="C2" s="246"/>
      <c r="D2" s="1992" t="s">
        <v>189</v>
      </c>
      <c r="E2" s="884" t="str">
        <f>Lähtötiedot!E4</f>
        <v>C</v>
      </c>
    </row>
    <row r="3" spans="1:8" ht="18">
      <c r="A3" s="247"/>
      <c r="B3" s="247" t="s">
        <v>188</v>
      </c>
      <c r="C3" s="247"/>
      <c r="D3" s="247"/>
      <c r="E3" s="248">
        <f>Lähtötiedot!C4</f>
        <v>2027</v>
      </c>
      <c r="F3" s="247"/>
    </row>
    <row r="4" spans="1:8" ht="18">
      <c r="B4" s="249" t="s">
        <v>588</v>
      </c>
      <c r="D4" s="250"/>
      <c r="E4" s="251">
        <f>Lähtötiedot!C40</f>
        <v>0</v>
      </c>
      <c r="F4" s="247" t="s">
        <v>150</v>
      </c>
    </row>
    <row r="5" spans="1:8" ht="18">
      <c r="A5" s="1" t="s">
        <v>660</v>
      </c>
      <c r="B5" s="249"/>
      <c r="D5" s="250"/>
      <c r="E5" s="247"/>
      <c r="F5" s="247"/>
    </row>
    <row r="6" spans="1:8" ht="15.75">
      <c r="A6" s="1" t="s">
        <v>417</v>
      </c>
      <c r="B6" s="1" t="s">
        <v>418</v>
      </c>
      <c r="C6" s="252" t="s">
        <v>146</v>
      </c>
      <c r="D6" s="1180" t="str">
        <f>C7</f>
        <v>litraa</v>
      </c>
      <c r="E6" s="252" t="s">
        <v>419</v>
      </c>
      <c r="F6" s="252" t="s">
        <v>235</v>
      </c>
      <c r="G6" s="521" t="s">
        <v>159</v>
      </c>
      <c r="H6" s="252" t="s">
        <v>590</v>
      </c>
    </row>
    <row r="7" spans="1:8" ht="15.75" thickBot="1">
      <c r="A7" s="276" t="s">
        <v>661</v>
      </c>
      <c r="B7" s="276"/>
      <c r="C7" s="370" t="s">
        <v>160</v>
      </c>
      <c r="D7" s="1527">
        <v>0</v>
      </c>
      <c r="E7" s="371">
        <v>0</v>
      </c>
      <c r="F7" s="172">
        <f t="shared" ref="F7:F17" si="0">D7*E7</f>
        <v>0</v>
      </c>
      <c r="G7" s="189" t="str">
        <f>IFERROR(F7/$F$18,"")</f>
        <v/>
      </c>
      <c r="H7" s="259">
        <f t="shared" ref="H7:H17" si="1">F7*$E$4</f>
        <v>0</v>
      </c>
    </row>
    <row r="8" spans="1:8" ht="15.75" thickBot="1">
      <c r="A8" s="260" t="s">
        <v>593</v>
      </c>
      <c r="B8" s="372" t="s">
        <v>594</v>
      </c>
      <c r="C8" s="262" t="s">
        <v>235</v>
      </c>
      <c r="D8" s="1526">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kustannustiedot'!$V$38:$V$48)*Lähtötiedot!C74,0)</f>
        <v>0</v>
      </c>
      <c r="C35" s="1541" t="s">
        <v>235</v>
      </c>
      <c r="D35" s="1152">
        <v>1</v>
      </c>
      <c r="E35" s="1550">
        <f>B35*D35</f>
        <v>0</v>
      </c>
      <c r="F35" s="1551" t="e">
        <f>E35/E4</f>
        <v>#DIV/0!</v>
      </c>
      <c r="G35" s="189" t="e">
        <f t="shared" si="4"/>
        <v>#DIV/0!</v>
      </c>
      <c r="H35" s="1528">
        <f>E35*D35</f>
        <v>0</v>
      </c>
    </row>
    <row r="36" spans="1:9" ht="15.75">
      <c r="A36" s="2697" t="s">
        <v>622</v>
      </c>
      <c r="B36" s="2697"/>
      <c r="C36" s="2697"/>
      <c r="D36" s="2697"/>
      <c r="E36" s="2697"/>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0</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879" t="str">
        <f>Lähtötiedot!D74</f>
        <v/>
      </c>
      <c r="F55" s="876" t="e">
        <f>E55/$E$4*D55</f>
        <v>#VALUE!</v>
      </c>
      <c r="G55" s="877" t="e">
        <f>F55/$F$63</f>
        <v>#VALUE!</v>
      </c>
    </row>
    <row r="56" spans="1:9" ht="16.5" thickBot="1">
      <c r="A56" s="2678"/>
      <c r="B56" s="878" t="s">
        <v>232</v>
      </c>
      <c r="C56" s="1233"/>
      <c r="D56" s="1235">
        <v>1</v>
      </c>
      <c r="E56" s="880" t="str">
        <f>Lähtötiedot!E74</f>
        <v/>
      </c>
      <c r="F56" s="876" t="e">
        <f t="shared" ref="F56:F57" si="6">E56/$E$4*D56</f>
        <v>#VALUE!</v>
      </c>
      <c r="G56" s="875" t="e">
        <f>F56/$F$63</f>
        <v>#VALUE!</v>
      </c>
    </row>
    <row r="57" spans="1:9" ht="16.5" thickBot="1">
      <c r="A57" s="2679"/>
      <c r="B57" s="874" t="s">
        <v>628</v>
      </c>
      <c r="C57" s="818"/>
      <c r="D57" s="1236">
        <v>1</v>
      </c>
      <c r="E57" s="872" t="e">
        <f>Lähtötiedot!G74+Lähtötiedot!F74</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8"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4"/>
  <sheetViews>
    <sheetView topLeftCell="A4"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Lähtötiedot!A41</f>
        <v>LaskeMaito3 laskelma 3. Piilossa, aktivoi</v>
      </c>
      <c r="C2" s="246"/>
      <c r="D2" s="1992" t="s">
        <v>189</v>
      </c>
      <c r="E2" s="884" t="str">
        <f>Lähtötiedot!E4</f>
        <v>C</v>
      </c>
    </row>
    <row r="3" spans="1:8" ht="18">
      <c r="A3" s="247"/>
      <c r="B3" s="247" t="s">
        <v>188</v>
      </c>
      <c r="C3" s="247"/>
      <c r="D3" s="247"/>
      <c r="E3" s="248">
        <f>Lähtötiedot!C4</f>
        <v>2027</v>
      </c>
      <c r="F3" s="247"/>
    </row>
    <row r="4" spans="1:8" ht="18">
      <c r="B4" s="249" t="s">
        <v>588</v>
      </c>
      <c r="D4" s="250"/>
      <c r="E4" s="251">
        <f>Lähtötiedot!C41</f>
        <v>0</v>
      </c>
      <c r="F4" s="247" t="s">
        <v>150</v>
      </c>
    </row>
    <row r="5" spans="1:8" ht="18">
      <c r="A5" s="1" t="s">
        <v>660</v>
      </c>
      <c r="B5" s="249"/>
      <c r="D5" s="250"/>
      <c r="E5" s="247"/>
      <c r="F5" s="247"/>
    </row>
    <row r="6" spans="1:8" ht="15.75">
      <c r="A6" s="1" t="s">
        <v>417</v>
      </c>
      <c r="B6" s="1" t="s">
        <v>418</v>
      </c>
      <c r="C6" s="252" t="s">
        <v>146</v>
      </c>
      <c r="D6" s="1180" t="s">
        <v>672</v>
      </c>
      <c r="E6" s="252" t="s">
        <v>419</v>
      </c>
      <c r="F6" s="252" t="s">
        <v>235</v>
      </c>
      <c r="G6" s="521" t="s">
        <v>159</v>
      </c>
      <c r="H6" s="252" t="s">
        <v>590</v>
      </c>
    </row>
    <row r="7" spans="1:8" ht="15.75" thickBot="1">
      <c r="A7" s="276" t="s">
        <v>661</v>
      </c>
      <c r="B7" s="276"/>
      <c r="C7" s="370" t="s">
        <v>160</v>
      </c>
      <c r="D7" s="276">
        <v>0</v>
      </c>
      <c r="E7" s="371">
        <v>0</v>
      </c>
      <c r="F7" s="172">
        <f t="shared" ref="F7:F17" si="0">D7*E7</f>
        <v>0</v>
      </c>
      <c r="G7" s="189" t="str">
        <f>IFERROR(F7/$F$18,"")</f>
        <v/>
      </c>
      <c r="H7" s="259">
        <f t="shared" ref="H7:H17" si="1">F7*$E$4</f>
        <v>0</v>
      </c>
    </row>
    <row r="8" spans="1:8" ht="15.75" thickBot="1">
      <c r="A8" s="260" t="s">
        <v>593</v>
      </c>
      <c r="B8" s="372" t="s">
        <v>594</v>
      </c>
      <c r="C8" s="262" t="s">
        <v>235</v>
      </c>
      <c r="D8" s="373">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kustannustiedot'!$V$38:$V$48)*Lähtötiedot!C75,0)</f>
        <v>0</v>
      </c>
      <c r="C35" s="1541" t="s">
        <v>235</v>
      </c>
      <c r="D35" s="1152">
        <v>1</v>
      </c>
      <c r="E35" s="1550">
        <f>B35*D35</f>
        <v>0</v>
      </c>
      <c r="F35" s="1551" t="e">
        <f>E35/E4</f>
        <v>#DIV/0!</v>
      </c>
      <c r="G35" s="189" t="e">
        <f t="shared" si="4"/>
        <v>#DIV/0!</v>
      </c>
      <c r="H35" s="1528">
        <f>E35*D35</f>
        <v>0</v>
      </c>
    </row>
    <row r="36" spans="1:9" ht="15.75">
      <c r="A36" s="2697" t="s">
        <v>622</v>
      </c>
      <c r="B36" s="2697"/>
      <c r="C36" s="2697"/>
      <c r="D36" s="2697"/>
      <c r="E36" s="2697"/>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15.9</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7" t="s">
        <v>467</v>
      </c>
      <c r="B55" s="878" t="s">
        <v>231</v>
      </c>
      <c r="C55" s="1232"/>
      <c r="D55" s="1234">
        <v>1</v>
      </c>
      <c r="E55" s="879" t="str">
        <f>Lähtötiedot!D75</f>
        <v/>
      </c>
      <c r="F55" s="876" t="e">
        <f>E55/$E$4*D55</f>
        <v>#VALUE!</v>
      </c>
      <c r="G55" s="877" t="e">
        <f>F55/$F$63</f>
        <v>#VALUE!</v>
      </c>
    </row>
    <row r="56" spans="1:9" ht="16.5" thickBot="1">
      <c r="A56" s="2678"/>
      <c r="B56" s="878" t="s">
        <v>232</v>
      </c>
      <c r="C56" s="1233"/>
      <c r="D56" s="1235">
        <v>1</v>
      </c>
      <c r="E56" s="880" t="str">
        <f>Lähtötiedot!E75</f>
        <v/>
      </c>
      <c r="F56" s="876" t="e">
        <f t="shared" ref="F56:F57" si="6">E56/$E$4*D56</f>
        <v>#VALUE!</v>
      </c>
      <c r="G56" s="875" t="e">
        <f>F56/$F$63</f>
        <v>#VALUE!</v>
      </c>
    </row>
    <row r="57" spans="1:9" ht="16.5" thickBot="1">
      <c r="A57" s="2679"/>
      <c r="B57" s="874" t="s">
        <v>628</v>
      </c>
      <c r="C57" s="818"/>
      <c r="D57" s="1236">
        <v>1</v>
      </c>
      <c r="E57" s="872" t="e">
        <f>Lähtötiedot!G75+Lähtötiedot!F75</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7" t="s">
        <v>642</v>
      </c>
      <c r="C87" s="2637" t="s">
        <v>643</v>
      </c>
      <c r="D87" s="2698" t="s">
        <v>644</v>
      </c>
      <c r="F87" s="2639" t="s">
        <v>645</v>
      </c>
    </row>
    <row r="88" spans="1:7">
      <c r="B88" s="2637"/>
      <c r="C88" s="2637"/>
      <c r="D88" s="2698"/>
      <c r="E88" t="s">
        <v>646</v>
      </c>
      <c r="F88" s="2639"/>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7"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25"/>
  <sheetViews>
    <sheetView zoomScale="70" zoomScaleNormal="70" workbookViewId="0">
      <selection activeCell="H2" sqref="H2"/>
    </sheetView>
  </sheetViews>
  <sheetFormatPr defaultColWidth="8.85546875" defaultRowHeight="12.75"/>
  <cols>
    <col min="1" max="1" width="36" customWidth="1"/>
    <col min="2" max="2" width="28.42578125" customWidth="1"/>
    <col min="3" max="3" width="13.7109375" customWidth="1"/>
    <col min="4" max="4" width="12" customWidth="1"/>
    <col min="5" max="5" width="14.140625" customWidth="1"/>
    <col min="6" max="6" width="20.28515625" customWidth="1"/>
    <col min="7" max="7" width="13.42578125" customWidth="1"/>
    <col min="8" max="8" width="12.85546875" customWidth="1"/>
    <col min="9" max="9" width="14.28515625" customWidth="1"/>
    <col min="10" max="10" width="18.140625" customWidth="1"/>
    <col min="11" max="12" width="12.85546875" customWidth="1"/>
    <col min="13" max="13" width="15.5703125" customWidth="1"/>
    <col min="14" max="14" width="21.28515625" customWidth="1"/>
    <col min="15" max="15" width="12.85546875" customWidth="1"/>
    <col min="16" max="16" width="21.140625" customWidth="1"/>
    <col min="17" max="17" width="9.7109375" customWidth="1"/>
    <col min="18" max="18" width="10.85546875" customWidth="1"/>
    <col min="19" max="19" width="11" customWidth="1"/>
    <col min="20" max="20" width="12.42578125" customWidth="1"/>
    <col min="21" max="24" width="9.140625" customWidth="1"/>
  </cols>
  <sheetData>
    <row r="1" spans="1:21" ht="21" thickBot="1">
      <c r="A1" s="1299" t="s">
        <v>673</v>
      </c>
    </row>
    <row r="2" spans="1:21" ht="18.75" thickBot="1">
      <c r="A2" s="1188"/>
      <c r="B2" s="1190" t="str">
        <f>Lähtötiedot!A39</f>
        <v>Maito (LaskeMaito1)</v>
      </c>
      <c r="C2" s="246"/>
      <c r="D2" s="1992" t="s">
        <v>189</v>
      </c>
      <c r="E2" s="884" t="str">
        <f>Lähtötiedot!E4</f>
        <v>C</v>
      </c>
      <c r="F2" t="s">
        <v>674</v>
      </c>
      <c r="H2" s="1350" t="s">
        <v>863</v>
      </c>
      <c r="I2" t="str">
        <f>IF(AND(H2="kyllä",E4&gt;0),"Siirretään tuloslaskemalle","Ei siirretä")</f>
        <v>Ei siirretä</v>
      </c>
    </row>
    <row r="3" spans="1:21" ht="18">
      <c r="A3" s="247"/>
      <c r="B3" s="247" t="s">
        <v>188</v>
      </c>
      <c r="C3" s="247"/>
      <c r="D3" s="247"/>
      <c r="E3" s="248">
        <f>Lähtötiedot!C4</f>
        <v>2027</v>
      </c>
      <c r="H3" s="3"/>
      <c r="I3" s="3"/>
    </row>
    <row r="4" spans="1:21" ht="18.75" thickBot="1">
      <c r="B4" s="249" t="s">
        <v>675</v>
      </c>
      <c r="D4" s="250"/>
      <c r="E4" s="1347">
        <f>Lähtötiedot!C42</f>
        <v>0</v>
      </c>
      <c r="F4" s="247" t="s">
        <v>150</v>
      </c>
      <c r="I4" t="str">
        <f>IF(AND(E4&lt;&gt;P5,H2="kyllä"),"&lt;---Eläinmäärä puuttuu perustiedoista!","")</f>
        <v/>
      </c>
      <c r="P4" s="1363" t="str">
        <f>IF(P5&lt;&gt;E4,"Karjan lukumäärä ei täsmää. Tarkista! Ero "&amp;E4-P5&amp;" kpl","OK")</f>
        <v>OK</v>
      </c>
    </row>
    <row r="5" spans="1:21" ht="19.5" thickTop="1" thickBot="1">
      <c r="B5" s="2706" t="s">
        <v>1891</v>
      </c>
      <c r="C5" s="2706"/>
      <c r="D5" s="2707"/>
      <c r="E5" s="1346">
        <v>0</v>
      </c>
      <c r="F5" s="1364" t="e">
        <f>E5/$E$4</f>
        <v>#DIV/0!</v>
      </c>
      <c r="I5" s="1346">
        <v>0</v>
      </c>
      <c r="J5" s="1364" t="e">
        <f>I5/$E$4</f>
        <v>#DIV/0!</v>
      </c>
      <c r="M5" s="1346">
        <v>0</v>
      </c>
      <c r="N5" s="1364" t="e">
        <f>M5/$E$4</f>
        <v>#DIV/0!</v>
      </c>
      <c r="P5" s="1351">
        <f>SUM(E5,I5,M5)</f>
        <v>0</v>
      </c>
      <c r="Q5" s="1382" t="e">
        <f>SUM(F5,J5,N5)</f>
        <v>#DIV/0!</v>
      </c>
    </row>
    <row r="6" spans="1:21" ht="19.5" thickTop="1" thickBot="1">
      <c r="A6" s="1" t="s">
        <v>660</v>
      </c>
      <c r="B6" s="249"/>
      <c r="D6" s="2710" t="str">
        <f>C8</f>
        <v>kg</v>
      </c>
      <c r="E6" s="247"/>
      <c r="F6" s="1301"/>
      <c r="G6" s="839"/>
      <c r="H6" s="2710" t="str">
        <f>D6</f>
        <v>kg</v>
      </c>
      <c r="I6" s="247"/>
      <c r="J6" s="1301"/>
      <c r="K6" s="839"/>
      <c r="L6" s="2710" t="str">
        <f>D6</f>
        <v>kg</v>
      </c>
      <c r="M6" s="247"/>
      <c r="N6" s="1301"/>
      <c r="O6" s="839"/>
    </row>
    <row r="7" spans="1:21" ht="16.5" thickBot="1">
      <c r="A7" s="1" t="s">
        <v>417</v>
      </c>
      <c r="B7" s="1" t="s">
        <v>418</v>
      </c>
      <c r="C7" s="252" t="s">
        <v>146</v>
      </c>
      <c r="D7" s="2711"/>
      <c r="E7" s="252" t="s">
        <v>419</v>
      </c>
      <c r="F7" s="252" t="s">
        <v>235</v>
      </c>
      <c r="G7" s="1302" t="s">
        <v>159</v>
      </c>
      <c r="H7" s="2711"/>
      <c r="I7" s="252" t="s">
        <v>419</v>
      </c>
      <c r="J7" s="252" t="s">
        <v>235</v>
      </c>
      <c r="K7" s="1302" t="s">
        <v>159</v>
      </c>
      <c r="L7" s="2711"/>
      <c r="M7" s="252" t="s">
        <v>419</v>
      </c>
      <c r="N7" s="252" t="s">
        <v>235</v>
      </c>
      <c r="O7" s="1302" t="s">
        <v>159</v>
      </c>
      <c r="P7" s="252" t="s">
        <v>590</v>
      </c>
      <c r="R7" s="1371" t="s">
        <v>556</v>
      </c>
      <c r="S7" s="813"/>
      <c r="T7" s="1372" t="s">
        <v>676</v>
      </c>
      <c r="U7" s="839"/>
    </row>
    <row r="8" spans="1:21" ht="16.5" thickBot="1">
      <c r="A8" s="276" t="s">
        <v>661</v>
      </c>
      <c r="B8" s="276"/>
      <c r="C8" s="1324" t="s">
        <v>137</v>
      </c>
      <c r="D8" s="1381">
        <v>11000</v>
      </c>
      <c r="E8" s="1379">
        <v>0</v>
      </c>
      <c r="F8" s="172">
        <f t="shared" ref="F8:F18" si="0">D8*E8</f>
        <v>0</v>
      </c>
      <c r="G8" s="1303" t="str">
        <f>IFERROR(F8/$F$19,"")</f>
        <v/>
      </c>
      <c r="H8" s="1381">
        <v>9000</v>
      </c>
      <c r="I8" s="1379">
        <f>E8</f>
        <v>0</v>
      </c>
      <c r="J8" s="172">
        <f t="shared" ref="J8:J18" si="1">H8*I8</f>
        <v>0</v>
      </c>
      <c r="K8" s="1303" t="str">
        <f>IFERROR(J8/$F$19,"")</f>
        <v/>
      </c>
      <c r="L8" s="1381">
        <v>7000</v>
      </c>
      <c r="M8" s="1379">
        <f>E8</f>
        <v>0</v>
      </c>
      <c r="N8" s="172">
        <f t="shared" ref="N8:N18" si="2">L8*M8</f>
        <v>0</v>
      </c>
      <c r="O8" s="1303" t="str">
        <f>IFERROR(N8/$F$19,"")</f>
        <v/>
      </c>
      <c r="P8" s="1031">
        <f>F8*$E$5+J8*$I$5+N8*$M$5</f>
        <v>0</v>
      </c>
      <c r="R8" s="1373">
        <f>(D8*E5)+(H8*I5)+(L8*M5)</f>
        <v>0</v>
      </c>
      <c r="S8" s="818" t="str">
        <f>C8</f>
        <v>kg</v>
      </c>
      <c r="T8" s="1374">
        <f>IF(R8&gt;0,R8/P5,0)</f>
        <v>0</v>
      </c>
      <c r="U8" s="843" t="str">
        <f>S8</f>
        <v>kg</v>
      </c>
    </row>
    <row r="9" spans="1:21" ht="15.75" thickBot="1">
      <c r="A9" s="260" t="s">
        <v>593</v>
      </c>
      <c r="B9" s="372" t="s">
        <v>594</v>
      </c>
      <c r="C9" s="1325" t="s">
        <v>235</v>
      </c>
      <c r="D9" s="1380">
        <f>D8</f>
        <v>11000</v>
      </c>
      <c r="E9" s="374">
        <v>0</v>
      </c>
      <c r="F9" s="258">
        <f t="shared" si="0"/>
        <v>0</v>
      </c>
      <c r="G9" s="1303" t="str">
        <f t="shared" ref="G9:G18" si="3">IFERROR(F9/$F$19,"")</f>
        <v/>
      </c>
      <c r="H9" s="1380">
        <f>H8</f>
        <v>9000</v>
      </c>
      <c r="I9" s="374">
        <f>E9</f>
        <v>0</v>
      </c>
      <c r="J9" s="258">
        <f t="shared" si="1"/>
        <v>0</v>
      </c>
      <c r="K9" s="1303" t="str">
        <f t="shared" ref="K9:K18" si="4">IFERROR(J9/$F$19,"")</f>
        <v/>
      </c>
      <c r="L9" s="1380">
        <f>L8</f>
        <v>7000</v>
      </c>
      <c r="M9" s="374">
        <f>E9</f>
        <v>0</v>
      </c>
      <c r="N9" s="258">
        <f t="shared" si="2"/>
        <v>0</v>
      </c>
      <c r="O9" s="1303" t="str">
        <f t="shared" ref="O9:O18" si="5">IFERROR(N9/$F$19,"")</f>
        <v/>
      </c>
      <c r="P9" s="1031">
        <f t="shared" ref="P9:P18" si="6">F9*$E$5+J9*$I$5+N9*$M$5</f>
        <v>0</v>
      </c>
      <c r="R9" s="845" t="s">
        <v>559</v>
      </c>
      <c r="S9" s="813"/>
      <c r="T9" s="813"/>
      <c r="U9" s="839"/>
    </row>
    <row r="10" spans="1:21" ht="15.75" thickBot="1">
      <c r="A10" s="264" t="s">
        <v>595</v>
      </c>
      <c r="B10" s="375" t="s">
        <v>594</v>
      </c>
      <c r="C10" s="1326" t="s">
        <v>235</v>
      </c>
      <c r="D10" s="1206">
        <v>1</v>
      </c>
      <c r="E10" s="263">
        <v>0</v>
      </c>
      <c r="F10" s="258">
        <f t="shared" si="0"/>
        <v>0</v>
      </c>
      <c r="G10" s="1303" t="str">
        <f t="shared" si="3"/>
        <v/>
      </c>
      <c r="H10" s="1206">
        <v>1</v>
      </c>
      <c r="I10" s="374">
        <f t="shared" ref="I10:I13" si="7">E10</f>
        <v>0</v>
      </c>
      <c r="J10" s="258">
        <f t="shared" si="1"/>
        <v>0</v>
      </c>
      <c r="K10" s="1303" t="str">
        <f t="shared" si="4"/>
        <v/>
      </c>
      <c r="L10" s="1206">
        <v>1</v>
      </c>
      <c r="M10" s="374">
        <f t="shared" ref="M10:M13" si="8">E10</f>
        <v>0</v>
      </c>
      <c r="N10" s="258">
        <f t="shared" si="2"/>
        <v>0</v>
      </c>
      <c r="O10" s="1303" t="str">
        <f t="shared" si="5"/>
        <v/>
      </c>
      <c r="P10" s="1031">
        <f t="shared" si="6"/>
        <v>0</v>
      </c>
      <c r="R10" s="2708">
        <f>IF(R8&gt;0,SUM(P56:P58,P48,P40)/R8,0)</f>
        <v>0</v>
      </c>
      <c r="S10" s="2709"/>
      <c r="T10" s="818"/>
      <c r="U10" s="843"/>
    </row>
    <row r="11" spans="1:21" ht="15.75" thickBot="1">
      <c r="A11" s="264" t="s">
        <v>596</v>
      </c>
      <c r="B11" s="375" t="s">
        <v>594</v>
      </c>
      <c r="C11" s="1326" t="s">
        <v>235</v>
      </c>
      <c r="D11" s="1206">
        <v>1</v>
      </c>
      <c r="E11" s="263">
        <v>0</v>
      </c>
      <c r="F11" s="258">
        <f t="shared" si="0"/>
        <v>0</v>
      </c>
      <c r="G11" s="1303" t="str">
        <f t="shared" si="3"/>
        <v/>
      </c>
      <c r="H11" s="1206">
        <v>1</v>
      </c>
      <c r="I11" s="374">
        <f t="shared" si="7"/>
        <v>0</v>
      </c>
      <c r="J11" s="258">
        <f t="shared" si="1"/>
        <v>0</v>
      </c>
      <c r="K11" s="1303" t="str">
        <f t="shared" si="4"/>
        <v/>
      </c>
      <c r="L11" s="1206">
        <v>1</v>
      </c>
      <c r="M11" s="374">
        <f t="shared" si="8"/>
        <v>0</v>
      </c>
      <c r="N11" s="258">
        <f t="shared" si="2"/>
        <v>0</v>
      </c>
      <c r="O11" s="1303" t="str">
        <f t="shared" si="5"/>
        <v/>
      </c>
      <c r="P11" s="1031">
        <f t="shared" si="6"/>
        <v>0</v>
      </c>
    </row>
    <row r="12" spans="1:21" ht="15.75" thickBot="1">
      <c r="A12" s="264" t="s">
        <v>597</v>
      </c>
      <c r="B12" s="375" t="s">
        <v>594</v>
      </c>
      <c r="C12" s="1326" t="s">
        <v>235</v>
      </c>
      <c r="D12" s="1206">
        <v>1</v>
      </c>
      <c r="E12" s="263">
        <v>0</v>
      </c>
      <c r="F12" s="258">
        <f t="shared" si="0"/>
        <v>0</v>
      </c>
      <c r="G12" s="1303" t="str">
        <f t="shared" si="3"/>
        <v/>
      </c>
      <c r="H12" s="1206">
        <v>1</v>
      </c>
      <c r="I12" s="374">
        <f t="shared" si="7"/>
        <v>0</v>
      </c>
      <c r="J12" s="258">
        <f t="shared" si="1"/>
        <v>0</v>
      </c>
      <c r="K12" s="1303" t="str">
        <f t="shared" si="4"/>
        <v/>
      </c>
      <c r="L12" s="1206">
        <v>1</v>
      </c>
      <c r="M12" s="374">
        <f t="shared" si="8"/>
        <v>0</v>
      </c>
      <c r="N12" s="258">
        <f t="shared" si="2"/>
        <v>0</v>
      </c>
      <c r="O12" s="1303" t="str">
        <f t="shared" si="5"/>
        <v/>
      </c>
      <c r="P12" s="1031">
        <f t="shared" si="6"/>
        <v>0</v>
      </c>
    </row>
    <row r="13" spans="1:21" ht="15">
      <c r="A13" s="264" t="s">
        <v>598</v>
      </c>
      <c r="B13" s="375" t="s">
        <v>594</v>
      </c>
      <c r="C13" s="1326" t="s">
        <v>235</v>
      </c>
      <c r="D13" s="1206">
        <v>1</v>
      </c>
      <c r="E13" s="263">
        <v>0</v>
      </c>
      <c r="F13" s="258">
        <f t="shared" si="0"/>
        <v>0</v>
      </c>
      <c r="G13" s="1303" t="str">
        <f t="shared" si="3"/>
        <v/>
      </c>
      <c r="H13" s="1206">
        <v>1</v>
      </c>
      <c r="I13" s="374">
        <f t="shared" si="7"/>
        <v>0</v>
      </c>
      <c r="J13" s="258">
        <f t="shared" si="1"/>
        <v>0</v>
      </c>
      <c r="K13" s="1303" t="str">
        <f t="shared" si="4"/>
        <v/>
      </c>
      <c r="L13" s="1206">
        <v>1</v>
      </c>
      <c r="M13" s="374">
        <f t="shared" si="8"/>
        <v>0</v>
      </c>
      <c r="N13" s="258">
        <f t="shared" si="2"/>
        <v>0</v>
      </c>
      <c r="O13" s="1303" t="str">
        <f t="shared" si="5"/>
        <v/>
      </c>
      <c r="P13" s="1031">
        <f t="shared" si="6"/>
        <v>0</v>
      </c>
    </row>
    <row r="14" spans="1:21" ht="15">
      <c r="A14" s="273" t="s">
        <v>599</v>
      </c>
      <c r="B14" s="631" t="s">
        <v>600</v>
      </c>
      <c r="C14" s="1327" t="s">
        <v>235</v>
      </c>
      <c r="D14" s="1304">
        <v>40</v>
      </c>
      <c r="E14" s="278">
        <v>0</v>
      </c>
      <c r="F14" s="258">
        <f t="shared" si="0"/>
        <v>0</v>
      </c>
      <c r="G14" s="1303" t="str">
        <f t="shared" si="3"/>
        <v/>
      </c>
      <c r="H14" s="1304">
        <f>D14</f>
        <v>40</v>
      </c>
      <c r="I14" s="278">
        <f>E14</f>
        <v>0</v>
      </c>
      <c r="J14" s="258">
        <f t="shared" si="1"/>
        <v>0</v>
      </c>
      <c r="K14" s="1303" t="str">
        <f t="shared" si="4"/>
        <v/>
      </c>
      <c r="L14" s="1304">
        <f>H14</f>
        <v>40</v>
      </c>
      <c r="M14" s="278">
        <f>E14</f>
        <v>0</v>
      </c>
      <c r="N14" s="258">
        <f t="shared" si="2"/>
        <v>0</v>
      </c>
      <c r="O14" s="1303" t="str">
        <f t="shared" si="5"/>
        <v/>
      </c>
      <c r="P14" s="1031">
        <f t="shared" si="6"/>
        <v>0</v>
      </c>
    </row>
    <row r="15" spans="1:21" ht="15">
      <c r="A15" s="273" t="s">
        <v>601</v>
      </c>
      <c r="B15" s="631" t="s">
        <v>602</v>
      </c>
      <c r="C15" s="1328"/>
      <c r="D15" s="1304">
        <v>0.5</v>
      </c>
      <c r="E15" s="275">
        <v>0</v>
      </c>
      <c r="F15" s="172">
        <f t="shared" si="0"/>
        <v>0</v>
      </c>
      <c r="G15" s="1303" t="str">
        <f t="shared" si="3"/>
        <v/>
      </c>
      <c r="H15" s="1304">
        <f t="shared" ref="H15:H18" si="9">D15</f>
        <v>0.5</v>
      </c>
      <c r="I15" s="278">
        <f t="shared" ref="I15:I18" si="10">E15</f>
        <v>0</v>
      </c>
      <c r="J15" s="172">
        <f t="shared" si="1"/>
        <v>0</v>
      </c>
      <c r="K15" s="1303" t="str">
        <f t="shared" si="4"/>
        <v/>
      </c>
      <c r="L15" s="1304">
        <f>H15</f>
        <v>0.5</v>
      </c>
      <c r="M15" s="278">
        <f t="shared" ref="M15:M18" si="11">E15</f>
        <v>0</v>
      </c>
      <c r="N15" s="172">
        <f t="shared" si="2"/>
        <v>0</v>
      </c>
      <c r="O15" s="1303" t="str">
        <f t="shared" si="5"/>
        <v/>
      </c>
      <c r="P15" s="1031">
        <f t="shared" si="6"/>
        <v>0</v>
      </c>
    </row>
    <row r="16" spans="1:21" ht="15">
      <c r="A16" s="277" t="s">
        <v>603</v>
      </c>
      <c r="B16" s="277"/>
      <c r="C16" s="1329" t="s">
        <v>235</v>
      </c>
      <c r="D16" s="1208"/>
      <c r="E16" s="278">
        <v>0</v>
      </c>
      <c r="F16" s="172">
        <f t="shared" si="0"/>
        <v>0</v>
      </c>
      <c r="G16" s="1303" t="str">
        <f t="shared" si="3"/>
        <v/>
      </c>
      <c r="H16" s="1304">
        <f t="shared" si="9"/>
        <v>0</v>
      </c>
      <c r="I16" s="278">
        <f t="shared" si="10"/>
        <v>0</v>
      </c>
      <c r="J16" s="172">
        <f t="shared" si="1"/>
        <v>0</v>
      </c>
      <c r="K16" s="1303" t="str">
        <f t="shared" si="4"/>
        <v/>
      </c>
      <c r="L16" s="1304">
        <f t="shared" ref="L16:L18" si="12">H16</f>
        <v>0</v>
      </c>
      <c r="M16" s="278">
        <f t="shared" si="11"/>
        <v>0</v>
      </c>
      <c r="N16" s="172">
        <f t="shared" si="2"/>
        <v>0</v>
      </c>
      <c r="O16" s="1303" t="str">
        <f t="shared" si="5"/>
        <v/>
      </c>
      <c r="P16" s="1031">
        <f t="shared" si="6"/>
        <v>0</v>
      </c>
    </row>
    <row r="17" spans="1:19" ht="15">
      <c r="A17" s="276"/>
      <c r="B17" s="277"/>
      <c r="C17" s="1329" t="s">
        <v>235</v>
      </c>
      <c r="D17" s="1208"/>
      <c r="E17" s="278">
        <v>0</v>
      </c>
      <c r="F17" s="172">
        <f t="shared" si="0"/>
        <v>0</v>
      </c>
      <c r="G17" s="1303" t="str">
        <f t="shared" si="3"/>
        <v/>
      </c>
      <c r="H17" s="1304">
        <f t="shared" si="9"/>
        <v>0</v>
      </c>
      <c r="I17" s="278">
        <f t="shared" si="10"/>
        <v>0</v>
      </c>
      <c r="J17" s="172">
        <f t="shared" si="1"/>
        <v>0</v>
      </c>
      <c r="K17" s="1303" t="str">
        <f t="shared" si="4"/>
        <v/>
      </c>
      <c r="L17" s="1304">
        <f t="shared" si="12"/>
        <v>0</v>
      </c>
      <c r="M17" s="278">
        <f t="shared" si="11"/>
        <v>0</v>
      </c>
      <c r="N17" s="172">
        <f t="shared" si="2"/>
        <v>0</v>
      </c>
      <c r="O17" s="1303" t="str">
        <f t="shared" si="5"/>
        <v/>
      </c>
      <c r="P17" s="1031">
        <f t="shared" si="6"/>
        <v>0</v>
      </c>
    </row>
    <row r="18" spans="1:19" ht="15.75" thickBot="1">
      <c r="A18" s="279"/>
      <c r="B18" s="277"/>
      <c r="C18" s="1329" t="s">
        <v>235</v>
      </c>
      <c r="D18" s="1305"/>
      <c r="E18" s="278">
        <v>0</v>
      </c>
      <c r="F18" s="172">
        <f t="shared" si="0"/>
        <v>0</v>
      </c>
      <c r="G18" s="1303" t="str">
        <f t="shared" si="3"/>
        <v/>
      </c>
      <c r="H18" s="1304">
        <f t="shared" si="9"/>
        <v>0</v>
      </c>
      <c r="I18" s="278">
        <f t="shared" si="10"/>
        <v>0</v>
      </c>
      <c r="J18" s="172">
        <f t="shared" si="1"/>
        <v>0</v>
      </c>
      <c r="K18" s="1303" t="str">
        <f t="shared" si="4"/>
        <v/>
      </c>
      <c r="L18" s="1304">
        <f t="shared" si="12"/>
        <v>0</v>
      </c>
      <c r="M18" s="278">
        <f t="shared" si="11"/>
        <v>0</v>
      </c>
      <c r="N18" s="172">
        <f t="shared" si="2"/>
        <v>0</v>
      </c>
      <c r="O18" s="1303" t="str">
        <f t="shared" si="5"/>
        <v/>
      </c>
      <c r="P18" s="1031">
        <f t="shared" si="6"/>
        <v>0</v>
      </c>
    </row>
    <row r="19" spans="1:19" ht="16.5" thickTop="1">
      <c r="A19" s="1" t="s">
        <v>426</v>
      </c>
      <c r="B19" s="1"/>
      <c r="C19" s="14"/>
      <c r="D19" s="1306"/>
      <c r="E19" s="14"/>
      <c r="F19" s="178">
        <f>SUM(F8:F18)</f>
        <v>0</v>
      </c>
      <c r="G19" s="1307">
        <f>SUM(G8:G18)</f>
        <v>0</v>
      </c>
      <c r="H19" s="1306"/>
      <c r="I19" s="14"/>
      <c r="J19" s="178">
        <f>SUM(J8:J18)</f>
        <v>0</v>
      </c>
      <c r="K19" s="1307">
        <f>SUM(K8:K18)</f>
        <v>0</v>
      </c>
      <c r="L19" s="1306"/>
      <c r="M19" s="14"/>
      <c r="N19" s="178">
        <f>SUM(N8:N18)</f>
        <v>0</v>
      </c>
      <c r="O19" s="1307">
        <f>SUM(O8:O18)</f>
        <v>0</v>
      </c>
      <c r="P19" s="1344">
        <f>SUM(P8:P18)</f>
        <v>0</v>
      </c>
    </row>
    <row r="20" spans="1:19">
      <c r="D20" s="814"/>
      <c r="G20" s="1255"/>
      <c r="H20" s="814"/>
      <c r="K20" s="1255"/>
      <c r="L20" s="814"/>
      <c r="O20" s="1255"/>
      <c r="P20" s="52"/>
    </row>
    <row r="21" spans="1:19">
      <c r="D21" s="814"/>
      <c r="G21" s="1255"/>
      <c r="H21" s="814"/>
      <c r="K21" s="1255"/>
      <c r="L21" s="814"/>
      <c r="O21" s="1255"/>
      <c r="P21" s="52"/>
    </row>
    <row r="22" spans="1:19" s="247" customFormat="1" ht="18.75" thickBot="1">
      <c r="A22" s="86" t="s">
        <v>662</v>
      </c>
      <c r="B22" s="1" t="s">
        <v>427</v>
      </c>
      <c r="C22" s="252" t="s">
        <v>146</v>
      </c>
      <c r="D22" s="1308" t="s">
        <v>147</v>
      </c>
      <c r="E22" s="252" t="s">
        <v>428</v>
      </c>
      <c r="F22" s="252" t="s">
        <v>235</v>
      </c>
      <c r="G22" s="1302" t="s">
        <v>159</v>
      </c>
      <c r="H22" s="1308" t="s">
        <v>147</v>
      </c>
      <c r="I22" s="252" t="s">
        <v>428</v>
      </c>
      <c r="J22" s="252" t="s">
        <v>235</v>
      </c>
      <c r="K22" s="1302" t="s">
        <v>159</v>
      </c>
      <c r="L22" s="1308" t="s">
        <v>147</v>
      </c>
      <c r="M22" s="252" t="s">
        <v>428</v>
      </c>
      <c r="N22" s="252" t="s">
        <v>235</v>
      </c>
      <c r="O22" s="1302" t="s">
        <v>159</v>
      </c>
      <c r="P22" s="252" t="s">
        <v>590</v>
      </c>
    </row>
    <row r="23" spans="1:19" s="14" customFormat="1" ht="18.75" thickBot="1">
      <c r="A23" s="377" t="s">
        <v>604</v>
      </c>
      <c r="B23" s="378" t="s">
        <v>605</v>
      </c>
      <c r="C23" s="1330" t="s">
        <v>606</v>
      </c>
      <c r="D23" s="1309">
        <v>3700</v>
      </c>
      <c r="E23" s="381">
        <v>0</v>
      </c>
      <c r="F23" s="258">
        <f t="shared" ref="F23:F35" si="13">D23*E23</f>
        <v>0</v>
      </c>
      <c r="G23" s="1303" t="e">
        <f t="shared" ref="G23:G39" si="14">F23/$F$64</f>
        <v>#DIV/0!</v>
      </c>
      <c r="H23" s="1309">
        <v>3500</v>
      </c>
      <c r="I23" s="381">
        <f>E23</f>
        <v>0</v>
      </c>
      <c r="J23" s="258">
        <f t="shared" ref="J23:J30" si="15">H23*I23</f>
        <v>0</v>
      </c>
      <c r="K23" s="1303" t="e">
        <f t="shared" ref="K23:K39" si="16">J23/$F$64</f>
        <v>#DIV/0!</v>
      </c>
      <c r="L23" s="1309">
        <v>3200</v>
      </c>
      <c r="M23" s="381">
        <f>E23</f>
        <v>0</v>
      </c>
      <c r="N23" s="258">
        <f t="shared" ref="N23:N30" si="17">L23*M23</f>
        <v>0</v>
      </c>
      <c r="O23" s="1303" t="e">
        <f t="shared" ref="O23:O39" si="18">N23/$F$64</f>
        <v>#DIV/0!</v>
      </c>
      <c r="P23" s="1031">
        <f>F23*$E$5+J23*$I$5+N23*$M$5</f>
        <v>0</v>
      </c>
      <c r="Q23" t="s">
        <v>607</v>
      </c>
      <c r="S23" s="247"/>
    </row>
    <row r="24" spans="1:19" s="14" customFormat="1" ht="15.75" thickBot="1">
      <c r="A24" s="377" t="s">
        <v>608</v>
      </c>
      <c r="B24" s="378" t="s">
        <v>609</v>
      </c>
      <c r="C24" s="1330" t="s">
        <v>606</v>
      </c>
      <c r="D24" s="1309">
        <v>1600</v>
      </c>
      <c r="E24" s="381">
        <v>0</v>
      </c>
      <c r="F24" s="258">
        <f t="shared" si="13"/>
        <v>0</v>
      </c>
      <c r="G24" s="1303" t="e">
        <f t="shared" si="14"/>
        <v>#DIV/0!</v>
      </c>
      <c r="H24" s="1309">
        <v>1600</v>
      </c>
      <c r="I24" s="381">
        <f t="shared" ref="I24:I25" si="19">E24</f>
        <v>0</v>
      </c>
      <c r="J24" s="258">
        <f t="shared" si="15"/>
        <v>0</v>
      </c>
      <c r="K24" s="1303" t="e">
        <f t="shared" si="16"/>
        <v>#DIV/0!</v>
      </c>
      <c r="L24" s="1309">
        <v>1200</v>
      </c>
      <c r="M24" s="381">
        <f t="shared" ref="M24:M25" si="20">E24</f>
        <v>0</v>
      </c>
      <c r="N24" s="258">
        <f t="shared" si="17"/>
        <v>0</v>
      </c>
      <c r="O24" s="1303" t="e">
        <f t="shared" si="18"/>
        <v>#DIV/0!</v>
      </c>
      <c r="P24" s="1031">
        <f t="shared" ref="P24:P35" si="21">F24*$E$5+J24*$I$5+N24*$M$5</f>
        <v>0</v>
      </c>
      <c r="Q24" t="s">
        <v>610</v>
      </c>
    </row>
    <row r="25" spans="1:19" s="14" customFormat="1" ht="15.75" thickBot="1">
      <c r="A25" s="377" t="s">
        <v>611</v>
      </c>
      <c r="B25" s="377" t="s">
        <v>612</v>
      </c>
      <c r="C25" s="1330" t="s">
        <v>137</v>
      </c>
      <c r="D25" s="1309">
        <v>0</v>
      </c>
      <c r="E25" s="381">
        <v>0</v>
      </c>
      <c r="F25" s="172">
        <f t="shared" si="13"/>
        <v>0</v>
      </c>
      <c r="G25" s="1303" t="e">
        <f t="shared" si="14"/>
        <v>#DIV/0!</v>
      </c>
      <c r="H25" s="1309">
        <v>0</v>
      </c>
      <c r="I25" s="381">
        <f t="shared" si="19"/>
        <v>0</v>
      </c>
      <c r="J25" s="172">
        <f t="shared" si="15"/>
        <v>0</v>
      </c>
      <c r="K25" s="1303" t="e">
        <f t="shared" si="16"/>
        <v>#DIV/0!</v>
      </c>
      <c r="L25" s="1309">
        <v>0</v>
      </c>
      <c r="M25" s="381">
        <f t="shared" si="20"/>
        <v>0</v>
      </c>
      <c r="N25" s="172">
        <f t="shared" si="17"/>
        <v>0</v>
      </c>
      <c r="O25" s="1303" t="e">
        <f t="shared" si="18"/>
        <v>#DIV/0!</v>
      </c>
      <c r="P25" s="1031">
        <f t="shared" si="21"/>
        <v>0</v>
      </c>
      <c r="Q25" t="s">
        <v>610</v>
      </c>
    </row>
    <row r="26" spans="1:19" s="14" customFormat="1" ht="15">
      <c r="A26" s="277" t="s">
        <v>613</v>
      </c>
      <c r="B26" s="277" t="s">
        <v>614</v>
      </c>
      <c r="C26" s="1329" t="s">
        <v>137</v>
      </c>
      <c r="D26" s="1310">
        <v>0</v>
      </c>
      <c r="E26" s="383">
        <v>0</v>
      </c>
      <c r="F26" s="172">
        <f t="shared" si="13"/>
        <v>0</v>
      </c>
      <c r="G26" s="1303" t="e">
        <f t="shared" si="14"/>
        <v>#DIV/0!</v>
      </c>
      <c r="H26" s="1310">
        <f>D26</f>
        <v>0</v>
      </c>
      <c r="I26" s="383">
        <f>E26</f>
        <v>0</v>
      </c>
      <c r="J26" s="172">
        <f t="shared" si="15"/>
        <v>0</v>
      </c>
      <c r="K26" s="1303" t="e">
        <f t="shared" si="16"/>
        <v>#DIV/0!</v>
      </c>
      <c r="L26" s="1310">
        <f>H26</f>
        <v>0</v>
      </c>
      <c r="M26" s="383">
        <f>I26</f>
        <v>0</v>
      </c>
      <c r="N26" s="172">
        <f t="shared" si="17"/>
        <v>0</v>
      </c>
      <c r="O26" s="1303" t="e">
        <f t="shared" si="18"/>
        <v>#DIV/0!</v>
      </c>
      <c r="P26" s="1031">
        <f t="shared" si="21"/>
        <v>0</v>
      </c>
      <c r="Q26"/>
    </row>
    <row r="27" spans="1:19" s="14" customFormat="1" ht="15">
      <c r="A27" s="277" t="s">
        <v>615</v>
      </c>
      <c r="B27" s="277"/>
      <c r="C27" s="1329" t="s">
        <v>137</v>
      </c>
      <c r="D27" s="1310">
        <v>0</v>
      </c>
      <c r="E27" s="383">
        <v>0</v>
      </c>
      <c r="F27" s="172">
        <f t="shared" si="13"/>
        <v>0</v>
      </c>
      <c r="G27" s="1303" t="e">
        <f t="shared" si="14"/>
        <v>#DIV/0!</v>
      </c>
      <c r="H27" s="1310">
        <f t="shared" ref="H27:H35" si="22">D27</f>
        <v>0</v>
      </c>
      <c r="I27" s="383">
        <f t="shared" ref="I27:I30" si="23">E27</f>
        <v>0</v>
      </c>
      <c r="J27" s="172">
        <f t="shared" si="15"/>
        <v>0</v>
      </c>
      <c r="K27" s="1303" t="e">
        <f t="shared" si="16"/>
        <v>#DIV/0!</v>
      </c>
      <c r="L27" s="1310">
        <f t="shared" ref="L27:L33" si="24">H27</f>
        <v>0</v>
      </c>
      <c r="M27" s="383">
        <f t="shared" ref="M27:M33" si="25">I27</f>
        <v>0</v>
      </c>
      <c r="N27" s="172">
        <f t="shared" si="17"/>
        <v>0</v>
      </c>
      <c r="O27" s="1303" t="e">
        <f t="shared" si="18"/>
        <v>#DIV/0!</v>
      </c>
      <c r="P27" s="1031">
        <f t="shared" si="21"/>
        <v>0</v>
      </c>
      <c r="Q27"/>
    </row>
    <row r="28" spans="1:19" s="14" customFormat="1" ht="15">
      <c r="A28" s="277" t="s">
        <v>615</v>
      </c>
      <c r="B28" s="277"/>
      <c r="C28" s="1329" t="s">
        <v>137</v>
      </c>
      <c r="D28" s="1310">
        <v>0</v>
      </c>
      <c r="E28" s="383">
        <v>0</v>
      </c>
      <c r="F28" s="172">
        <f t="shared" si="13"/>
        <v>0</v>
      </c>
      <c r="G28" s="1303" t="e">
        <f t="shared" si="14"/>
        <v>#DIV/0!</v>
      </c>
      <c r="H28" s="1310">
        <f t="shared" si="22"/>
        <v>0</v>
      </c>
      <c r="I28" s="383">
        <f t="shared" si="23"/>
        <v>0</v>
      </c>
      <c r="J28" s="172">
        <f t="shared" si="15"/>
        <v>0</v>
      </c>
      <c r="K28" s="1303" t="e">
        <f t="shared" si="16"/>
        <v>#DIV/0!</v>
      </c>
      <c r="L28" s="1310">
        <f t="shared" si="24"/>
        <v>0</v>
      </c>
      <c r="M28" s="383">
        <f t="shared" si="25"/>
        <v>0</v>
      </c>
      <c r="N28" s="172">
        <f t="shared" si="17"/>
        <v>0</v>
      </c>
      <c r="O28" s="1303" t="e">
        <f t="shared" si="18"/>
        <v>#DIV/0!</v>
      </c>
      <c r="P28" s="1031">
        <f t="shared" si="21"/>
        <v>0</v>
      </c>
      <c r="Q28"/>
    </row>
    <row r="29" spans="1:19" s="14" customFormat="1" ht="15">
      <c r="A29" s="277"/>
      <c r="B29" s="277"/>
      <c r="C29" s="1329"/>
      <c r="D29" s="1310">
        <v>0</v>
      </c>
      <c r="E29" s="383">
        <v>0</v>
      </c>
      <c r="F29" s="172">
        <f t="shared" si="13"/>
        <v>0</v>
      </c>
      <c r="G29" s="1303" t="e">
        <f t="shared" si="14"/>
        <v>#DIV/0!</v>
      </c>
      <c r="H29" s="1310">
        <f t="shared" si="22"/>
        <v>0</v>
      </c>
      <c r="I29" s="383">
        <f t="shared" si="23"/>
        <v>0</v>
      </c>
      <c r="J29" s="172">
        <f t="shared" si="15"/>
        <v>0</v>
      </c>
      <c r="K29" s="1303" t="e">
        <f t="shared" si="16"/>
        <v>#DIV/0!</v>
      </c>
      <c r="L29" s="1310">
        <f t="shared" si="24"/>
        <v>0</v>
      </c>
      <c r="M29" s="383">
        <f t="shared" si="25"/>
        <v>0</v>
      </c>
      <c r="N29" s="172">
        <f t="shared" si="17"/>
        <v>0</v>
      </c>
      <c r="O29" s="1303" t="e">
        <f t="shared" si="18"/>
        <v>#DIV/0!</v>
      </c>
      <c r="P29" s="1031">
        <f t="shared" si="21"/>
        <v>0</v>
      </c>
      <c r="Q29"/>
    </row>
    <row r="30" spans="1:19" s="14" customFormat="1" ht="15">
      <c r="A30" s="277" t="s">
        <v>616</v>
      </c>
      <c r="B30" s="277" t="s">
        <v>617</v>
      </c>
      <c r="C30" s="1329" t="s">
        <v>618</v>
      </c>
      <c r="D30" s="1310">
        <v>0</v>
      </c>
      <c r="E30" s="383">
        <v>0</v>
      </c>
      <c r="F30" s="172">
        <f t="shared" si="13"/>
        <v>0</v>
      </c>
      <c r="G30" s="1303" t="e">
        <f t="shared" si="14"/>
        <v>#DIV/0!</v>
      </c>
      <c r="H30" s="1310">
        <f t="shared" si="22"/>
        <v>0</v>
      </c>
      <c r="I30" s="383">
        <f t="shared" si="23"/>
        <v>0</v>
      </c>
      <c r="J30" s="172">
        <f t="shared" si="15"/>
        <v>0</v>
      </c>
      <c r="K30" s="1303" t="e">
        <f t="shared" si="16"/>
        <v>#DIV/0!</v>
      </c>
      <c r="L30" s="1310">
        <f t="shared" si="24"/>
        <v>0</v>
      </c>
      <c r="M30" s="383">
        <f t="shared" si="25"/>
        <v>0</v>
      </c>
      <c r="N30" s="172">
        <f t="shared" si="17"/>
        <v>0</v>
      </c>
      <c r="O30" s="1303" t="e">
        <f t="shared" si="18"/>
        <v>#DIV/0!</v>
      </c>
      <c r="P30" s="1031">
        <f t="shared" si="21"/>
        <v>0</v>
      </c>
      <c r="Q30"/>
    </row>
    <row r="31" spans="1:19" s="14" customFormat="1" ht="15">
      <c r="A31" s="277" t="s">
        <v>619</v>
      </c>
      <c r="B31" s="277"/>
      <c r="C31" s="1329" t="s">
        <v>150</v>
      </c>
      <c r="D31" s="1310">
        <v>1</v>
      </c>
      <c r="E31" s="176">
        <v>0</v>
      </c>
      <c r="F31" s="172">
        <f>D31*E31</f>
        <v>0</v>
      </c>
      <c r="G31" s="1303" t="e">
        <f t="shared" si="14"/>
        <v>#DIV/0!</v>
      </c>
      <c r="H31" s="1310">
        <f t="shared" si="22"/>
        <v>1</v>
      </c>
      <c r="I31" s="176">
        <f>E31</f>
        <v>0</v>
      </c>
      <c r="J31" s="172">
        <f>H31*I31</f>
        <v>0</v>
      </c>
      <c r="K31" s="1303" t="e">
        <f t="shared" si="16"/>
        <v>#DIV/0!</v>
      </c>
      <c r="L31" s="1310">
        <f t="shared" si="24"/>
        <v>1</v>
      </c>
      <c r="M31" s="176">
        <f t="shared" si="25"/>
        <v>0</v>
      </c>
      <c r="N31" s="172">
        <f>L31*M31</f>
        <v>0</v>
      </c>
      <c r="O31" s="1303" t="e">
        <f t="shared" si="18"/>
        <v>#DIV/0!</v>
      </c>
      <c r="P31" s="1031">
        <f t="shared" si="21"/>
        <v>0</v>
      </c>
      <c r="Q31"/>
    </row>
    <row r="32" spans="1:19" ht="15">
      <c r="A32" s="277"/>
      <c r="B32" s="277"/>
      <c r="C32" s="1329"/>
      <c r="D32" s="1310">
        <v>0</v>
      </c>
      <c r="E32" s="383">
        <v>0</v>
      </c>
      <c r="F32" s="172">
        <f>D32*E32</f>
        <v>0</v>
      </c>
      <c r="G32" s="1303" t="e">
        <f t="shared" si="14"/>
        <v>#DIV/0!</v>
      </c>
      <c r="H32" s="1310">
        <f t="shared" si="22"/>
        <v>0</v>
      </c>
      <c r="I32" s="383">
        <f>E32</f>
        <v>0</v>
      </c>
      <c r="J32" s="172">
        <f>H32*I32</f>
        <v>0</v>
      </c>
      <c r="K32" s="1303" t="e">
        <f t="shared" si="16"/>
        <v>#DIV/0!</v>
      </c>
      <c r="L32" s="1310">
        <f t="shared" si="24"/>
        <v>0</v>
      </c>
      <c r="M32" s="383">
        <f t="shared" si="25"/>
        <v>0</v>
      </c>
      <c r="N32" s="172">
        <f>L32*M32</f>
        <v>0</v>
      </c>
      <c r="O32" s="1303" t="e">
        <f t="shared" si="18"/>
        <v>#DIV/0!</v>
      </c>
      <c r="P32" s="1031">
        <f t="shared" si="21"/>
        <v>0</v>
      </c>
      <c r="R32" s="14"/>
      <c r="S32" s="14"/>
    </row>
    <row r="33" spans="1:19" ht="15">
      <c r="A33" s="277" t="s">
        <v>28</v>
      </c>
      <c r="B33" s="277"/>
      <c r="C33" s="1329"/>
      <c r="D33" s="1311"/>
      <c r="E33" s="383">
        <v>0</v>
      </c>
      <c r="F33" s="172">
        <f>D33*E33</f>
        <v>0</v>
      </c>
      <c r="G33" s="1303" t="e">
        <f t="shared" si="14"/>
        <v>#DIV/0!</v>
      </c>
      <c r="H33" s="1310">
        <f t="shared" si="22"/>
        <v>0</v>
      </c>
      <c r="I33" s="383">
        <f>E33</f>
        <v>0</v>
      </c>
      <c r="J33" s="172">
        <f>H33*I33</f>
        <v>0</v>
      </c>
      <c r="K33" s="1303" t="e">
        <f t="shared" si="16"/>
        <v>#DIV/0!</v>
      </c>
      <c r="L33" s="1310">
        <f t="shared" si="24"/>
        <v>0</v>
      </c>
      <c r="M33" s="383">
        <f t="shared" si="25"/>
        <v>0</v>
      </c>
      <c r="N33" s="172">
        <f>L33*M33</f>
        <v>0</v>
      </c>
      <c r="O33" s="1303" t="e">
        <f t="shared" si="18"/>
        <v>#DIV/0!</v>
      </c>
      <c r="P33" s="1031">
        <f t="shared" si="21"/>
        <v>0</v>
      </c>
    </row>
    <row r="34" spans="1:19" ht="15">
      <c r="A34" s="277" t="s">
        <v>620</v>
      </c>
      <c r="B34" s="277" t="s">
        <v>621</v>
      </c>
      <c r="C34" s="1329" t="s">
        <v>150</v>
      </c>
      <c r="D34" s="1311">
        <v>0.2</v>
      </c>
      <c r="E34" s="1348">
        <v>1600</v>
      </c>
      <c r="F34" s="172">
        <f>IF(E5&gt;0,D34*E34,0)</f>
        <v>0</v>
      </c>
      <c r="G34" s="1303" t="e">
        <f t="shared" si="14"/>
        <v>#DIV/0!</v>
      </c>
      <c r="H34" s="1310">
        <f t="shared" si="22"/>
        <v>0.2</v>
      </c>
      <c r="I34" s="1348">
        <f>E34</f>
        <v>1600</v>
      </c>
      <c r="J34" s="172">
        <f>IF(I5&gt;0,H34*I34,0)</f>
        <v>0</v>
      </c>
      <c r="K34" s="1303" t="e">
        <f t="shared" si="16"/>
        <v>#DIV/0!</v>
      </c>
      <c r="L34" s="1310">
        <f>H34</f>
        <v>0.2</v>
      </c>
      <c r="M34" s="1348">
        <f>I34</f>
        <v>1600</v>
      </c>
      <c r="N34" s="172">
        <f>IF(M5&gt;0,L34*M34,0)</f>
        <v>0</v>
      </c>
      <c r="O34" s="1303" t="e">
        <f t="shared" si="18"/>
        <v>#DIV/0!</v>
      </c>
      <c r="P34" s="1031">
        <f>F34*$E$5+J34*$I$5+N34*$M$5</f>
        <v>0</v>
      </c>
    </row>
    <row r="35" spans="1:19" ht="15">
      <c r="A35" s="277"/>
      <c r="B35" s="277"/>
      <c r="C35" s="1329"/>
      <c r="D35" s="1311"/>
      <c r="E35" s="1554">
        <v>0</v>
      </c>
      <c r="F35" s="172">
        <f t="shared" si="13"/>
        <v>0</v>
      </c>
      <c r="G35" s="1303" t="e">
        <f t="shared" si="14"/>
        <v>#DIV/0!</v>
      </c>
      <c r="H35" s="1310">
        <f t="shared" si="22"/>
        <v>0</v>
      </c>
      <c r="I35" s="383">
        <f>E35</f>
        <v>0</v>
      </c>
      <c r="J35" s="172">
        <f t="shared" ref="J35" si="26">H35*I35</f>
        <v>0</v>
      </c>
      <c r="K35" s="1303" t="e">
        <f t="shared" si="16"/>
        <v>#DIV/0!</v>
      </c>
      <c r="L35" s="1310">
        <f t="shared" ref="L35" si="27">H35</f>
        <v>0</v>
      </c>
      <c r="M35" s="383">
        <f t="shared" ref="M35" si="28">I35</f>
        <v>0</v>
      </c>
      <c r="N35" s="172">
        <f t="shared" ref="N35" si="29">L35*M35</f>
        <v>0</v>
      </c>
      <c r="O35" s="1303" t="e">
        <f t="shared" si="18"/>
        <v>#DIV/0!</v>
      </c>
      <c r="P35" s="1031">
        <f t="shared" si="21"/>
        <v>0</v>
      </c>
    </row>
    <row r="36" spans="1:19" ht="15.75" thickBot="1">
      <c r="A36" s="1545" t="s">
        <v>444</v>
      </c>
      <c r="B36" s="1549">
        <f>IF(E4&gt;0,SUMIF('Muut kustannustiedot'!$H$38:$H$48,"eläin",'Muut kustannustiedot'!$V$38:$V$48)*Lähtötiedot!C76,0)</f>
        <v>0</v>
      </c>
      <c r="C36" s="1541" t="s">
        <v>235</v>
      </c>
      <c r="D36" s="1552">
        <v>1</v>
      </c>
      <c r="E36" s="1555">
        <f>IF(E5&gt;0,$B$36*D36*F5,0)</f>
        <v>0</v>
      </c>
      <c r="F36" s="1553">
        <f>IF(E5&gt;0,E36/E5,0)</f>
        <v>0</v>
      </c>
      <c r="G36" s="873" t="e">
        <f t="shared" si="14"/>
        <v>#DIV/0!</v>
      </c>
      <c r="H36" s="1152">
        <v>1</v>
      </c>
      <c r="I36" s="1555">
        <f>IF(I5&gt;0,$B$36*H36*J5,0)</f>
        <v>0</v>
      </c>
      <c r="J36" s="1553">
        <f>IF(I5&gt;0,I36/I5,0)</f>
        <v>0</v>
      </c>
      <c r="K36" s="1303" t="e">
        <f t="shared" si="16"/>
        <v>#DIV/0!</v>
      </c>
      <c r="L36" s="1152">
        <v>1</v>
      </c>
      <c r="M36" s="1555">
        <f>IF(M5&gt;0,$B$36*L36*N5,0)</f>
        <v>0</v>
      </c>
      <c r="N36" s="1553">
        <f>IF(M5&gt;0,M36/M5,0)</f>
        <v>0</v>
      </c>
      <c r="O36" s="1303" t="e">
        <f t="shared" si="18"/>
        <v>#DIV/0!</v>
      </c>
      <c r="P36" s="1031">
        <f>IF(F36*$E$5+J36*$I$5+N36*$M$5=B36,F36*$E$5+J36*$I$5+N36*$M$5,B36)</f>
        <v>0</v>
      </c>
    </row>
    <row r="37" spans="1:19" ht="16.5" thickBot="1">
      <c r="A37" s="2712" t="s">
        <v>622</v>
      </c>
      <c r="B37" s="2713"/>
      <c r="C37" s="2714"/>
      <c r="D37" s="1343"/>
      <c r="E37" s="1342"/>
      <c r="F37" s="1332">
        <f>SUM(F23:F36)</f>
        <v>0</v>
      </c>
      <c r="G37" s="1341" t="e">
        <f t="shared" si="14"/>
        <v>#DIV/0!</v>
      </c>
      <c r="H37" s="385"/>
      <c r="I37" s="385"/>
      <c r="J37" s="384">
        <v>1</v>
      </c>
      <c r="K37" s="1313" t="e">
        <f t="shared" si="16"/>
        <v>#DIV/0!</v>
      </c>
      <c r="L37" s="1312"/>
      <c r="M37" s="385"/>
      <c r="N37" s="384">
        <f>SUM(N23:N36)</f>
        <v>0</v>
      </c>
      <c r="O37" s="1313" t="e">
        <f t="shared" si="18"/>
        <v>#DIV/0!</v>
      </c>
      <c r="P37" s="1345">
        <f>SUM(P23:P36)</f>
        <v>0</v>
      </c>
    </row>
    <row r="38" spans="1:19" ht="15.75" thickBot="1">
      <c r="A38" s="284" t="s">
        <v>623</v>
      </c>
      <c r="B38" s="387" t="s">
        <v>624</v>
      </c>
      <c r="C38" s="1331" t="s">
        <v>159</v>
      </c>
      <c r="D38" s="1333">
        <f>F34</f>
        <v>0</v>
      </c>
      <c r="E38" s="1334">
        <v>0.01</v>
      </c>
      <c r="F38" s="1335">
        <f>D38*E38</f>
        <v>0</v>
      </c>
      <c r="G38" s="1336" t="e">
        <f t="shared" si="14"/>
        <v>#DIV/0!</v>
      </c>
      <c r="H38" s="1333">
        <f>J34</f>
        <v>0</v>
      </c>
      <c r="I38" s="1334">
        <v>0.01</v>
      </c>
      <c r="J38" s="1335">
        <f t="shared" ref="J38" si="30">H38*I38</f>
        <v>0</v>
      </c>
      <c r="K38" s="1303" t="e">
        <f t="shared" si="16"/>
        <v>#DIV/0!</v>
      </c>
      <c r="L38" s="1333">
        <f>N34</f>
        <v>0</v>
      </c>
      <c r="M38" s="1334">
        <v>0.01</v>
      </c>
      <c r="N38" s="1335">
        <f t="shared" ref="N38" si="31">L38*M38</f>
        <v>0</v>
      </c>
      <c r="O38" s="1303" t="e">
        <f t="shared" si="18"/>
        <v>#DIV/0!</v>
      </c>
      <c r="P38" s="1031">
        <f>F38*$E$5+J38*$I$5+N38*$M$5</f>
        <v>0</v>
      </c>
      <c r="Q38" t="s">
        <v>625</v>
      </c>
    </row>
    <row r="39" spans="1:19" ht="16.5" thickTop="1" thickBot="1">
      <c r="A39" s="284" t="s">
        <v>447</v>
      </c>
      <c r="B39" s="388"/>
      <c r="C39" s="1331" t="s">
        <v>159</v>
      </c>
      <c r="D39" s="1315">
        <f>D44*E44</f>
        <v>16</v>
      </c>
      <c r="E39" s="287">
        <v>0.01</v>
      </c>
      <c r="F39" s="172">
        <f>D39*E39</f>
        <v>0.16</v>
      </c>
      <c r="G39" s="1303" t="e">
        <f t="shared" si="14"/>
        <v>#DIV/0!</v>
      </c>
      <c r="H39" s="1315">
        <f>H44*I44</f>
        <v>16</v>
      </c>
      <c r="I39" s="287">
        <v>0.01</v>
      </c>
      <c r="J39" s="172">
        <f t="shared" ref="J39" si="32">H39*I39</f>
        <v>0.16</v>
      </c>
      <c r="K39" s="1303" t="e">
        <f t="shared" si="16"/>
        <v>#DIV/0!</v>
      </c>
      <c r="L39" s="1315">
        <f>L44*M44</f>
        <v>16</v>
      </c>
      <c r="M39" s="287">
        <v>0.01</v>
      </c>
      <c r="N39" s="172">
        <f t="shared" ref="N39" si="33">L39*M39</f>
        <v>0.16</v>
      </c>
      <c r="O39" s="1303" t="e">
        <f t="shared" si="18"/>
        <v>#DIV/0!</v>
      </c>
      <c r="P39" s="1031">
        <f>F39*$E$5+J39*$I$5+N39*$M$5</f>
        <v>0</v>
      </c>
      <c r="Q39" t="s">
        <v>520</v>
      </c>
    </row>
    <row r="40" spans="1:19" ht="17.25" thickTop="1" thickBot="1">
      <c r="A40" s="1" t="s">
        <v>448</v>
      </c>
      <c r="B40" s="1"/>
      <c r="D40" s="1306"/>
      <c r="E40" s="14"/>
      <c r="F40" s="178">
        <f>SUM(F23:F36,F38:F39)</f>
        <v>0.16</v>
      </c>
      <c r="G40" s="1352" t="e">
        <f>F40/F64</f>
        <v>#DIV/0!</v>
      </c>
      <c r="H40" s="1316"/>
      <c r="I40" s="389"/>
      <c r="J40" s="178">
        <f>SUM(J23:J36,J38:J39)</f>
        <v>0.16</v>
      </c>
      <c r="K40" s="1352" t="e">
        <f>J40/J64</f>
        <v>#DIV/0!</v>
      </c>
      <c r="L40" s="1316"/>
      <c r="M40" s="389"/>
      <c r="N40" s="178">
        <f>SUM(N23:N36,N38:N39)</f>
        <v>0.16</v>
      </c>
      <c r="O40" s="1352" t="e">
        <f>N40/N64</f>
        <v>#DIV/0!</v>
      </c>
      <c r="P40" s="1368">
        <f>SUM(P23:P36,P38:P39)</f>
        <v>0</v>
      </c>
    </row>
    <row r="41" spans="1:19" ht="16.5" thickBot="1">
      <c r="A41" s="1" t="s">
        <v>449</v>
      </c>
      <c r="B41" s="52" t="s">
        <v>450</v>
      </c>
      <c r="D41" s="1306"/>
      <c r="E41" s="14"/>
      <c r="F41" s="291">
        <f>F19-F40</f>
        <v>-0.16</v>
      </c>
      <c r="G41" s="1303"/>
      <c r="H41" s="1314"/>
      <c r="I41" s="189"/>
      <c r="J41" s="291">
        <f>J19-J40</f>
        <v>-0.16</v>
      </c>
      <c r="K41" s="1303"/>
      <c r="L41" s="1314"/>
      <c r="M41" s="189"/>
      <c r="N41" s="291">
        <f>N19-N40</f>
        <v>-0.16</v>
      </c>
      <c r="O41" s="1303"/>
      <c r="P41" s="1367">
        <f>P19-P40</f>
        <v>0</v>
      </c>
      <c r="R41" s="2699" t="s">
        <v>1847</v>
      </c>
      <c r="S41" s="2700"/>
    </row>
    <row r="42" spans="1:19" ht="15.75">
      <c r="A42" s="1"/>
      <c r="B42" s="1"/>
      <c r="D42" s="1306"/>
      <c r="E42" s="14"/>
      <c r="F42" s="291"/>
      <c r="G42" s="1255"/>
      <c r="H42" s="1317"/>
      <c r="I42" s="52"/>
      <c r="J42" s="52"/>
      <c r="K42" s="1255"/>
      <c r="L42" s="1317"/>
      <c r="M42" s="52"/>
      <c r="N42" s="52"/>
      <c r="O42" s="1255"/>
      <c r="P42" s="52"/>
    </row>
    <row r="43" spans="1:19" ht="27.75">
      <c r="C43" s="841"/>
      <c r="D43" s="1365" t="s">
        <v>451</v>
      </c>
      <c r="E43" s="1337" t="s">
        <v>452</v>
      </c>
      <c r="G43" s="1255"/>
      <c r="H43" s="1365" t="s">
        <v>451</v>
      </c>
      <c r="I43" s="1337" t="s">
        <v>452</v>
      </c>
      <c r="J43" s="52"/>
      <c r="K43" s="1255"/>
      <c r="L43" s="1365" t="s">
        <v>451</v>
      </c>
      <c r="M43" s="1337" t="s">
        <v>452</v>
      </c>
      <c r="N43" s="52"/>
      <c r="O43" s="1255"/>
      <c r="P43" s="52"/>
    </row>
    <row r="44" spans="1:19">
      <c r="A44" s="294" t="s">
        <v>453</v>
      </c>
      <c r="B44" s="295" t="s">
        <v>454</v>
      </c>
      <c r="C44" s="841"/>
      <c r="D44" s="1366">
        <f>SUM(F23:F36)+F48</f>
        <v>80</v>
      </c>
      <c r="E44" s="1338">
        <v>0.2</v>
      </c>
      <c r="G44" s="1255"/>
      <c r="H44" s="1366">
        <f>SUM(J23:J36)+J48</f>
        <v>80</v>
      </c>
      <c r="I44" s="1338">
        <f>E44</f>
        <v>0.2</v>
      </c>
      <c r="J44" s="52"/>
      <c r="K44" s="1255"/>
      <c r="L44" s="1366">
        <f>SUM(N23:N36)+N48</f>
        <v>80</v>
      </c>
      <c r="M44" s="1338">
        <f>E44</f>
        <v>0.2</v>
      </c>
      <c r="N44" s="52"/>
      <c r="O44" s="1255"/>
      <c r="P44" s="52"/>
      <c r="Q44" t="s">
        <v>455</v>
      </c>
    </row>
    <row r="45" spans="1:19">
      <c r="A45" s="52"/>
      <c r="B45" s="298"/>
      <c r="C45" s="59"/>
      <c r="D45" s="814"/>
      <c r="G45" s="1255"/>
      <c r="H45" s="1317"/>
      <c r="I45" s="52"/>
      <c r="J45" s="52"/>
      <c r="K45" s="1255"/>
      <c r="L45" s="1317"/>
      <c r="M45" s="52"/>
      <c r="N45" s="52"/>
      <c r="O45" s="1255"/>
      <c r="P45" s="52"/>
      <c r="Q45" t="s">
        <v>456</v>
      </c>
    </row>
    <row r="46" spans="1:19" ht="13.5" thickBot="1">
      <c r="A46" s="52"/>
      <c r="B46" s="298"/>
      <c r="C46" s="59"/>
      <c r="D46" s="814"/>
      <c r="G46" s="1255"/>
      <c r="H46" s="1317"/>
      <c r="I46" s="52"/>
      <c r="J46" s="52"/>
      <c r="K46" s="1255"/>
      <c r="L46" s="1317"/>
      <c r="M46" s="52"/>
      <c r="N46" s="52"/>
      <c r="O46" s="1255"/>
      <c r="P46" s="52"/>
      <c r="Q46" t="s">
        <v>626</v>
      </c>
    </row>
    <row r="47" spans="1:19">
      <c r="D47" s="814"/>
      <c r="G47" s="1255"/>
      <c r="H47" s="1317"/>
      <c r="I47" s="52"/>
      <c r="J47" s="52"/>
      <c r="K47" s="1255"/>
      <c r="L47" s="1317"/>
      <c r="M47" s="52"/>
      <c r="N47" s="52"/>
      <c r="O47" s="1255"/>
      <c r="P47" s="52"/>
      <c r="Q47" s="845" t="s">
        <v>677</v>
      </c>
      <c r="R47" s="839"/>
      <c r="S47" s="1376" t="s">
        <v>678</v>
      </c>
    </row>
    <row r="48" spans="1:19" ht="15.75" thickBot="1">
      <c r="A48" s="168" t="s">
        <v>679</v>
      </c>
      <c r="C48" s="1329" t="s">
        <v>15</v>
      </c>
      <c r="D48" s="1318">
        <v>5</v>
      </c>
      <c r="E48" s="299">
        <v>16</v>
      </c>
      <c r="F48" s="172">
        <f>D48*E48</f>
        <v>80</v>
      </c>
      <c r="G48" s="1352" t="e">
        <f>F48/$F$64</f>
        <v>#DIV/0!</v>
      </c>
      <c r="H48" s="1318">
        <f>D48</f>
        <v>5</v>
      </c>
      <c r="I48" s="299">
        <f>E48</f>
        <v>16</v>
      </c>
      <c r="J48" s="172">
        <f>H48*I48</f>
        <v>80</v>
      </c>
      <c r="K48" s="1352" t="e">
        <f>J48/$F$64</f>
        <v>#DIV/0!</v>
      </c>
      <c r="L48" s="1318">
        <f>H48</f>
        <v>5</v>
      </c>
      <c r="M48" s="299">
        <f>I48</f>
        <v>16</v>
      </c>
      <c r="N48" s="172">
        <f>L48*M48</f>
        <v>80</v>
      </c>
      <c r="O48" s="1352" t="e">
        <f>N48/$F$64</f>
        <v>#DIV/0!</v>
      </c>
      <c r="P48" s="1375">
        <f>F48*$E$5+J48*$I$5+N48*$M$5</f>
        <v>0</v>
      </c>
      <c r="Q48" s="815">
        <f>D48*E5+H48*I5+L48*M5</f>
        <v>0</v>
      </c>
      <c r="R48" s="843" t="s">
        <v>167</v>
      </c>
      <c r="S48" s="1377">
        <f>IF(Q48&gt;0,P48/Q48,0)</f>
        <v>0</v>
      </c>
    </row>
    <row r="49" spans="1:19" ht="15.75" thickBot="1">
      <c r="A49" s="187"/>
      <c r="B49" s="187"/>
      <c r="C49" s="301"/>
      <c r="D49" s="1323"/>
      <c r="E49" s="301"/>
      <c r="F49" s="301"/>
      <c r="G49" s="1303"/>
      <c r="H49" s="1314"/>
      <c r="I49" s="189"/>
      <c r="J49" s="189"/>
      <c r="K49" s="1303"/>
      <c r="L49" s="1314"/>
      <c r="M49" s="189"/>
      <c r="N49" s="189"/>
      <c r="O49" s="1303"/>
      <c r="P49" s="52"/>
    </row>
    <row r="50" spans="1:19" ht="16.5" thickBot="1">
      <c r="A50" s="1" t="s">
        <v>460</v>
      </c>
      <c r="B50" s="52" t="s">
        <v>461</v>
      </c>
      <c r="C50" s="301"/>
      <c r="D50" s="1323"/>
      <c r="E50" s="301"/>
      <c r="F50" s="1033">
        <f>F41-F48</f>
        <v>-80.16</v>
      </c>
      <c r="G50" s="1303"/>
      <c r="H50" s="1314"/>
      <c r="I50" s="189"/>
      <c r="J50" s="1033">
        <f>J41-J48</f>
        <v>-80.16</v>
      </c>
      <c r="K50" s="1303"/>
      <c r="L50" s="1314"/>
      <c r="M50" s="189"/>
      <c r="N50" s="1033">
        <f>N41-N48</f>
        <v>-80.16</v>
      </c>
      <c r="O50" s="189"/>
      <c r="P50" s="1367">
        <f>P41-P48</f>
        <v>0</v>
      </c>
      <c r="R50" s="2699" t="s">
        <v>982</v>
      </c>
      <c r="S50" s="2700"/>
    </row>
    <row r="51" spans="1:19" ht="18">
      <c r="A51" s="1"/>
      <c r="B51" s="52"/>
      <c r="C51" s="301"/>
      <c r="D51" s="1323"/>
      <c r="E51" s="301"/>
      <c r="F51" s="289"/>
      <c r="G51" s="1303"/>
      <c r="H51" s="1314"/>
      <c r="I51" s="189"/>
      <c r="J51" s="189"/>
      <c r="K51" s="1303"/>
      <c r="L51" s="1314"/>
      <c r="M51" s="189"/>
      <c r="N51" s="189"/>
      <c r="O51" s="1303"/>
    </row>
    <row r="52" spans="1:19" ht="18">
      <c r="A52" s="1" t="s">
        <v>462</v>
      </c>
      <c r="B52" s="52"/>
      <c r="D52" s="2704" t="s">
        <v>627</v>
      </c>
      <c r="E52" s="2705"/>
      <c r="F52" s="289" t="s">
        <v>240</v>
      </c>
      <c r="G52" s="1303"/>
      <c r="H52" s="1314"/>
      <c r="I52" s="189"/>
      <c r="J52" s="189"/>
      <c r="K52" s="1303"/>
      <c r="L52" s="1314"/>
      <c r="M52" s="189"/>
      <c r="N52" s="189"/>
      <c r="O52" s="1303"/>
    </row>
    <row r="53" spans="1:19" ht="15">
      <c r="A53" s="187"/>
      <c r="B53" s="187"/>
      <c r="C53" s="301"/>
      <c r="D53" s="1323"/>
      <c r="E53" s="301"/>
      <c r="F53" s="301"/>
      <c r="G53" s="1303"/>
      <c r="H53" s="1314"/>
      <c r="I53" s="189"/>
      <c r="J53" s="189"/>
      <c r="K53" s="1303"/>
      <c r="L53" s="1314"/>
      <c r="M53" s="189"/>
      <c r="N53" s="189"/>
      <c r="O53" s="1303"/>
    </row>
    <row r="54" spans="1:19" ht="15">
      <c r="A54" s="14"/>
      <c r="B54" s="14"/>
      <c r="C54" s="3"/>
      <c r="D54" s="1339"/>
      <c r="G54" s="1303"/>
      <c r="H54" s="1314"/>
      <c r="I54" s="189"/>
      <c r="J54" s="189"/>
      <c r="K54" s="1303"/>
      <c r="L54" s="1314"/>
      <c r="M54" s="189"/>
      <c r="N54" s="189"/>
      <c r="O54" s="1303"/>
    </row>
    <row r="55" spans="1:19" ht="15.75" thickBot="1">
      <c r="A55" s="14"/>
      <c r="B55" s="14"/>
      <c r="C55" s="3"/>
      <c r="D55" s="814"/>
      <c r="G55" s="1303"/>
      <c r="H55" s="1314"/>
      <c r="I55" s="189"/>
      <c r="J55" s="189"/>
      <c r="K55" s="1303"/>
      <c r="L55" s="1314"/>
      <c r="M55" s="189"/>
      <c r="N55" s="189"/>
      <c r="O55" s="1303"/>
    </row>
    <row r="56" spans="1:19" ht="16.5" thickBot="1">
      <c r="A56" s="2701" t="s">
        <v>467</v>
      </c>
      <c r="B56" s="878" t="s">
        <v>231</v>
      </c>
      <c r="C56" s="1232"/>
      <c r="D56" s="1234">
        <v>1</v>
      </c>
      <c r="E56" s="879">
        <f>IF(E5&gt;0,Lähtötiedot!$D$76*F5,0)</f>
        <v>0</v>
      </c>
      <c r="F56" s="1349" t="e">
        <f>E56/$P$5*D56</f>
        <v>#DIV/0!</v>
      </c>
      <c r="G56" s="877" t="e">
        <f>F56/$F$64</f>
        <v>#DIV/0!</v>
      </c>
      <c r="H56" s="1234">
        <v>1</v>
      </c>
      <c r="I56" s="879">
        <f>IF(I5&gt;0,Lähtötiedot!$D$76*J5,0)</f>
        <v>0</v>
      </c>
      <c r="J56" s="1349" t="e">
        <f>I56/$P$5*H56</f>
        <v>#DIV/0!</v>
      </c>
      <c r="K56" s="877" t="e">
        <f>J56/$F$64</f>
        <v>#DIV/0!</v>
      </c>
      <c r="L56" s="1234">
        <v>1</v>
      </c>
      <c r="M56" s="879">
        <f>IF(M5&gt;0,Lähtötiedot!$D$76*N5,0)</f>
        <v>0</v>
      </c>
      <c r="N56" s="1349" t="e">
        <f>M56/$P$5*L56</f>
        <v>#DIV/0!</v>
      </c>
      <c r="O56" s="877" t="e">
        <f>N56/$F$64</f>
        <v>#DIV/0!</v>
      </c>
      <c r="P56" s="836">
        <f>D56*E56+H56*I56+L56*M56</f>
        <v>0</v>
      </c>
      <c r="R56" s="2653" t="e">
        <f>SUM(F56,J56,N56)</f>
        <v>#DIV/0!</v>
      </c>
      <c r="S56" s="2653"/>
    </row>
    <row r="57" spans="1:19" ht="16.5" thickBot="1">
      <c r="A57" s="2702"/>
      <c r="B57" s="878" t="s">
        <v>232</v>
      </c>
      <c r="C57" s="1233"/>
      <c r="D57" s="1235">
        <v>1</v>
      </c>
      <c r="E57" s="880">
        <f>IF(E5&gt;0,Lähtötiedot!$E$76*F5,0)</f>
        <v>0</v>
      </c>
      <c r="F57" s="1349" t="e">
        <f>(E57/$P$5)*D57</f>
        <v>#DIV/0!</v>
      </c>
      <c r="G57" s="875" t="e">
        <f>F57/$F$64</f>
        <v>#DIV/0!</v>
      </c>
      <c r="H57" s="1235">
        <v>1</v>
      </c>
      <c r="I57" s="880">
        <f>IF(I5&gt;0,Lähtötiedot!$E$76*J5,0)</f>
        <v>0</v>
      </c>
      <c r="J57" s="1349" t="e">
        <f>(I57/$P$5)*H57</f>
        <v>#DIV/0!</v>
      </c>
      <c r="K57" s="875" t="e">
        <f>J57/$F$64</f>
        <v>#DIV/0!</v>
      </c>
      <c r="L57" s="1235">
        <v>1</v>
      </c>
      <c r="M57" s="880">
        <f>IF(M5&gt;0,Lähtötiedot!$E$76*N5,0)</f>
        <v>0</v>
      </c>
      <c r="N57" s="1349" t="e">
        <f>(M57/$P$5)*L57</f>
        <v>#DIV/0!</v>
      </c>
      <c r="O57" s="875" t="e">
        <f>N57/$F$64</f>
        <v>#DIV/0!</v>
      </c>
      <c r="P57" s="836">
        <f>D57*E57+H57*I57+L57*M57</f>
        <v>0</v>
      </c>
      <c r="R57" s="2653" t="e">
        <f>SUM(F57,J57,N57)</f>
        <v>#DIV/0!</v>
      </c>
      <c r="S57" s="2653"/>
    </row>
    <row r="58" spans="1:19" ht="16.5" thickBot="1">
      <c r="A58" s="2703"/>
      <c r="B58" s="874" t="s">
        <v>628</v>
      </c>
      <c r="C58" s="818"/>
      <c r="D58" s="1236">
        <v>1</v>
      </c>
      <c r="E58" s="872">
        <f>IF(E5&gt;0,(Lähtötiedot!$G$76+Lähtötiedot!$F$76)*F5,0)</f>
        <v>0</v>
      </c>
      <c r="F58" s="1349" t="e">
        <f>(E58/$P$5)*D58</f>
        <v>#DIV/0!</v>
      </c>
      <c r="G58" s="873" t="e">
        <f>F58/$F$64</f>
        <v>#DIV/0!</v>
      </c>
      <c r="H58" s="1236">
        <v>1</v>
      </c>
      <c r="I58" s="872">
        <f>IF(I5&gt;0,(Lähtötiedot!$G$76+Lähtötiedot!$F$76)*J5,0)</f>
        <v>0</v>
      </c>
      <c r="J58" s="1349" t="e">
        <f>(I58/$P$5)*H58</f>
        <v>#DIV/0!</v>
      </c>
      <c r="K58" s="873" t="e">
        <f>J58/$F$64</f>
        <v>#DIV/0!</v>
      </c>
      <c r="L58" s="1236">
        <v>1</v>
      </c>
      <c r="M58" s="872">
        <f>IF(M5&gt;0,(Lähtötiedot!$G$76+Lähtötiedot!$F$76)*N5,0)</f>
        <v>0</v>
      </c>
      <c r="N58" s="1349" t="e">
        <f>(M58/$P$5)*L58</f>
        <v>#DIV/0!</v>
      </c>
      <c r="O58" s="873" t="e">
        <f>N58/$F$64</f>
        <v>#DIV/0!</v>
      </c>
      <c r="P58" s="836">
        <f>D58*E58+H58*I58+L58*M58</f>
        <v>0</v>
      </c>
      <c r="R58" s="2653" t="e">
        <f>SUM(F58,J58,N58)</f>
        <v>#DIV/0!</v>
      </c>
      <c r="S58" s="2653"/>
    </row>
    <row r="59" spans="1:19" ht="15">
      <c r="A59" s="14"/>
      <c r="B59" s="14"/>
      <c r="D59" s="814"/>
      <c r="E59" s="13"/>
      <c r="F59" s="10"/>
      <c r="G59" s="1303"/>
      <c r="H59" s="1314"/>
      <c r="I59" s="189"/>
      <c r="J59" s="189"/>
      <c r="K59" s="1303"/>
      <c r="L59" s="1314"/>
      <c r="M59" s="189"/>
      <c r="N59" s="189"/>
      <c r="O59" s="1303"/>
      <c r="R59" s="1492"/>
      <c r="S59" s="1492"/>
    </row>
    <row r="60" spans="1:19" ht="15.75">
      <c r="A60" s="1"/>
      <c r="B60" s="14"/>
      <c r="D60" s="814"/>
      <c r="E60" s="1014">
        <f>SUM(E56:E59)</f>
        <v>0</v>
      </c>
      <c r="F60" s="9" t="e">
        <f>SUM(F56:F59)</f>
        <v>#DIV/0!</v>
      </c>
      <c r="G60" s="1352" t="e">
        <f>F60/F64</f>
        <v>#DIV/0!</v>
      </c>
      <c r="H60" s="1316"/>
      <c r="I60" s="1014">
        <f>SUM(I56:I59)</f>
        <v>0</v>
      </c>
      <c r="J60" s="9" t="e">
        <f>SUM(J56:J59)</f>
        <v>#DIV/0!</v>
      </c>
      <c r="K60" s="1352" t="e">
        <f>J60/J64</f>
        <v>#DIV/0!</v>
      </c>
      <c r="L60" s="1316"/>
      <c r="M60" s="1014">
        <f>SUM(M56:M59)</f>
        <v>0</v>
      </c>
      <c r="N60" s="9" t="e">
        <f>SUM(N56:N59)</f>
        <v>#DIV/0!</v>
      </c>
      <c r="O60" s="1352" t="e">
        <f>N60/N64</f>
        <v>#DIV/0!</v>
      </c>
      <c r="P60" s="9">
        <f>SUM(E60,I60,M60)</f>
        <v>0</v>
      </c>
      <c r="R60" s="2653" t="e">
        <f>SUM(F60,J60,N60)</f>
        <v>#DIV/0!</v>
      </c>
      <c r="S60" s="2653"/>
    </row>
    <row r="61" spans="1:19" ht="16.5" thickBot="1">
      <c r="A61" s="1"/>
      <c r="B61" s="1"/>
      <c r="C61" s="14"/>
      <c r="D61" s="1306"/>
      <c r="E61" s="14"/>
      <c r="F61" s="301"/>
      <c r="G61" s="841"/>
      <c r="H61" s="814"/>
      <c r="K61" s="841"/>
      <c r="L61" s="814"/>
      <c r="O61" s="841"/>
    </row>
    <row r="62" spans="1:19" ht="16.5" thickBot="1">
      <c r="A62" s="1" t="s">
        <v>629</v>
      </c>
      <c r="B62" s="52" t="s">
        <v>472</v>
      </c>
      <c r="C62" s="14"/>
      <c r="D62" s="1306"/>
      <c r="E62" s="14"/>
      <c r="F62" s="1033" t="e">
        <f>F50-F60</f>
        <v>#DIV/0!</v>
      </c>
      <c r="G62" s="1320"/>
      <c r="H62" s="1319"/>
      <c r="I62" s="167"/>
      <c r="J62" s="1033" t="e">
        <f>J50-J60</f>
        <v>#DIV/0!</v>
      </c>
      <c r="K62" s="1320"/>
      <c r="L62" s="1319"/>
      <c r="M62" s="167"/>
      <c r="N62" s="1033" t="e">
        <f>N50-N60</f>
        <v>#DIV/0!</v>
      </c>
      <c r="O62" s="167"/>
      <c r="P62" s="1367">
        <f>P50-P60</f>
        <v>0</v>
      </c>
      <c r="R62" s="2699" t="s">
        <v>1846</v>
      </c>
      <c r="S62" s="2700"/>
    </row>
    <row r="63" spans="1:19" ht="15">
      <c r="D63" s="1306"/>
      <c r="E63" s="14"/>
      <c r="F63" s="301"/>
      <c r="G63" s="841"/>
      <c r="H63" s="814"/>
      <c r="K63" s="841"/>
      <c r="L63" s="814"/>
      <c r="O63" s="841"/>
    </row>
    <row r="64" spans="1:19" ht="15.75">
      <c r="A64" s="1" t="s">
        <v>663</v>
      </c>
      <c r="B64" s="1"/>
      <c r="D64" s="1306"/>
      <c r="E64" s="14"/>
      <c r="F64" s="308" t="e">
        <f>(F40+F48+F60)</f>
        <v>#DIV/0!</v>
      </c>
      <c r="G64" s="1378" t="e">
        <f>SUM(G40+G48+G60)</f>
        <v>#DIV/0!</v>
      </c>
      <c r="H64" s="1321"/>
      <c r="I64" s="392"/>
      <c r="J64" s="308" t="e">
        <f>(J40+J48+J60)</f>
        <v>#DIV/0!</v>
      </c>
      <c r="K64" s="1378" t="e">
        <f>SUM(K40+K48+K60)</f>
        <v>#DIV/0!</v>
      </c>
      <c r="L64" s="1321"/>
      <c r="M64" s="392"/>
      <c r="N64" s="308" t="e">
        <f>(N40+N48+N60)</f>
        <v>#DIV/0!</v>
      </c>
      <c r="O64" s="1378" t="e">
        <f>SUM(O40+O48+O60)</f>
        <v>#DIV/0!</v>
      </c>
      <c r="P64" s="309"/>
      <c r="Q64" t="s">
        <v>474</v>
      </c>
    </row>
    <row r="65" spans="1:17" ht="15.75">
      <c r="A65" s="1" t="s">
        <v>664</v>
      </c>
      <c r="D65" s="814"/>
      <c r="F65" s="308">
        <f>F19</f>
        <v>0</v>
      </c>
      <c r="G65" s="841"/>
      <c r="H65" s="814"/>
      <c r="J65" s="308">
        <f>J19</f>
        <v>0</v>
      </c>
      <c r="K65" s="841"/>
      <c r="L65" s="814"/>
      <c r="N65" s="308">
        <f>N19</f>
        <v>0</v>
      </c>
      <c r="O65" s="841"/>
      <c r="P65" s="173"/>
    </row>
    <row r="66" spans="1:17" ht="15.75">
      <c r="A66" s="1" t="s">
        <v>665</v>
      </c>
      <c r="D66" s="814"/>
      <c r="F66" s="308">
        <f>SUM(F8,F14:F15,F16)</f>
        <v>0</v>
      </c>
      <c r="G66" s="841"/>
      <c r="H66" s="814"/>
      <c r="J66" s="308">
        <f>SUM(J8,J14:J15,J16)</f>
        <v>0</v>
      </c>
      <c r="K66" s="841"/>
      <c r="L66" s="814"/>
      <c r="N66" s="308">
        <f>SUM(N8,N14:N15,N16)</f>
        <v>0</v>
      </c>
      <c r="O66" s="841"/>
      <c r="P66" s="173"/>
    </row>
    <row r="67" spans="1:17" ht="15.75">
      <c r="A67" s="1" t="s">
        <v>631</v>
      </c>
      <c r="B67" s="1"/>
      <c r="D67" s="814"/>
      <c r="F67" s="308" t="e">
        <f>F65-F64</f>
        <v>#DIV/0!</v>
      </c>
      <c r="G67" s="1303"/>
      <c r="H67" s="1314"/>
      <c r="I67" s="189"/>
      <c r="J67" s="308" t="e">
        <f>J65-J64</f>
        <v>#DIV/0!</v>
      </c>
      <c r="K67" s="1303"/>
      <c r="L67" s="1314"/>
      <c r="M67" s="189"/>
      <c r="N67" s="308" t="e">
        <f>N65-N64</f>
        <v>#DIV/0!</v>
      </c>
      <c r="O67" s="1303"/>
      <c r="P67" s="310"/>
    </row>
    <row r="68" spans="1:17" ht="15.75">
      <c r="A68" s="1" t="s">
        <v>632</v>
      </c>
      <c r="B68" s="1"/>
      <c r="D68" s="814"/>
      <c r="F68" s="308" t="e">
        <f>F66-F64</f>
        <v>#DIV/0!</v>
      </c>
      <c r="G68" s="1303"/>
      <c r="H68" s="1314"/>
      <c r="I68" s="189"/>
      <c r="J68" s="308" t="e">
        <f>J66-J64</f>
        <v>#DIV/0!</v>
      </c>
      <c r="K68" s="1303"/>
      <c r="L68" s="1314"/>
      <c r="M68" s="189"/>
      <c r="N68" s="308" t="e">
        <f>N66-N64</f>
        <v>#DIV/0!</v>
      </c>
      <c r="O68" s="1303"/>
      <c r="P68" s="310"/>
    </row>
    <row r="69" spans="1:17">
      <c r="D69" s="814"/>
      <c r="G69" s="841"/>
      <c r="H69" s="814"/>
      <c r="K69" s="841"/>
      <c r="L69" s="814"/>
      <c r="O69" s="841"/>
    </row>
    <row r="70" spans="1:17" ht="15.75">
      <c r="A70" s="1" t="s">
        <v>633</v>
      </c>
      <c r="B70" s="1"/>
      <c r="D70" s="814"/>
      <c r="G70" s="841"/>
      <c r="H70" s="814"/>
      <c r="K70" s="841"/>
      <c r="L70" s="814"/>
      <c r="O70" s="841"/>
    </row>
    <row r="71" spans="1:17">
      <c r="C71" s="841"/>
      <c r="D71" s="1359" t="s">
        <v>147</v>
      </c>
      <c r="E71" s="1353" t="s">
        <v>240</v>
      </c>
      <c r="F71" s="312" t="s">
        <v>634</v>
      </c>
      <c r="G71" s="841"/>
      <c r="H71" s="1354" t="s">
        <v>147</v>
      </c>
      <c r="I71" s="1353" t="s">
        <v>240</v>
      </c>
      <c r="J71" s="312" t="s">
        <v>634</v>
      </c>
      <c r="K71" s="841"/>
      <c r="L71" s="1354" t="s">
        <v>147</v>
      </c>
      <c r="M71" s="1353" t="s">
        <v>240</v>
      </c>
      <c r="N71" s="312" t="s">
        <v>634</v>
      </c>
      <c r="O71" s="841"/>
    </row>
    <row r="72" spans="1:17" ht="15.75" thickBot="1">
      <c r="A72" s="14" t="s">
        <v>666</v>
      </c>
      <c r="B72" s="14"/>
      <c r="C72" s="841"/>
      <c r="D72" s="1357"/>
      <c r="E72" s="1369" t="e">
        <f>F64</f>
        <v>#DIV/0!</v>
      </c>
      <c r="F72" s="313"/>
      <c r="G72" s="841"/>
      <c r="H72" s="1355"/>
      <c r="I72" s="1369" t="e">
        <f>J64</f>
        <v>#DIV/0!</v>
      </c>
      <c r="J72" s="313"/>
      <c r="K72" s="841"/>
      <c r="L72" s="1355"/>
      <c r="M72" s="1369" t="e">
        <f>N64</f>
        <v>#DIV/0!</v>
      </c>
      <c r="N72" s="313"/>
      <c r="O72" s="841"/>
    </row>
    <row r="73" spans="1:17" ht="15.75" thickBot="1">
      <c r="A73" s="315" t="s">
        <v>667</v>
      </c>
      <c r="B73" s="315"/>
      <c r="C73" s="841"/>
      <c r="D73" s="1362">
        <f>D8</f>
        <v>11000</v>
      </c>
      <c r="E73" s="317"/>
      <c r="F73" s="313"/>
      <c r="G73" s="841"/>
      <c r="H73" s="1356">
        <f>H8</f>
        <v>9000</v>
      </c>
      <c r="I73" s="317"/>
      <c r="J73" s="313"/>
      <c r="K73" s="841"/>
      <c r="L73" s="1356">
        <f>L8</f>
        <v>7000</v>
      </c>
      <c r="M73" s="317"/>
      <c r="N73" s="313"/>
      <c r="O73" s="841"/>
    </row>
    <row r="74" spans="1:17" ht="19.5" thickTop="1" thickBot="1">
      <c r="A74" s="1" t="s">
        <v>668</v>
      </c>
      <c r="B74" s="86" t="s">
        <v>485</v>
      </c>
      <c r="C74" s="1360"/>
      <c r="E74" s="1358"/>
      <c r="F74" s="340" t="e">
        <f>E72/D73</f>
        <v>#DIV/0!</v>
      </c>
      <c r="G74" s="841"/>
      <c r="H74" s="1358"/>
      <c r="I74" s="340" t="e">
        <f>I72/H73</f>
        <v>#DIV/0!</v>
      </c>
      <c r="K74" s="841"/>
      <c r="L74" s="1358"/>
      <c r="M74" s="340" t="e">
        <f>M72/L73</f>
        <v>#DIV/0!</v>
      </c>
      <c r="O74" s="841"/>
      <c r="Q74" t="s">
        <v>637</v>
      </c>
    </row>
    <row r="75" spans="1:17" ht="15.75" thickBot="1">
      <c r="A75" s="315" t="s">
        <v>669</v>
      </c>
      <c r="B75" s="315" t="s">
        <v>488</v>
      </c>
      <c r="C75" s="1361"/>
      <c r="E75" s="1340">
        <f>SUM(F9:F13)</f>
        <v>0</v>
      </c>
      <c r="F75" s="320">
        <f>E75/D8</f>
        <v>0</v>
      </c>
      <c r="G75" s="1322"/>
      <c r="H75" s="1340">
        <f>SUM(J9:J13)</f>
        <v>0</v>
      </c>
      <c r="I75" s="320">
        <f>H75/H8</f>
        <v>0</v>
      </c>
      <c r="J75" s="81"/>
      <c r="K75" s="1322"/>
      <c r="L75" s="1340">
        <f>SUM(N9:N13)</f>
        <v>0</v>
      </c>
      <c r="M75" s="320">
        <f>L75/L8</f>
        <v>0</v>
      </c>
      <c r="N75" s="81"/>
      <c r="O75" s="1322"/>
      <c r="P75" s="81"/>
      <c r="Q75" t="s">
        <v>489</v>
      </c>
    </row>
    <row r="76" spans="1:17" ht="19.5" thickTop="1" thickBot="1">
      <c r="A76" s="1" t="s">
        <v>490</v>
      </c>
      <c r="B76" s="1"/>
      <c r="C76" s="1360"/>
      <c r="E76" s="1323"/>
      <c r="F76" s="340" t="e">
        <f>F74-F75</f>
        <v>#DIV/0!</v>
      </c>
      <c r="G76" s="1322"/>
      <c r="H76" s="1323"/>
      <c r="I76" s="340" t="e">
        <f>I74-I75</f>
        <v>#DIV/0!</v>
      </c>
      <c r="J76" s="81"/>
      <c r="K76" s="1322"/>
      <c r="L76" s="1323"/>
      <c r="M76" s="340" t="e">
        <f>M74-M75</f>
        <v>#DIV/0!</v>
      </c>
      <c r="N76" s="81"/>
      <c r="O76" s="1322"/>
      <c r="P76" s="81"/>
      <c r="Q76" t="s">
        <v>638</v>
      </c>
    </row>
    <row r="77" spans="1:17">
      <c r="A77" s="12"/>
      <c r="D77" s="814"/>
      <c r="G77" s="841"/>
      <c r="H77" s="814"/>
      <c r="K77" s="841"/>
      <c r="L77" s="814"/>
      <c r="O77" s="841"/>
    </row>
    <row r="78" spans="1:17" ht="13.5" thickBot="1">
      <c r="D78" s="814"/>
      <c r="G78" s="841"/>
      <c r="H78" s="814"/>
      <c r="K78" s="841"/>
      <c r="L78" s="814"/>
      <c r="O78" s="841"/>
    </row>
    <row r="79" spans="1:17">
      <c r="A79" s="845" t="s">
        <v>97</v>
      </c>
      <c r="B79" s="813"/>
      <c r="C79" s="813"/>
      <c r="D79" s="838"/>
      <c r="E79" s="839"/>
      <c r="G79" s="841"/>
      <c r="H79" s="838"/>
      <c r="I79" s="839"/>
      <c r="K79" s="841"/>
      <c r="L79" s="838"/>
      <c r="M79" s="839"/>
      <c r="O79" s="841"/>
    </row>
    <row r="80" spans="1:17" ht="13.5" thickBot="1">
      <c r="A80" s="814" t="s">
        <v>670</v>
      </c>
      <c r="D80" s="814"/>
      <c r="E80" s="841"/>
      <c r="G80" s="841"/>
      <c r="H80" s="814"/>
      <c r="I80" s="841"/>
      <c r="K80" s="841"/>
      <c r="L80" s="814"/>
      <c r="M80" s="841"/>
      <c r="O80" s="841"/>
    </row>
    <row r="81" spans="1:15">
      <c r="A81" s="814"/>
      <c r="B81" s="838" t="s">
        <v>493</v>
      </c>
      <c r="C81" s="813"/>
      <c r="D81" s="838"/>
      <c r="E81" s="1117">
        <f>F40</f>
        <v>0.16</v>
      </c>
      <c r="F81" s="1370" t="e">
        <f>E81/$E$84</f>
        <v>#DIV/0!</v>
      </c>
      <c r="G81" s="841"/>
      <c r="H81" s="838"/>
      <c r="I81" s="1117">
        <f>J40</f>
        <v>0.16</v>
      </c>
      <c r="J81" s="1370" t="e">
        <f>I81/$I$84</f>
        <v>#DIV/0!</v>
      </c>
      <c r="K81" s="841"/>
      <c r="L81" s="838"/>
      <c r="M81" s="1117">
        <f>N40</f>
        <v>0.16</v>
      </c>
      <c r="N81" s="1370" t="e">
        <f>M81/$M$84</f>
        <v>#DIV/0!</v>
      </c>
      <c r="O81" s="841"/>
    </row>
    <row r="82" spans="1:15">
      <c r="A82" s="814"/>
      <c r="B82" s="814" t="str">
        <f>A48</f>
        <v>Työkustannus (ihmistyö €/lehmä)</v>
      </c>
      <c r="D82" s="814"/>
      <c r="E82" s="846">
        <f>F48</f>
        <v>80</v>
      </c>
      <c r="F82" s="1370" t="e">
        <f>E82/$E$84</f>
        <v>#DIV/0!</v>
      </c>
      <c r="G82" s="841"/>
      <c r="H82" s="814"/>
      <c r="I82" s="846">
        <f>J48</f>
        <v>80</v>
      </c>
      <c r="J82" s="1370" t="e">
        <f>I82/$I$84</f>
        <v>#DIV/0!</v>
      </c>
      <c r="K82" s="841"/>
      <c r="L82" s="814"/>
      <c r="M82" s="846">
        <f>N48</f>
        <v>80</v>
      </c>
      <c r="N82" s="1370" t="e">
        <f>M82/$M$84</f>
        <v>#DIV/0!</v>
      </c>
      <c r="O82" s="841"/>
    </row>
    <row r="83" spans="1:15">
      <c r="A83" s="814"/>
      <c r="B83" s="814" t="s">
        <v>470</v>
      </c>
      <c r="D83" s="814"/>
      <c r="E83" s="846" t="e">
        <f>F60</f>
        <v>#DIV/0!</v>
      </c>
      <c r="F83" s="1370" t="e">
        <f>E83/$E$84</f>
        <v>#DIV/0!</v>
      </c>
      <c r="G83" s="841"/>
      <c r="H83" s="814"/>
      <c r="I83" s="846" t="e">
        <f>J60</f>
        <v>#DIV/0!</v>
      </c>
      <c r="J83" s="1370" t="e">
        <f>I83/$I$84</f>
        <v>#DIV/0!</v>
      </c>
      <c r="K83" s="841"/>
      <c r="L83" s="814"/>
      <c r="M83" s="846" t="e">
        <f>N60</f>
        <v>#DIV/0!</v>
      </c>
      <c r="N83" s="1370" t="e">
        <f>M83/$M$84</f>
        <v>#DIV/0!</v>
      </c>
      <c r="O83" s="841"/>
    </row>
    <row r="84" spans="1:15">
      <c r="A84" s="814"/>
      <c r="B84" s="842" t="s">
        <v>494</v>
      </c>
      <c r="D84" s="814"/>
      <c r="E84" s="847" t="e">
        <f>SUM(E81:E83)</f>
        <v>#DIV/0!</v>
      </c>
      <c r="F84" s="1370" t="e">
        <f>E84/$E$84</f>
        <v>#DIV/0!</v>
      </c>
      <c r="G84" s="841"/>
      <c r="H84" s="814"/>
      <c r="I84" s="847" t="e">
        <f>SUM(I81:I83)</f>
        <v>#DIV/0!</v>
      </c>
      <c r="J84" s="1370" t="e">
        <f>I84/$I$84</f>
        <v>#DIV/0!</v>
      </c>
      <c r="K84" s="841"/>
      <c r="L84" s="814"/>
      <c r="M84" s="847" t="e">
        <f>SUM(M81:M83)</f>
        <v>#DIV/0!</v>
      </c>
      <c r="N84" s="1370" t="e">
        <f>M84/$M$84</f>
        <v>#DIV/0!</v>
      </c>
      <c r="O84" s="841"/>
    </row>
    <row r="85" spans="1:15">
      <c r="A85" s="814"/>
      <c r="B85" s="814" t="s">
        <v>592</v>
      </c>
      <c r="C85" t="s">
        <v>160</v>
      </c>
      <c r="D85" s="814"/>
      <c r="E85" s="848">
        <f>D73</f>
        <v>11000</v>
      </c>
      <c r="G85" s="841"/>
      <c r="H85" s="814"/>
      <c r="I85" s="848">
        <f>H73</f>
        <v>9000</v>
      </c>
      <c r="K85" s="841"/>
      <c r="L85" s="814"/>
      <c r="M85" s="848">
        <f>L73</f>
        <v>7000</v>
      </c>
      <c r="O85" s="841"/>
    </row>
    <row r="86" spans="1:15" ht="13.5" thickBot="1">
      <c r="A86" s="815"/>
      <c r="B86" s="815" t="s">
        <v>671</v>
      </c>
      <c r="C86" s="818" t="s">
        <v>497</v>
      </c>
      <c r="D86" s="815"/>
      <c r="E86" s="1135" t="e">
        <f>E84/E85</f>
        <v>#DIV/0!</v>
      </c>
      <c r="F86" s="818"/>
      <c r="G86" s="843"/>
      <c r="H86" s="815"/>
      <c r="I86" s="1135" t="e">
        <f>I84/I85</f>
        <v>#DIV/0!</v>
      </c>
      <c r="J86" s="818"/>
      <c r="K86" s="843"/>
      <c r="L86" s="815"/>
      <c r="M86" s="1135" t="e">
        <f>M84/M85</f>
        <v>#DIV/0!</v>
      </c>
      <c r="N86" s="818"/>
      <c r="O86" s="843"/>
    </row>
    <row r="88" spans="1:15">
      <c r="A88" t="s">
        <v>641</v>
      </c>
      <c r="B88" s="2637" t="s">
        <v>642</v>
      </c>
      <c r="C88" s="2637" t="s">
        <v>643</v>
      </c>
      <c r="D88" s="2698" t="s">
        <v>644</v>
      </c>
      <c r="F88" s="2639" t="s">
        <v>645</v>
      </c>
    </row>
    <row r="89" spans="1:15">
      <c r="B89" s="2637"/>
      <c r="C89" s="2637"/>
      <c r="D89" s="2698"/>
      <c r="E89" t="s">
        <v>646</v>
      </c>
      <c r="F89" s="2639"/>
      <c r="G89" t="s">
        <v>647</v>
      </c>
    </row>
    <row r="90" spans="1:15">
      <c r="A90" s="5">
        <v>5500</v>
      </c>
      <c r="B90" s="1137">
        <f>C90*$B$103</f>
        <v>0</v>
      </c>
      <c r="C90" s="1136">
        <v>0</v>
      </c>
      <c r="D90" s="393" t="e">
        <f>$F$64/A90</f>
        <v>#DIV/0!</v>
      </c>
      <c r="E90" s="394" t="e">
        <f t="shared" ref="E90:E101" si="34">$F$74-D90</f>
        <v>#DIV/0!</v>
      </c>
      <c r="F90" s="395" t="e">
        <f>E90*A90*B90</f>
        <v>#DIV/0!</v>
      </c>
      <c r="G90" s="396" t="e">
        <f>ABS(F90/$E$8)</f>
        <v>#DIV/0!</v>
      </c>
      <c r="H90" s="396"/>
      <c r="I90" s="396"/>
      <c r="J90" s="396"/>
      <c r="K90" s="396"/>
      <c r="L90" s="396"/>
      <c r="M90" s="396"/>
      <c r="N90" s="396"/>
      <c r="O90" s="396"/>
    </row>
    <row r="91" spans="1:15">
      <c r="A91" s="5">
        <v>6000</v>
      </c>
      <c r="B91" s="1137">
        <f t="shared" ref="B91:B101" si="35">C91*$B$103</f>
        <v>0</v>
      </c>
      <c r="C91" s="1136">
        <v>0</v>
      </c>
      <c r="D91" s="393" t="e">
        <f t="shared" ref="D91:D101" si="36">$F$64/A91</f>
        <v>#DIV/0!</v>
      </c>
      <c r="E91" s="394" t="e">
        <f t="shared" si="34"/>
        <v>#DIV/0!</v>
      </c>
      <c r="F91" s="395" t="e">
        <f t="shared" ref="F91:F101" si="37">E91*A91*B91</f>
        <v>#DIV/0!</v>
      </c>
      <c r="G91" s="396" t="e">
        <f t="shared" ref="G91:G101" si="38">ABS(F91/$E$8)</f>
        <v>#DIV/0!</v>
      </c>
      <c r="H91" s="396"/>
      <c r="I91" s="396"/>
      <c r="J91" s="396"/>
      <c r="K91" s="396"/>
      <c r="L91" s="396"/>
      <c r="M91" s="396"/>
      <c r="N91" s="396"/>
      <c r="O91" s="396"/>
    </row>
    <row r="92" spans="1:15">
      <c r="A92" s="5">
        <v>6500</v>
      </c>
      <c r="B92" s="1137">
        <f t="shared" si="35"/>
        <v>0</v>
      </c>
      <c r="C92" s="1136">
        <v>0.1</v>
      </c>
      <c r="D92" s="393" t="e">
        <f t="shared" si="36"/>
        <v>#DIV/0!</v>
      </c>
      <c r="E92" s="394" t="e">
        <f t="shared" si="34"/>
        <v>#DIV/0!</v>
      </c>
      <c r="F92" s="395" t="e">
        <f t="shared" si="37"/>
        <v>#DIV/0!</v>
      </c>
      <c r="G92" s="396" t="e">
        <f t="shared" si="38"/>
        <v>#DIV/0!</v>
      </c>
      <c r="H92" s="396"/>
      <c r="I92" s="396"/>
      <c r="J92" s="396"/>
      <c r="K92" s="396"/>
      <c r="L92" s="396"/>
      <c r="M92" s="396"/>
      <c r="N92" s="396"/>
      <c r="O92" s="396"/>
    </row>
    <row r="93" spans="1:15">
      <c r="A93" s="5">
        <v>7000</v>
      </c>
      <c r="B93" s="1137">
        <f t="shared" si="35"/>
        <v>0</v>
      </c>
      <c r="C93" s="1136">
        <v>0.1</v>
      </c>
      <c r="D93" s="393" t="e">
        <f t="shared" si="36"/>
        <v>#DIV/0!</v>
      </c>
      <c r="E93" s="394" t="e">
        <f t="shared" si="34"/>
        <v>#DIV/0!</v>
      </c>
      <c r="F93" s="395" t="e">
        <f t="shared" si="37"/>
        <v>#DIV/0!</v>
      </c>
      <c r="G93" s="396" t="e">
        <f t="shared" si="38"/>
        <v>#DIV/0!</v>
      </c>
      <c r="H93" s="396"/>
      <c r="I93" s="396"/>
      <c r="J93" s="396"/>
      <c r="K93" s="396"/>
      <c r="L93" s="396"/>
      <c r="M93" s="396"/>
      <c r="N93" s="396"/>
      <c r="O93" s="396"/>
    </row>
    <row r="94" spans="1:15">
      <c r="A94" s="5">
        <v>7500</v>
      </c>
      <c r="B94" s="1137">
        <f t="shared" si="35"/>
        <v>0</v>
      </c>
      <c r="C94" s="1136">
        <v>0.1</v>
      </c>
      <c r="D94" s="393" t="e">
        <f t="shared" si="36"/>
        <v>#DIV/0!</v>
      </c>
      <c r="E94" s="394" t="e">
        <f t="shared" si="34"/>
        <v>#DIV/0!</v>
      </c>
      <c r="F94" s="395" t="e">
        <f t="shared" si="37"/>
        <v>#DIV/0!</v>
      </c>
      <c r="G94" s="396" t="e">
        <f t="shared" si="38"/>
        <v>#DIV/0!</v>
      </c>
      <c r="H94" s="396"/>
      <c r="I94" s="396"/>
      <c r="J94" s="396"/>
      <c r="K94" s="396"/>
      <c r="L94" s="396"/>
      <c r="M94" s="396"/>
      <c r="N94" s="396"/>
      <c r="O94" s="396"/>
    </row>
    <row r="95" spans="1:15">
      <c r="A95" s="5">
        <v>8000</v>
      </c>
      <c r="B95" s="1137">
        <f t="shared" si="35"/>
        <v>0</v>
      </c>
      <c r="C95" s="1136">
        <v>0.1</v>
      </c>
      <c r="D95" s="393" t="e">
        <f t="shared" si="36"/>
        <v>#DIV/0!</v>
      </c>
      <c r="E95" s="394" t="e">
        <f t="shared" si="34"/>
        <v>#DIV/0!</v>
      </c>
      <c r="F95" s="395" t="e">
        <f t="shared" si="37"/>
        <v>#DIV/0!</v>
      </c>
      <c r="G95" s="396" t="e">
        <f t="shared" si="38"/>
        <v>#DIV/0!</v>
      </c>
      <c r="H95" s="396"/>
      <c r="I95" s="396"/>
      <c r="J95" s="396"/>
      <c r="K95" s="396"/>
      <c r="L95" s="396"/>
      <c r="M95" s="396"/>
      <c r="N95" s="396"/>
      <c r="O95" s="396"/>
    </row>
    <row r="96" spans="1:15">
      <c r="A96" s="5">
        <v>8500</v>
      </c>
      <c r="B96" s="1137">
        <f t="shared" si="35"/>
        <v>0</v>
      </c>
      <c r="C96" s="1136">
        <v>0.1</v>
      </c>
      <c r="D96" s="393" t="e">
        <f t="shared" si="36"/>
        <v>#DIV/0!</v>
      </c>
      <c r="E96" s="394" t="e">
        <f t="shared" si="34"/>
        <v>#DIV/0!</v>
      </c>
      <c r="F96" s="395" t="e">
        <f t="shared" si="37"/>
        <v>#DIV/0!</v>
      </c>
      <c r="G96" s="396" t="e">
        <f t="shared" si="38"/>
        <v>#DIV/0!</v>
      </c>
      <c r="H96" s="396"/>
      <c r="I96" s="396"/>
      <c r="J96" s="396"/>
      <c r="K96" s="396"/>
      <c r="L96" s="396"/>
      <c r="M96" s="396"/>
      <c r="N96" s="396"/>
      <c r="O96" s="396"/>
    </row>
    <row r="97" spans="1:21">
      <c r="A97" s="5">
        <v>9000</v>
      </c>
      <c r="B97" s="1137">
        <f t="shared" si="35"/>
        <v>0</v>
      </c>
      <c r="C97" s="1136">
        <v>0.1</v>
      </c>
      <c r="D97" s="393" t="e">
        <f t="shared" si="36"/>
        <v>#DIV/0!</v>
      </c>
      <c r="E97" s="394" t="e">
        <f t="shared" si="34"/>
        <v>#DIV/0!</v>
      </c>
      <c r="F97" s="395" t="e">
        <f t="shared" si="37"/>
        <v>#DIV/0!</v>
      </c>
      <c r="G97" s="396" t="e">
        <f t="shared" si="38"/>
        <v>#DIV/0!</v>
      </c>
      <c r="H97" s="396"/>
      <c r="I97" s="396"/>
      <c r="J97" s="396"/>
      <c r="K97" s="396"/>
      <c r="L97" s="396"/>
      <c r="M97" s="396"/>
      <c r="N97" s="396"/>
      <c r="O97" s="396"/>
    </row>
    <row r="98" spans="1:21">
      <c r="A98" s="5">
        <v>9600</v>
      </c>
      <c r="B98" s="1137">
        <f t="shared" si="35"/>
        <v>0</v>
      </c>
      <c r="C98" s="1136">
        <v>0.1</v>
      </c>
      <c r="D98" s="393" t="e">
        <f t="shared" si="36"/>
        <v>#DIV/0!</v>
      </c>
      <c r="E98" s="394" t="e">
        <f t="shared" si="34"/>
        <v>#DIV/0!</v>
      </c>
      <c r="F98" s="395" t="e">
        <f t="shared" si="37"/>
        <v>#DIV/0!</v>
      </c>
      <c r="G98" s="396" t="e">
        <f t="shared" si="38"/>
        <v>#DIV/0!</v>
      </c>
      <c r="H98" s="396"/>
      <c r="I98" s="396"/>
      <c r="J98" s="396"/>
      <c r="K98" s="396"/>
      <c r="L98" s="396"/>
      <c r="M98" s="396"/>
      <c r="N98" s="396"/>
      <c r="O98" s="396"/>
    </row>
    <row r="99" spans="1:21">
      <c r="A99" s="5">
        <v>9700</v>
      </c>
      <c r="B99" s="1137">
        <f t="shared" si="35"/>
        <v>0</v>
      </c>
      <c r="C99" s="1136">
        <v>0.1</v>
      </c>
      <c r="D99" s="393" t="e">
        <f t="shared" si="36"/>
        <v>#DIV/0!</v>
      </c>
      <c r="E99" s="394" t="e">
        <f t="shared" si="34"/>
        <v>#DIV/0!</v>
      </c>
      <c r="F99" s="395" t="e">
        <f t="shared" si="37"/>
        <v>#DIV/0!</v>
      </c>
      <c r="G99" s="396" t="e">
        <f t="shared" si="38"/>
        <v>#DIV/0!</v>
      </c>
      <c r="H99" s="396"/>
      <c r="I99" s="396"/>
      <c r="J99" s="396"/>
      <c r="K99" s="396"/>
      <c r="L99" s="396"/>
      <c r="M99" s="396"/>
      <c r="N99" s="396"/>
      <c r="O99" s="396"/>
    </row>
    <row r="100" spans="1:21">
      <c r="A100" s="5">
        <v>10500</v>
      </c>
      <c r="B100" s="1137">
        <f t="shared" si="35"/>
        <v>0</v>
      </c>
      <c r="C100" s="1136">
        <v>0.1</v>
      </c>
      <c r="D100" s="393" t="e">
        <f t="shared" si="36"/>
        <v>#DIV/0!</v>
      </c>
      <c r="E100" s="394" t="e">
        <f t="shared" si="34"/>
        <v>#DIV/0!</v>
      </c>
      <c r="F100" s="395" t="e">
        <f t="shared" si="37"/>
        <v>#DIV/0!</v>
      </c>
      <c r="G100" s="396" t="e">
        <f t="shared" si="38"/>
        <v>#DIV/0!</v>
      </c>
      <c r="H100" s="396"/>
      <c r="I100" s="396"/>
      <c r="J100" s="396"/>
      <c r="K100" s="396"/>
      <c r="L100" s="396"/>
      <c r="M100" s="396"/>
      <c r="N100" s="396"/>
      <c r="O100" s="396"/>
    </row>
    <row r="101" spans="1:21">
      <c r="A101" s="5">
        <v>11000</v>
      </c>
      <c r="B101" s="1137">
        <f t="shared" si="35"/>
        <v>0</v>
      </c>
      <c r="C101" s="1136">
        <v>0.1</v>
      </c>
      <c r="D101" s="393" t="e">
        <f t="shared" si="36"/>
        <v>#DIV/0!</v>
      </c>
      <c r="E101" s="394" t="e">
        <f t="shared" si="34"/>
        <v>#DIV/0!</v>
      </c>
      <c r="F101" s="395" t="e">
        <f t="shared" si="37"/>
        <v>#DIV/0!</v>
      </c>
      <c r="G101" s="396" t="e">
        <f t="shared" si="38"/>
        <v>#DIV/0!</v>
      </c>
      <c r="H101" s="396"/>
      <c r="I101" s="396"/>
      <c r="J101" s="396"/>
      <c r="K101" s="396"/>
      <c r="L101" s="396"/>
      <c r="M101" s="396"/>
      <c r="N101" s="396"/>
      <c r="O101" s="396"/>
    </row>
    <row r="102" spans="1:21" ht="15.75">
      <c r="A102" s="25" t="s">
        <v>3</v>
      </c>
      <c r="B102" s="397">
        <f>SUM(B90:B101)</f>
        <v>0</v>
      </c>
      <c r="C102" s="398">
        <f>SUM(C90:C101)</f>
        <v>0.99999999999999989</v>
      </c>
      <c r="F102" s="395" t="e">
        <f>SUM(F90:F101)</f>
        <v>#DIV/0!</v>
      </c>
      <c r="G102" s="396" t="e">
        <f>SUM(G90:G101)</f>
        <v>#DIV/0!</v>
      </c>
      <c r="H102" s="396"/>
      <c r="I102" s="396"/>
      <c r="J102" s="396"/>
      <c r="K102" s="396"/>
      <c r="L102" s="396"/>
      <c r="M102" s="396"/>
      <c r="N102" s="396"/>
      <c r="O102" s="396"/>
    </row>
    <row r="103" spans="1:21" ht="15.75" hidden="1">
      <c r="A103" s="3" t="s">
        <v>648</v>
      </c>
      <c r="B103" s="397">
        <f>E4</f>
        <v>0</v>
      </c>
      <c r="G103" s="58" t="e">
        <f>G102/B103</f>
        <v>#DIV/0!</v>
      </c>
      <c r="H103" s="58"/>
      <c r="I103" s="58"/>
      <c r="J103" s="58"/>
      <c r="K103" s="58"/>
      <c r="L103" s="58"/>
      <c r="M103" s="58"/>
      <c r="N103" s="58"/>
      <c r="O103" s="58"/>
      <c r="P103" t="s">
        <v>649</v>
      </c>
    </row>
    <row r="104" spans="1:21" ht="15.75" hidden="1">
      <c r="A104" s="3"/>
      <c r="B104" s="397"/>
      <c r="G104" s="58"/>
      <c r="H104" s="58"/>
      <c r="I104" s="58"/>
      <c r="J104" s="58"/>
      <c r="K104" s="58"/>
      <c r="L104" s="58"/>
      <c r="M104" s="58"/>
      <c r="N104" s="58"/>
      <c r="O104" s="58"/>
    </row>
    <row r="105" spans="1:21" hidden="1">
      <c r="A105" t="s">
        <v>650</v>
      </c>
      <c r="B105" s="8">
        <v>500</v>
      </c>
    </row>
    <row r="106" spans="1:21" hidden="1">
      <c r="A106" t="s">
        <v>651</v>
      </c>
      <c r="B106" s="37">
        <v>0.3</v>
      </c>
    </row>
    <row r="107" spans="1:21" hidden="1"/>
    <row r="108" spans="1:21" hidden="1">
      <c r="A108" t="s">
        <v>592</v>
      </c>
      <c r="B108" t="s">
        <v>502</v>
      </c>
    </row>
    <row r="109" spans="1:21" hidden="1">
      <c r="A109" t="s">
        <v>652</v>
      </c>
      <c r="B109" t="s">
        <v>240</v>
      </c>
      <c r="C109" t="s">
        <v>653</v>
      </c>
      <c r="D109" s="52" t="s">
        <v>654</v>
      </c>
      <c r="E109" t="s">
        <v>655</v>
      </c>
      <c r="F109" s="52" t="s">
        <v>656</v>
      </c>
      <c r="G109" s="52" t="s">
        <v>657</v>
      </c>
      <c r="H109" s="52"/>
      <c r="I109" s="52"/>
      <c r="J109" s="52"/>
      <c r="K109" s="52"/>
      <c r="L109" s="52"/>
      <c r="M109" s="52"/>
      <c r="N109" s="52"/>
      <c r="O109" s="52"/>
      <c r="P109" s="52" t="s">
        <v>509</v>
      </c>
      <c r="Q109" s="52" t="s">
        <v>658</v>
      </c>
      <c r="R109" s="23" t="s">
        <v>659</v>
      </c>
      <c r="S109" s="52" t="s">
        <v>512</v>
      </c>
      <c r="T109" s="52" t="s">
        <v>513</v>
      </c>
      <c r="U109" s="52" t="s">
        <v>514</v>
      </c>
    </row>
    <row r="110" spans="1:21" hidden="1">
      <c r="A110" s="329">
        <f>A111-$B$105</f>
        <v>9500</v>
      </c>
      <c r="B110" s="329">
        <f t="shared" ref="B110:B122" si="39">(A110*$E$8)+SUM($F$9:$F$18)</f>
        <v>0</v>
      </c>
      <c r="C110" s="11"/>
      <c r="D110" s="328">
        <f>$E$81</f>
        <v>0.16</v>
      </c>
      <c r="E110" s="329">
        <f t="shared" ref="E110:E122" si="40">$E$82</f>
        <v>80</v>
      </c>
      <c r="F110" s="330" t="e">
        <f t="shared" ref="F110:F122" si="41">$E$83</f>
        <v>#DIV/0!</v>
      </c>
      <c r="G110" s="805" t="e">
        <f t="shared" ref="G110:G122" si="42">SUM(D110:F110)</f>
        <v>#DIV/0!</v>
      </c>
      <c r="H110" s="805"/>
      <c r="I110" s="805"/>
      <c r="J110" s="805"/>
      <c r="K110" s="805"/>
      <c r="L110" s="805"/>
      <c r="M110" s="805"/>
      <c r="N110" s="805"/>
      <c r="O110" s="805"/>
      <c r="P110" s="806" t="e">
        <f t="shared" ref="P110:P122" si="43">G110/A110</f>
        <v>#DIV/0!</v>
      </c>
      <c r="Q110" s="7" t="e">
        <f t="shared" ref="Q110:Q122" si="44">B110-G110</f>
        <v>#DIV/0!</v>
      </c>
      <c r="R110" s="339" t="e">
        <f t="shared" ref="R110:R122" si="45">Q110/A110</f>
        <v>#DIV/0!</v>
      </c>
      <c r="S110" s="334"/>
    </row>
    <row r="111" spans="1:21" hidden="1">
      <c r="A111" s="329">
        <f>A112-$B$105</f>
        <v>10000</v>
      </c>
      <c r="B111" s="329">
        <f t="shared" si="39"/>
        <v>0</v>
      </c>
      <c r="C111" s="328">
        <f>(B111-B110)/(A111-A110)</f>
        <v>0</v>
      </c>
      <c r="D111" s="328">
        <f>$E$81</f>
        <v>0.16</v>
      </c>
      <c r="E111" s="329">
        <f t="shared" si="40"/>
        <v>80</v>
      </c>
      <c r="F111" s="330" t="e">
        <f t="shared" si="41"/>
        <v>#DIV/0!</v>
      </c>
      <c r="G111" s="805" t="e">
        <f t="shared" si="42"/>
        <v>#DIV/0!</v>
      </c>
      <c r="H111" s="805"/>
      <c r="I111" s="805"/>
      <c r="J111" s="805"/>
      <c r="K111" s="805"/>
      <c r="L111" s="805"/>
      <c r="M111" s="805"/>
      <c r="N111" s="805"/>
      <c r="O111" s="805"/>
      <c r="P111" s="806" t="e">
        <f t="shared" si="43"/>
        <v>#DIV/0!</v>
      </c>
      <c r="Q111" s="7" t="e">
        <f t="shared" si="44"/>
        <v>#DIV/0!</v>
      </c>
      <c r="R111" s="339" t="e">
        <f t="shared" si="45"/>
        <v>#DIV/0!</v>
      </c>
      <c r="S111" s="334" t="e">
        <f t="shared" ref="S111:S122" si="46">(G111-G110)/(A111-A110)</f>
        <v>#DIV/0!</v>
      </c>
      <c r="T111" s="341" t="e">
        <f>(B111-B112)/B112</f>
        <v>#DIV/0!</v>
      </c>
      <c r="U111" s="341">
        <v>0</v>
      </c>
    </row>
    <row r="112" spans="1:21" hidden="1">
      <c r="A112" s="329">
        <f>A113-$B$105</f>
        <v>10500</v>
      </c>
      <c r="B112" s="329">
        <f t="shared" si="39"/>
        <v>0</v>
      </c>
      <c r="C112" s="328">
        <f>(B112-B111)/(A112-A111)</f>
        <v>0</v>
      </c>
      <c r="D112" s="328">
        <f>$E$81</f>
        <v>0.16</v>
      </c>
      <c r="E112" s="329">
        <f t="shared" si="40"/>
        <v>80</v>
      </c>
      <c r="F112" s="330" t="e">
        <f t="shared" si="41"/>
        <v>#DIV/0!</v>
      </c>
      <c r="G112" s="805" t="e">
        <f t="shared" si="42"/>
        <v>#DIV/0!</v>
      </c>
      <c r="H112" s="805"/>
      <c r="I112" s="805"/>
      <c r="J112" s="805"/>
      <c r="K112" s="805"/>
      <c r="L112" s="805"/>
      <c r="M112" s="805"/>
      <c r="N112" s="805"/>
      <c r="O112" s="805"/>
      <c r="P112" s="806" t="e">
        <f t="shared" si="43"/>
        <v>#DIV/0!</v>
      </c>
      <c r="Q112" s="7" t="e">
        <f t="shared" si="44"/>
        <v>#DIV/0!</v>
      </c>
      <c r="R112" s="339" t="e">
        <f t="shared" si="45"/>
        <v>#DIV/0!</v>
      </c>
      <c r="S112" s="400" t="e">
        <f t="shared" si="46"/>
        <v>#DIV/0!</v>
      </c>
      <c r="T112" s="341" t="e">
        <f>(B112-B113)/B113</f>
        <v>#DIV/0!</v>
      </c>
      <c r="U112" s="341">
        <v>0</v>
      </c>
    </row>
    <row r="113" spans="1:21" hidden="1">
      <c r="A113" s="336">
        <f>E85</f>
        <v>11000</v>
      </c>
      <c r="B113" s="336">
        <f t="shared" si="39"/>
        <v>0</v>
      </c>
      <c r="C113" s="338">
        <f>(B113-B112)/(A113-A112)</f>
        <v>0</v>
      </c>
      <c r="D113" s="328">
        <f>$E$81</f>
        <v>0.16</v>
      </c>
      <c r="E113" s="329">
        <f t="shared" si="40"/>
        <v>80</v>
      </c>
      <c r="F113" s="330" t="e">
        <f t="shared" si="41"/>
        <v>#DIV/0!</v>
      </c>
      <c r="G113" s="805" t="e">
        <f t="shared" si="42"/>
        <v>#DIV/0!</v>
      </c>
      <c r="H113" s="805"/>
      <c r="I113" s="805"/>
      <c r="J113" s="805"/>
      <c r="K113" s="805"/>
      <c r="L113" s="805"/>
      <c r="M113" s="805"/>
      <c r="N113" s="805"/>
      <c r="O113" s="805"/>
      <c r="P113" s="806" t="e">
        <f t="shared" si="43"/>
        <v>#DIV/0!</v>
      </c>
      <c r="Q113" s="401" t="e">
        <f t="shared" si="44"/>
        <v>#DIV/0!</v>
      </c>
      <c r="R113" s="333" t="e">
        <f t="shared" si="45"/>
        <v>#DIV/0!</v>
      </c>
      <c r="S113" s="334" t="e">
        <f t="shared" si="46"/>
        <v>#DIV/0!</v>
      </c>
      <c r="T113" s="341">
        <v>0</v>
      </c>
      <c r="U113" s="341" t="e">
        <f t="shared" ref="U113:U122" si="47">(G113-G112)/G112</f>
        <v>#DIV/0!</v>
      </c>
    </row>
    <row r="114" spans="1:21" hidden="1">
      <c r="A114" s="329">
        <f>A113+$B$105</f>
        <v>11500</v>
      </c>
      <c r="B114" s="329">
        <f t="shared" si="39"/>
        <v>0</v>
      </c>
      <c r="C114" s="328">
        <f t="shared" ref="C114:C122" si="48">(B114-B113)/(A114-A113)</f>
        <v>0</v>
      </c>
      <c r="D114" s="328">
        <f>D113*(1+$B$106)</f>
        <v>0.20800000000000002</v>
      </c>
      <c r="E114" s="329">
        <f t="shared" si="40"/>
        <v>80</v>
      </c>
      <c r="F114" s="330" t="e">
        <f t="shared" si="41"/>
        <v>#DIV/0!</v>
      </c>
      <c r="G114" s="805" t="e">
        <f t="shared" si="42"/>
        <v>#DIV/0!</v>
      </c>
      <c r="H114" s="805"/>
      <c r="I114" s="805"/>
      <c r="J114" s="805"/>
      <c r="K114" s="805"/>
      <c r="L114" s="805"/>
      <c r="M114" s="805"/>
      <c r="N114" s="805"/>
      <c r="O114" s="805"/>
      <c r="P114" s="806" t="e">
        <f t="shared" si="43"/>
        <v>#DIV/0!</v>
      </c>
      <c r="Q114" s="7" t="e">
        <f t="shared" si="44"/>
        <v>#DIV/0!</v>
      </c>
      <c r="R114" s="339" t="e">
        <f t="shared" si="45"/>
        <v>#DIV/0!</v>
      </c>
      <c r="S114" s="402" t="e">
        <f t="shared" si="46"/>
        <v>#DIV/0!</v>
      </c>
      <c r="T114" s="341" t="e">
        <f>(B114-B113)/B113</f>
        <v>#DIV/0!</v>
      </c>
      <c r="U114" s="341" t="e">
        <f t="shared" si="47"/>
        <v>#DIV/0!</v>
      </c>
    </row>
    <row r="115" spans="1:21" hidden="1">
      <c r="A115" s="329">
        <f t="shared" ref="A115:A121" si="49">A114+$B$105</f>
        <v>12000</v>
      </c>
      <c r="B115" s="329">
        <f t="shared" si="39"/>
        <v>0</v>
      </c>
      <c r="C115" s="328">
        <f t="shared" si="48"/>
        <v>0</v>
      </c>
      <c r="D115" s="328">
        <f>D114*(1+$B$106)</f>
        <v>0.27040000000000003</v>
      </c>
      <c r="E115" s="329">
        <f t="shared" si="40"/>
        <v>80</v>
      </c>
      <c r="F115" s="330" t="e">
        <f t="shared" si="41"/>
        <v>#DIV/0!</v>
      </c>
      <c r="G115" s="805" t="e">
        <f t="shared" si="42"/>
        <v>#DIV/0!</v>
      </c>
      <c r="H115" s="805"/>
      <c r="I115" s="805"/>
      <c r="J115" s="805"/>
      <c r="K115" s="805"/>
      <c r="L115" s="805"/>
      <c r="M115" s="805"/>
      <c r="N115" s="805"/>
      <c r="O115" s="805"/>
      <c r="P115" s="806" t="e">
        <f t="shared" si="43"/>
        <v>#DIV/0!</v>
      </c>
      <c r="Q115" s="7" t="e">
        <f t="shared" si="44"/>
        <v>#DIV/0!</v>
      </c>
      <c r="R115" s="339" t="e">
        <f t="shared" si="45"/>
        <v>#DIV/0!</v>
      </c>
      <c r="S115" s="334" t="e">
        <f t="shared" si="46"/>
        <v>#DIV/0!</v>
      </c>
      <c r="T115" s="341" t="e">
        <f t="shared" ref="T115:T122" si="50">(B115-B114)/B114</f>
        <v>#DIV/0!</v>
      </c>
      <c r="U115" s="341" t="e">
        <f>(G115-G114)/G114</f>
        <v>#DIV/0!</v>
      </c>
    </row>
    <row r="116" spans="1:21" hidden="1">
      <c r="A116" s="329">
        <f t="shared" si="49"/>
        <v>12500</v>
      </c>
      <c r="B116" s="329">
        <f t="shared" si="39"/>
        <v>0</v>
      </c>
      <c r="C116" s="328">
        <f t="shared" si="48"/>
        <v>0</v>
      </c>
      <c r="D116" s="328">
        <f t="shared" ref="D116:D122" si="51">D115*(1+$B$106)</f>
        <v>0.35152000000000005</v>
      </c>
      <c r="E116" s="329">
        <f t="shared" si="40"/>
        <v>80</v>
      </c>
      <c r="F116" s="330" t="e">
        <f t="shared" si="41"/>
        <v>#DIV/0!</v>
      </c>
      <c r="G116" s="805" t="e">
        <f t="shared" si="42"/>
        <v>#DIV/0!</v>
      </c>
      <c r="H116" s="805"/>
      <c r="I116" s="805"/>
      <c r="J116" s="805"/>
      <c r="K116" s="805"/>
      <c r="L116" s="805"/>
      <c r="M116" s="805"/>
      <c r="N116" s="805"/>
      <c r="O116" s="805"/>
      <c r="P116" s="806" t="e">
        <f t="shared" si="43"/>
        <v>#DIV/0!</v>
      </c>
      <c r="Q116" s="7" t="e">
        <f t="shared" si="44"/>
        <v>#DIV/0!</v>
      </c>
      <c r="R116" s="339" t="e">
        <f t="shared" si="45"/>
        <v>#DIV/0!</v>
      </c>
      <c r="S116" s="334" t="e">
        <f t="shared" si="46"/>
        <v>#DIV/0!</v>
      </c>
      <c r="T116" s="341" t="e">
        <f t="shared" si="50"/>
        <v>#DIV/0!</v>
      </c>
      <c r="U116" s="341" t="e">
        <f t="shared" si="47"/>
        <v>#DIV/0!</v>
      </c>
    </row>
    <row r="117" spans="1:21" hidden="1">
      <c r="A117" s="329">
        <f t="shared" si="49"/>
        <v>13000</v>
      </c>
      <c r="B117" s="329">
        <f t="shared" si="39"/>
        <v>0</v>
      </c>
      <c r="C117" s="328">
        <f t="shared" si="48"/>
        <v>0</v>
      </c>
      <c r="D117" s="328">
        <f t="shared" si="51"/>
        <v>0.4569760000000001</v>
      </c>
      <c r="E117" s="329">
        <f t="shared" si="40"/>
        <v>80</v>
      </c>
      <c r="F117" s="330" t="e">
        <f t="shared" si="41"/>
        <v>#DIV/0!</v>
      </c>
      <c r="G117" s="805" t="e">
        <f t="shared" si="42"/>
        <v>#DIV/0!</v>
      </c>
      <c r="H117" s="805"/>
      <c r="I117" s="805"/>
      <c r="J117" s="805"/>
      <c r="K117" s="805"/>
      <c r="L117" s="805"/>
      <c r="M117" s="805"/>
      <c r="N117" s="805"/>
      <c r="O117" s="805"/>
      <c r="P117" s="806" t="e">
        <f t="shared" si="43"/>
        <v>#DIV/0!</v>
      </c>
      <c r="Q117" s="7" t="e">
        <f t="shared" si="44"/>
        <v>#DIV/0!</v>
      </c>
      <c r="R117" s="339" t="e">
        <f t="shared" si="45"/>
        <v>#DIV/0!</v>
      </c>
      <c r="S117" s="334" t="e">
        <f t="shared" si="46"/>
        <v>#DIV/0!</v>
      </c>
      <c r="T117" s="341" t="e">
        <f t="shared" si="50"/>
        <v>#DIV/0!</v>
      </c>
      <c r="U117" s="341" t="e">
        <f t="shared" si="47"/>
        <v>#DIV/0!</v>
      </c>
    </row>
    <row r="118" spans="1:21" hidden="1">
      <c r="A118" s="329">
        <f t="shared" si="49"/>
        <v>13500</v>
      </c>
      <c r="B118" s="329">
        <f t="shared" si="39"/>
        <v>0</v>
      </c>
      <c r="C118" s="328">
        <f t="shared" si="48"/>
        <v>0</v>
      </c>
      <c r="D118" s="328">
        <f t="shared" si="51"/>
        <v>0.59406880000000017</v>
      </c>
      <c r="E118" s="329">
        <f t="shared" si="40"/>
        <v>80</v>
      </c>
      <c r="F118" s="330" t="e">
        <f t="shared" si="41"/>
        <v>#DIV/0!</v>
      </c>
      <c r="G118" s="805" t="e">
        <f t="shared" si="42"/>
        <v>#DIV/0!</v>
      </c>
      <c r="H118" s="805"/>
      <c r="I118" s="805"/>
      <c r="J118" s="805"/>
      <c r="K118" s="805"/>
      <c r="L118" s="805"/>
      <c r="M118" s="805"/>
      <c r="N118" s="805"/>
      <c r="O118" s="805"/>
      <c r="P118" s="806" t="e">
        <f t="shared" si="43"/>
        <v>#DIV/0!</v>
      </c>
      <c r="Q118" s="7" t="e">
        <f t="shared" si="44"/>
        <v>#DIV/0!</v>
      </c>
      <c r="R118" s="339" t="e">
        <f t="shared" si="45"/>
        <v>#DIV/0!</v>
      </c>
      <c r="S118" s="334" t="e">
        <f t="shared" si="46"/>
        <v>#DIV/0!</v>
      </c>
      <c r="T118" s="341" t="e">
        <f t="shared" si="50"/>
        <v>#DIV/0!</v>
      </c>
      <c r="U118" s="341" t="e">
        <f t="shared" si="47"/>
        <v>#DIV/0!</v>
      </c>
    </row>
    <row r="119" spans="1:21" hidden="1">
      <c r="A119" s="329">
        <f t="shared" si="49"/>
        <v>14000</v>
      </c>
      <c r="B119" s="329">
        <f t="shared" si="39"/>
        <v>0</v>
      </c>
      <c r="C119" s="328">
        <f t="shared" si="48"/>
        <v>0</v>
      </c>
      <c r="D119" s="328">
        <f t="shared" si="51"/>
        <v>0.77228944000000022</v>
      </c>
      <c r="E119" s="329">
        <f t="shared" si="40"/>
        <v>80</v>
      </c>
      <c r="F119" s="330" t="e">
        <f t="shared" si="41"/>
        <v>#DIV/0!</v>
      </c>
      <c r="G119" s="805" t="e">
        <f t="shared" si="42"/>
        <v>#DIV/0!</v>
      </c>
      <c r="H119" s="805"/>
      <c r="I119" s="805"/>
      <c r="J119" s="805"/>
      <c r="K119" s="805"/>
      <c r="L119" s="805"/>
      <c r="M119" s="805"/>
      <c r="N119" s="805"/>
      <c r="O119" s="805"/>
      <c r="P119" s="806" t="e">
        <f t="shared" si="43"/>
        <v>#DIV/0!</v>
      </c>
      <c r="Q119" s="7" t="e">
        <f t="shared" si="44"/>
        <v>#DIV/0!</v>
      </c>
      <c r="R119" s="339" t="e">
        <f t="shared" si="45"/>
        <v>#DIV/0!</v>
      </c>
      <c r="S119" s="334" t="e">
        <f t="shared" si="46"/>
        <v>#DIV/0!</v>
      </c>
      <c r="T119" s="341" t="e">
        <f t="shared" si="50"/>
        <v>#DIV/0!</v>
      </c>
      <c r="U119" s="341" t="e">
        <f t="shared" si="47"/>
        <v>#DIV/0!</v>
      </c>
    </row>
    <row r="120" spans="1:21" hidden="1">
      <c r="A120" s="329">
        <f t="shared" si="49"/>
        <v>14500</v>
      </c>
      <c r="B120" s="329">
        <f t="shared" si="39"/>
        <v>0</v>
      </c>
      <c r="C120" s="328">
        <f t="shared" si="48"/>
        <v>0</v>
      </c>
      <c r="D120" s="328">
        <f t="shared" si="51"/>
        <v>1.0039762720000003</v>
      </c>
      <c r="E120" s="329">
        <f t="shared" si="40"/>
        <v>80</v>
      </c>
      <c r="F120" s="330" t="e">
        <f t="shared" si="41"/>
        <v>#DIV/0!</v>
      </c>
      <c r="G120" s="805" t="e">
        <f t="shared" si="42"/>
        <v>#DIV/0!</v>
      </c>
      <c r="H120" s="805"/>
      <c r="I120" s="805"/>
      <c r="J120" s="805"/>
      <c r="K120" s="805"/>
      <c r="L120" s="805"/>
      <c r="M120" s="805"/>
      <c r="N120" s="805"/>
      <c r="O120" s="805"/>
      <c r="P120" s="806" t="e">
        <f t="shared" si="43"/>
        <v>#DIV/0!</v>
      </c>
      <c r="Q120" s="7" t="e">
        <f t="shared" si="44"/>
        <v>#DIV/0!</v>
      </c>
      <c r="R120" s="339" t="e">
        <f t="shared" si="45"/>
        <v>#DIV/0!</v>
      </c>
      <c r="S120" s="334" t="e">
        <f t="shared" si="46"/>
        <v>#DIV/0!</v>
      </c>
      <c r="T120" s="341" t="e">
        <f t="shared" si="50"/>
        <v>#DIV/0!</v>
      </c>
      <c r="U120" s="341" t="e">
        <f t="shared" si="47"/>
        <v>#DIV/0!</v>
      </c>
    </row>
    <row r="121" spans="1:21" hidden="1">
      <c r="A121" s="329">
        <f t="shared" si="49"/>
        <v>15000</v>
      </c>
      <c r="B121" s="329">
        <f t="shared" si="39"/>
        <v>0</v>
      </c>
      <c r="C121" s="328">
        <f t="shared" si="48"/>
        <v>0</v>
      </c>
      <c r="D121" s="328">
        <f t="shared" si="51"/>
        <v>1.3051691536000005</v>
      </c>
      <c r="E121" s="329">
        <f t="shared" si="40"/>
        <v>80</v>
      </c>
      <c r="F121" s="330" t="e">
        <f t="shared" si="41"/>
        <v>#DIV/0!</v>
      </c>
      <c r="G121" s="805" t="e">
        <f t="shared" si="42"/>
        <v>#DIV/0!</v>
      </c>
      <c r="H121" s="805"/>
      <c r="I121" s="805"/>
      <c r="J121" s="805"/>
      <c r="K121" s="805"/>
      <c r="L121" s="805"/>
      <c r="M121" s="805"/>
      <c r="N121" s="805"/>
      <c r="O121" s="805"/>
      <c r="P121" s="806" t="e">
        <f t="shared" si="43"/>
        <v>#DIV/0!</v>
      </c>
      <c r="Q121" s="7" t="e">
        <f t="shared" si="44"/>
        <v>#DIV/0!</v>
      </c>
      <c r="R121" s="339" t="e">
        <f t="shared" si="45"/>
        <v>#DIV/0!</v>
      </c>
      <c r="S121" s="334" t="e">
        <f t="shared" si="46"/>
        <v>#DIV/0!</v>
      </c>
      <c r="T121" s="341" t="e">
        <f t="shared" si="50"/>
        <v>#DIV/0!</v>
      </c>
      <c r="U121" s="341" t="e">
        <f t="shared" si="47"/>
        <v>#DIV/0!</v>
      </c>
    </row>
    <row r="122" spans="1:21" hidden="1">
      <c r="A122" s="329">
        <f>A121+$B$105</f>
        <v>15500</v>
      </c>
      <c r="B122" s="329">
        <f t="shared" si="39"/>
        <v>0</v>
      </c>
      <c r="C122" s="328">
        <f t="shared" si="48"/>
        <v>0</v>
      </c>
      <c r="D122" s="328">
        <f t="shared" si="51"/>
        <v>1.6967198996800008</v>
      </c>
      <c r="E122" s="329">
        <f t="shared" si="40"/>
        <v>80</v>
      </c>
      <c r="F122" s="330" t="e">
        <f t="shared" si="41"/>
        <v>#DIV/0!</v>
      </c>
      <c r="G122" s="805" t="e">
        <f t="shared" si="42"/>
        <v>#DIV/0!</v>
      </c>
      <c r="H122" s="805"/>
      <c r="I122" s="805"/>
      <c r="J122" s="805"/>
      <c r="K122" s="805"/>
      <c r="L122" s="805"/>
      <c r="M122" s="805"/>
      <c r="N122" s="805"/>
      <c r="O122" s="805"/>
      <c r="P122" s="806" t="e">
        <f t="shared" si="43"/>
        <v>#DIV/0!</v>
      </c>
      <c r="Q122" s="7" t="e">
        <f t="shared" si="44"/>
        <v>#DIV/0!</v>
      </c>
      <c r="R122" s="339" t="e">
        <f t="shared" si="45"/>
        <v>#DIV/0!</v>
      </c>
      <c r="S122" s="334" t="e">
        <f t="shared" si="46"/>
        <v>#DIV/0!</v>
      </c>
      <c r="T122" s="341" t="e">
        <f t="shared" si="50"/>
        <v>#DIV/0!</v>
      </c>
      <c r="U122" s="341" t="e">
        <f t="shared" si="47"/>
        <v>#DIV/0!</v>
      </c>
    </row>
    <row r="123" spans="1:21" hidden="1"/>
    <row r="125" spans="1:21" ht="12.75" customHeight="1"/>
  </sheetData>
  <sheetProtection sheet="1" formatCells="0" formatColumns="0" formatRows="0"/>
  <mergeCells count="19">
    <mergeCell ref="B5:D5"/>
    <mergeCell ref="R10:S10"/>
    <mergeCell ref="L6:L7"/>
    <mergeCell ref="A37:C37"/>
    <mergeCell ref="D6:D7"/>
    <mergeCell ref="H6:H7"/>
    <mergeCell ref="A56:A58"/>
    <mergeCell ref="D52:E52"/>
    <mergeCell ref="R56:S56"/>
    <mergeCell ref="R57:S57"/>
    <mergeCell ref="R58:S58"/>
    <mergeCell ref="R50:S50"/>
    <mergeCell ref="R41:S41"/>
    <mergeCell ref="R60:S60"/>
    <mergeCell ref="B88:B89"/>
    <mergeCell ref="C88:C89"/>
    <mergeCell ref="D88:D89"/>
    <mergeCell ref="F88:F89"/>
    <mergeCell ref="R62:S62"/>
  </mergeCells>
  <conditionalFormatting sqref="E90:E101 F90:F102">
    <cfRule type="cellIs" dxfId="46" priority="1" stopIfTrue="1" operator="lessThan">
      <formula>0</formula>
    </cfRule>
  </conditionalFormatting>
  <hyperlinks>
    <hyperlink ref="B2" location="Lähtötiedot" display="Lähtötiedot" xr:uid="{00000000-0004-0000-18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0" max="16383" man="1"/>
    <brk id="104" max="7" man="1"/>
  </rowBreaks>
  <colBreaks count="1" manualBreakCount="1">
    <brk id="16"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ul21"/>
  <dimension ref="A1:K85"/>
  <sheetViews>
    <sheetView zoomScale="70" zoomScaleNormal="70" workbookViewId="0">
      <selection activeCell="R47" sqref="R47"/>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19" customWidth="1"/>
    <col min="7" max="7" width="12.42578125" customWidth="1"/>
    <col min="8" max="8" width="21.140625" customWidth="1"/>
    <col min="9" max="10" width="9.140625" customWidth="1"/>
    <col min="11" max="11" width="6.85546875" customWidth="1"/>
    <col min="12" max="16" width="9.140625" customWidth="1"/>
  </cols>
  <sheetData>
    <row r="1" spans="1:8" ht="18">
      <c r="A1" s="79" t="s">
        <v>680</v>
      </c>
    </row>
    <row r="2" spans="1:8" ht="18">
      <c r="A2" s="79"/>
      <c r="B2" s="1190" t="str">
        <f>Lähtötiedot!A43</f>
        <v>Laske Liha</v>
      </c>
      <c r="C2" s="246"/>
      <c r="D2" s="1992" t="s">
        <v>189</v>
      </c>
      <c r="E2" s="884" t="str">
        <f>Lähtötiedot!E4</f>
        <v>C</v>
      </c>
    </row>
    <row r="3" spans="1:8" ht="18">
      <c r="A3" s="247"/>
      <c r="B3" s="247" t="s">
        <v>188</v>
      </c>
      <c r="C3" s="247"/>
      <c r="D3" s="247"/>
      <c r="E3" s="1010">
        <f>Lähtötiedot!C4</f>
        <v>2027</v>
      </c>
      <c r="F3" s="247"/>
    </row>
    <row r="4" spans="1:8" ht="18">
      <c r="B4" s="249" t="s">
        <v>588</v>
      </c>
      <c r="D4" s="250"/>
      <c r="E4" s="627">
        <f>Lähtötiedot!C43</f>
        <v>0</v>
      </c>
      <c r="F4" s="247" t="s">
        <v>150</v>
      </c>
      <c r="H4" s="27" t="s">
        <v>681</v>
      </c>
    </row>
    <row r="5" spans="1:8" ht="15.75">
      <c r="A5" s="1" t="s">
        <v>660</v>
      </c>
      <c r="B5" s="249"/>
      <c r="C5" s="2717" t="s">
        <v>682</v>
      </c>
      <c r="D5" s="2717"/>
      <c r="E5" s="628">
        <v>12</v>
      </c>
      <c r="F5" s="629"/>
    </row>
    <row r="6" spans="1:8" ht="15.75">
      <c r="A6" s="1" t="s">
        <v>417</v>
      </c>
      <c r="B6" s="1" t="s">
        <v>418</v>
      </c>
      <c r="C6" s="252" t="s">
        <v>146</v>
      </c>
      <c r="D6" s="252" t="s">
        <v>147</v>
      </c>
      <c r="E6" s="252" t="s">
        <v>419</v>
      </c>
      <c r="F6" s="252" t="s">
        <v>235</v>
      </c>
      <c r="G6" s="521" t="s">
        <v>159</v>
      </c>
      <c r="H6" s="252" t="s">
        <v>590</v>
      </c>
    </row>
    <row r="7" spans="1:8" ht="15">
      <c r="A7" s="276" t="s">
        <v>683</v>
      </c>
      <c r="B7" s="276"/>
      <c r="C7" s="370" t="s">
        <v>137</v>
      </c>
      <c r="D7" s="276">
        <v>0</v>
      </c>
      <c r="E7" s="371">
        <v>0</v>
      </c>
      <c r="F7" s="172">
        <f t="shared" ref="F7:F17" si="0">D7*E7</f>
        <v>0</v>
      </c>
      <c r="G7" s="189" t="str">
        <f>IFERROR(F7/$F$18,"")</f>
        <v/>
      </c>
      <c r="H7" s="259">
        <f t="shared" ref="H7:H17" si="1">F7*$E$4</f>
        <v>0</v>
      </c>
    </row>
    <row r="8" spans="1:8" ht="15.75" thickBot="1">
      <c r="A8" s="260" t="s">
        <v>424</v>
      </c>
      <c r="B8" s="372" t="s">
        <v>594</v>
      </c>
      <c r="C8" s="262" t="s">
        <v>235</v>
      </c>
      <c r="D8" s="261">
        <v>1</v>
      </c>
      <c r="E8" s="263">
        <v>0</v>
      </c>
      <c r="F8" s="172">
        <f t="shared" si="0"/>
        <v>0</v>
      </c>
      <c r="G8" s="189" t="str">
        <f t="shared" ref="G8:G18" si="2">IFERROR(F8/$F$18,"")</f>
        <v/>
      </c>
      <c r="H8" s="259">
        <f t="shared" si="1"/>
        <v>0</v>
      </c>
    </row>
    <row r="9" spans="1:8" ht="15.75" thickBot="1">
      <c r="A9" s="260" t="s">
        <v>424</v>
      </c>
      <c r="B9" s="375" t="s">
        <v>594</v>
      </c>
      <c r="C9" s="266" t="s">
        <v>235</v>
      </c>
      <c r="D9" s="265">
        <v>1</v>
      </c>
      <c r="E9" s="267">
        <v>0</v>
      </c>
      <c r="F9" s="172">
        <f t="shared" si="0"/>
        <v>0</v>
      </c>
      <c r="G9" s="189" t="str">
        <f t="shared" si="2"/>
        <v/>
      </c>
      <c r="H9" s="259">
        <f t="shared" si="1"/>
        <v>0</v>
      </c>
    </row>
    <row r="10" spans="1:8" ht="15.75" thickBot="1">
      <c r="A10" s="260" t="s">
        <v>424</v>
      </c>
      <c r="B10" s="375" t="s">
        <v>594</v>
      </c>
      <c r="C10" s="266" t="s">
        <v>235</v>
      </c>
      <c r="D10" s="265">
        <v>1</v>
      </c>
      <c r="E10" s="267">
        <v>0</v>
      </c>
      <c r="F10" s="258">
        <f t="shared" si="0"/>
        <v>0</v>
      </c>
      <c r="G10" s="189" t="str">
        <f t="shared" si="2"/>
        <v/>
      </c>
      <c r="H10" s="259">
        <f t="shared" si="1"/>
        <v>0</v>
      </c>
    </row>
    <row r="11" spans="1:8" ht="15.75" thickBot="1">
      <c r="A11" s="260" t="s">
        <v>424</v>
      </c>
      <c r="B11" s="375" t="s">
        <v>594</v>
      </c>
      <c r="C11" s="266" t="s">
        <v>235</v>
      </c>
      <c r="D11" s="265">
        <v>1</v>
      </c>
      <c r="E11" s="267">
        <v>0</v>
      </c>
      <c r="F11" s="258">
        <f t="shared" si="0"/>
        <v>0</v>
      </c>
      <c r="G11" s="189" t="str">
        <f t="shared" si="2"/>
        <v/>
      </c>
      <c r="H11" s="259">
        <f t="shared" si="1"/>
        <v>0</v>
      </c>
    </row>
    <row r="12" spans="1:8" ht="15.75" thickBot="1">
      <c r="A12" s="260" t="s">
        <v>424</v>
      </c>
      <c r="B12" s="630" t="s">
        <v>594</v>
      </c>
      <c r="C12" s="270" t="s">
        <v>235</v>
      </c>
      <c r="D12" s="269">
        <v>1</v>
      </c>
      <c r="E12" s="271">
        <v>0</v>
      </c>
      <c r="F12" s="258">
        <f t="shared" si="0"/>
        <v>0</v>
      </c>
      <c r="G12" s="189" t="str">
        <f t="shared" si="2"/>
        <v/>
      </c>
      <c r="H12" s="259">
        <f t="shared" si="1"/>
        <v>0</v>
      </c>
    </row>
    <row r="13" spans="1:8" ht="15">
      <c r="A13" s="273" t="s">
        <v>684</v>
      </c>
      <c r="B13" s="631"/>
      <c r="C13" s="274"/>
      <c r="D13" s="273"/>
      <c r="E13" s="275"/>
      <c r="F13" s="172">
        <f t="shared" si="0"/>
        <v>0</v>
      </c>
      <c r="G13" s="189" t="str">
        <f t="shared" si="2"/>
        <v/>
      </c>
      <c r="H13" s="259">
        <f t="shared" si="1"/>
        <v>0</v>
      </c>
    </row>
    <row r="14" spans="1:8" ht="15">
      <c r="A14" s="277"/>
      <c r="B14" s="277"/>
      <c r="C14" s="165"/>
      <c r="D14" s="277"/>
      <c r="E14" s="278"/>
      <c r="F14" s="172">
        <f t="shared" si="0"/>
        <v>0</v>
      </c>
      <c r="G14" s="189" t="str">
        <f t="shared" si="2"/>
        <v/>
      </c>
      <c r="H14" s="259">
        <f t="shared" si="1"/>
        <v>0</v>
      </c>
    </row>
    <row r="15" spans="1:8" ht="15">
      <c r="A15" s="277"/>
      <c r="B15" s="277"/>
      <c r="C15" s="165"/>
      <c r="D15" s="277"/>
      <c r="E15" s="278"/>
      <c r="F15" s="172">
        <f t="shared" si="0"/>
        <v>0</v>
      </c>
      <c r="G15" s="189" t="str">
        <f t="shared" si="2"/>
        <v/>
      </c>
      <c r="H15" s="259">
        <f t="shared" si="1"/>
        <v>0</v>
      </c>
    </row>
    <row r="16" spans="1:8" ht="15">
      <c r="A16" s="276"/>
      <c r="B16" s="277"/>
      <c r="C16" s="165"/>
      <c r="D16" s="277"/>
      <c r="E16" s="278">
        <v>0</v>
      </c>
      <c r="F16" s="172">
        <f t="shared" si="0"/>
        <v>0</v>
      </c>
      <c r="G16" s="189" t="str">
        <f t="shared" si="2"/>
        <v/>
      </c>
      <c r="H16" s="259">
        <f t="shared" si="1"/>
        <v>0</v>
      </c>
    </row>
    <row r="17" spans="1:11" ht="15">
      <c r="A17" s="279"/>
      <c r="B17" s="277"/>
      <c r="C17" s="165"/>
      <c r="D17" s="279"/>
      <c r="E17" s="278">
        <v>0</v>
      </c>
      <c r="F17" s="172">
        <f t="shared" si="0"/>
        <v>0</v>
      </c>
      <c r="G17" s="189" t="str">
        <f t="shared" si="2"/>
        <v/>
      </c>
      <c r="H17" s="259">
        <f t="shared" si="1"/>
        <v>0</v>
      </c>
    </row>
    <row r="18" spans="1:11" ht="15.75">
      <c r="A18" s="1" t="s">
        <v>426</v>
      </c>
      <c r="B18" s="1"/>
      <c r="C18" s="14"/>
      <c r="D18" s="14"/>
      <c r="E18" s="14"/>
      <c r="F18" s="178">
        <f>SUM(F7:F17)</f>
        <v>0</v>
      </c>
      <c r="G18" s="189" t="str">
        <f t="shared" si="2"/>
        <v/>
      </c>
      <c r="H18" s="281">
        <f>SUM(H7:H17)</f>
        <v>0</v>
      </c>
    </row>
    <row r="19" spans="1:11">
      <c r="G19" s="52"/>
      <c r="H19" s="52"/>
    </row>
    <row r="20" spans="1:11">
      <c r="G20" s="52"/>
      <c r="H20" s="52"/>
    </row>
    <row r="21" spans="1:11" s="247" customFormat="1" ht="18">
      <c r="A21" s="86" t="s">
        <v>662</v>
      </c>
      <c r="B21" s="1" t="s">
        <v>427</v>
      </c>
      <c r="C21" s="252" t="s">
        <v>146</v>
      </c>
      <c r="D21" s="252" t="s">
        <v>147</v>
      </c>
      <c r="E21" s="252" t="s">
        <v>428</v>
      </c>
      <c r="F21" s="252" t="s">
        <v>235</v>
      </c>
      <c r="G21" s="521" t="s">
        <v>159</v>
      </c>
      <c r="H21" s="252" t="s">
        <v>590</v>
      </c>
    </row>
    <row r="22" spans="1:11" s="14" customFormat="1" ht="18">
      <c r="A22" s="377" t="s">
        <v>604</v>
      </c>
      <c r="B22" s="378" t="s">
        <v>685</v>
      </c>
      <c r="C22" s="379" t="s">
        <v>606</v>
      </c>
      <c r="D22" s="908">
        <v>1</v>
      </c>
      <c r="E22" s="381">
        <v>0</v>
      </c>
      <c r="F22" s="258">
        <f t="shared" ref="F22:F38" si="3">D22*E22</f>
        <v>0</v>
      </c>
      <c r="G22" s="189" t="str">
        <f t="shared" ref="G22:G39" si="4">IFERROR(F22/$F$63,"")</f>
        <v/>
      </c>
      <c r="H22" s="259">
        <f t="shared" ref="H22:H38" si="5">F22*$E$4</f>
        <v>0</v>
      </c>
      <c r="I22" t="s">
        <v>607</v>
      </c>
      <c r="J22" s="247"/>
      <c r="K22" s="247"/>
    </row>
    <row r="23" spans="1:11" s="14" customFormat="1" ht="15.75" thickBot="1">
      <c r="A23" s="377" t="s">
        <v>608</v>
      </c>
      <c r="B23" s="378" t="s">
        <v>685</v>
      </c>
      <c r="C23" s="379" t="s">
        <v>606</v>
      </c>
      <c r="D23" s="908">
        <v>0</v>
      </c>
      <c r="E23" s="381">
        <v>0</v>
      </c>
      <c r="F23" s="172">
        <f t="shared" si="3"/>
        <v>0</v>
      </c>
      <c r="G23" s="189" t="str">
        <f t="shared" si="4"/>
        <v/>
      </c>
      <c r="H23" s="259">
        <f t="shared" si="5"/>
        <v>0</v>
      </c>
      <c r="I23" t="s">
        <v>610</v>
      </c>
    </row>
    <row r="24" spans="1:11" s="14" customFormat="1" ht="15">
      <c r="A24" s="277" t="s">
        <v>686</v>
      </c>
      <c r="B24" s="277"/>
      <c r="C24" s="165" t="s">
        <v>137</v>
      </c>
      <c r="D24" s="282">
        <v>0</v>
      </c>
      <c r="E24" s="867">
        <v>0</v>
      </c>
      <c r="F24" s="172">
        <f t="shared" si="3"/>
        <v>0</v>
      </c>
      <c r="G24" s="189" t="str">
        <f t="shared" si="4"/>
        <v/>
      </c>
      <c r="H24" s="259">
        <f t="shared" si="5"/>
        <v>0</v>
      </c>
      <c r="I24"/>
    </row>
    <row r="25" spans="1:11" s="14" customFormat="1" ht="15">
      <c r="A25" s="277" t="s">
        <v>687</v>
      </c>
      <c r="B25" s="277"/>
      <c r="C25" s="165" t="s">
        <v>137</v>
      </c>
      <c r="D25" s="282">
        <v>0</v>
      </c>
      <c r="E25" s="867">
        <v>0</v>
      </c>
      <c r="F25" s="172">
        <f t="shared" si="3"/>
        <v>0</v>
      </c>
      <c r="G25" s="189" t="str">
        <f t="shared" si="4"/>
        <v/>
      </c>
      <c r="H25" s="259">
        <f t="shared" si="5"/>
        <v>0</v>
      </c>
      <c r="I25"/>
    </row>
    <row r="26" spans="1:11" s="14" customFormat="1" ht="15">
      <c r="A26" s="277" t="s">
        <v>688</v>
      </c>
      <c r="B26" s="277"/>
      <c r="C26" s="165" t="s">
        <v>137</v>
      </c>
      <c r="D26" s="282">
        <v>0</v>
      </c>
      <c r="E26" s="867">
        <v>0</v>
      </c>
      <c r="F26" s="172">
        <f t="shared" si="3"/>
        <v>0</v>
      </c>
      <c r="G26" s="189" t="str">
        <f t="shared" si="4"/>
        <v/>
      </c>
      <c r="H26" s="259">
        <f t="shared" si="5"/>
        <v>0</v>
      </c>
      <c r="I26"/>
    </row>
    <row r="27" spans="1:11" s="14" customFormat="1" ht="15">
      <c r="A27" s="277" t="s">
        <v>689</v>
      </c>
      <c r="B27" s="277"/>
      <c r="C27" s="165" t="s">
        <v>137</v>
      </c>
      <c r="D27" s="282">
        <v>0</v>
      </c>
      <c r="E27" s="867">
        <v>0</v>
      </c>
      <c r="F27" s="172">
        <f t="shared" si="3"/>
        <v>0</v>
      </c>
      <c r="G27" s="189" t="str">
        <f t="shared" si="4"/>
        <v/>
      </c>
      <c r="H27" s="259">
        <f t="shared" si="5"/>
        <v>0</v>
      </c>
      <c r="I27"/>
    </row>
    <row r="28" spans="1:11" s="14" customFormat="1" ht="15">
      <c r="A28" s="277" t="s">
        <v>619</v>
      </c>
      <c r="B28" s="277"/>
      <c r="C28" s="165"/>
      <c r="D28" s="282">
        <v>0</v>
      </c>
      <c r="E28" s="867">
        <v>0</v>
      </c>
      <c r="F28" s="172">
        <f t="shared" si="3"/>
        <v>0</v>
      </c>
      <c r="G28" s="189" t="str">
        <f t="shared" si="4"/>
        <v/>
      </c>
      <c r="H28" s="259">
        <f t="shared" si="5"/>
        <v>0</v>
      </c>
      <c r="I28"/>
    </row>
    <row r="29" spans="1:11" s="14" customFormat="1" ht="15">
      <c r="A29" s="277" t="s">
        <v>690</v>
      </c>
      <c r="B29" s="277" t="s">
        <v>691</v>
      </c>
      <c r="C29" s="165"/>
      <c r="D29" s="282">
        <v>0</v>
      </c>
      <c r="E29" s="632">
        <v>0</v>
      </c>
      <c r="F29" s="172">
        <f t="shared" si="3"/>
        <v>0</v>
      </c>
      <c r="G29" s="189" t="str">
        <f t="shared" si="4"/>
        <v/>
      </c>
      <c r="H29" s="259">
        <f t="shared" si="5"/>
        <v>0</v>
      </c>
      <c r="I29"/>
    </row>
    <row r="30" spans="1:11" s="14" customFormat="1" ht="15">
      <c r="A30" s="277" t="s">
        <v>28</v>
      </c>
      <c r="B30" s="277"/>
      <c r="C30" s="165"/>
      <c r="D30" s="282">
        <v>0</v>
      </c>
      <c r="E30" s="632">
        <v>0</v>
      </c>
      <c r="F30" s="172">
        <f t="shared" si="3"/>
        <v>0</v>
      </c>
      <c r="G30" s="189" t="str">
        <f t="shared" si="4"/>
        <v/>
      </c>
      <c r="H30" s="259">
        <f t="shared" si="5"/>
        <v>0</v>
      </c>
      <c r="I30"/>
    </row>
    <row r="31" spans="1:11" ht="15">
      <c r="A31" s="277" t="s">
        <v>620</v>
      </c>
      <c r="B31" s="277"/>
      <c r="C31" s="165"/>
      <c r="D31" s="282">
        <v>0</v>
      </c>
      <c r="E31" s="632">
        <v>0</v>
      </c>
      <c r="F31" s="172">
        <f t="shared" si="3"/>
        <v>0</v>
      </c>
      <c r="G31" s="189" t="str">
        <f t="shared" si="4"/>
        <v/>
      </c>
      <c r="H31" s="259">
        <f t="shared" si="5"/>
        <v>0</v>
      </c>
      <c r="J31" s="14"/>
      <c r="K31" s="14"/>
    </row>
    <row r="32" spans="1:11" ht="15">
      <c r="A32" s="277"/>
      <c r="B32" s="277"/>
      <c r="C32" s="165"/>
      <c r="D32" s="282">
        <v>0</v>
      </c>
      <c r="E32" s="632">
        <v>0</v>
      </c>
      <c r="F32" s="172">
        <f t="shared" si="3"/>
        <v>0</v>
      </c>
      <c r="G32" s="189" t="str">
        <f t="shared" si="4"/>
        <v/>
      </c>
      <c r="H32" s="259">
        <f t="shared" si="5"/>
        <v>0</v>
      </c>
    </row>
    <row r="33" spans="1:9" ht="15">
      <c r="A33" s="277"/>
      <c r="B33" s="277"/>
      <c r="C33" s="165"/>
      <c r="D33" s="282">
        <v>0</v>
      </c>
      <c r="E33" s="632">
        <v>0</v>
      </c>
      <c r="F33" s="172">
        <f t="shared" si="3"/>
        <v>0</v>
      </c>
      <c r="G33" s="189" t="str">
        <f t="shared" si="4"/>
        <v/>
      </c>
      <c r="H33" s="259">
        <f t="shared" si="5"/>
        <v>0</v>
      </c>
    </row>
    <row r="34" spans="1:9" ht="15">
      <c r="A34" s="277"/>
      <c r="B34" s="277"/>
      <c r="C34" s="165"/>
      <c r="D34" s="282">
        <v>0</v>
      </c>
      <c r="E34" s="632">
        <v>0</v>
      </c>
      <c r="F34" s="172">
        <f t="shared" si="3"/>
        <v>0</v>
      </c>
      <c r="G34" s="189" t="str">
        <f t="shared" si="4"/>
        <v/>
      </c>
      <c r="H34" s="259">
        <f t="shared" si="5"/>
        <v>0</v>
      </c>
    </row>
    <row r="35" spans="1:9" ht="15">
      <c r="A35" s="1545" t="s">
        <v>444</v>
      </c>
      <c r="B35" s="1549" t="e">
        <f>IF(E5&gt;0,SUMIF('Muut kustannustiedot'!$H$38:$H$48,"eläin",'Muut kustannustiedot'!$V$38:$V$48)*Lähtötiedot!C77,0)</f>
        <v>#VALUE!</v>
      </c>
      <c r="C35" s="1541" t="s">
        <v>235</v>
      </c>
      <c r="D35" s="1152">
        <v>1</v>
      </c>
      <c r="E35" s="1550" t="e">
        <f>B35*D35</f>
        <v>#VALUE!</v>
      </c>
      <c r="F35" s="1551">
        <f>IF(E4&gt;0,D35*E35/E4,0)</f>
        <v>0</v>
      </c>
      <c r="G35" s="189" t="str">
        <f t="shared" si="4"/>
        <v/>
      </c>
      <c r="H35" s="259" t="e">
        <f>E35*D35</f>
        <v>#VALUE!</v>
      </c>
    </row>
    <row r="36" spans="1:9" ht="15.75">
      <c r="A36" s="2697" t="s">
        <v>622</v>
      </c>
      <c r="B36" s="2697"/>
      <c r="C36" s="2697"/>
      <c r="D36" s="2697"/>
      <c r="E36" s="2697"/>
      <c r="F36" s="633">
        <f>SUM(F22:F35)</f>
        <v>0</v>
      </c>
      <c r="G36" s="189" t="str">
        <f t="shared" si="4"/>
        <v/>
      </c>
      <c r="H36" s="386" t="e">
        <f>SUM(H22:H35)</f>
        <v>#VALUE!</v>
      </c>
    </row>
    <row r="37" spans="1:9" ht="15">
      <c r="A37" s="284" t="s">
        <v>623</v>
      </c>
      <c r="B37" s="387" t="s">
        <v>624</v>
      </c>
      <c r="C37" s="285" t="s">
        <v>159</v>
      </c>
      <c r="D37" s="176">
        <v>0</v>
      </c>
      <c r="E37" s="287">
        <v>0.01</v>
      </c>
      <c r="F37" s="172">
        <f t="shared" si="3"/>
        <v>0</v>
      </c>
      <c r="G37" s="189" t="str">
        <f t="shared" si="4"/>
        <v/>
      </c>
      <c r="H37" s="259">
        <f t="shared" si="5"/>
        <v>0</v>
      </c>
      <c r="I37" t="s">
        <v>625</v>
      </c>
    </row>
    <row r="38" spans="1:9" ht="15">
      <c r="A38" s="284" t="s">
        <v>447</v>
      </c>
      <c r="B38" s="388"/>
      <c r="C38" s="285" t="s">
        <v>159</v>
      </c>
      <c r="D38" s="286">
        <f>C43*D43</f>
        <v>15.9</v>
      </c>
      <c r="E38" s="287">
        <v>0.01</v>
      </c>
      <c r="F38" s="172">
        <f t="shared" si="3"/>
        <v>0.159</v>
      </c>
      <c r="G38" s="189" t="str">
        <f t="shared" si="4"/>
        <v/>
      </c>
      <c r="H38" s="259">
        <f t="shared" si="5"/>
        <v>0</v>
      </c>
      <c r="I38" t="s">
        <v>520</v>
      </c>
    </row>
    <row r="39" spans="1:9" ht="15.75">
      <c r="A39" s="1" t="s">
        <v>448</v>
      </c>
      <c r="B39" s="1"/>
      <c r="D39" s="14"/>
      <c r="E39" s="14"/>
      <c r="F39" s="178">
        <f>SUM(F22:F35,F37:F38)</f>
        <v>0.159</v>
      </c>
      <c r="G39" s="189" t="str">
        <f t="shared" si="4"/>
        <v/>
      </c>
      <c r="H39" s="288" t="e">
        <f>SUM(H22:H35,H37:H38)</f>
        <v>#VALUE!</v>
      </c>
    </row>
    <row r="40" spans="1:9" ht="15.75">
      <c r="A40" s="1" t="s">
        <v>449</v>
      </c>
      <c r="B40" s="52" t="s">
        <v>450</v>
      </c>
      <c r="D40" s="14"/>
      <c r="E40" s="14"/>
      <c r="F40" s="291">
        <f>F18-F39</f>
        <v>-0.159</v>
      </c>
      <c r="G40" s="189"/>
      <c r="H40" s="634" t="e">
        <f>H18-H39</f>
        <v>#VALUE!</v>
      </c>
    </row>
    <row r="41" spans="1:9" ht="15.75">
      <c r="A41" s="1"/>
      <c r="B41" s="1"/>
      <c r="D41" s="14"/>
      <c r="E41" s="14"/>
      <c r="F41" s="291"/>
      <c r="G41" s="52"/>
      <c r="H41" s="52"/>
    </row>
    <row r="42" spans="1:9">
      <c r="C42" s="292" t="s">
        <v>451</v>
      </c>
      <c r="D42" s="293" t="s">
        <v>452</v>
      </c>
      <c r="G42" s="52"/>
      <c r="H42" s="52"/>
    </row>
    <row r="43" spans="1:9">
      <c r="A43" s="294" t="s">
        <v>453</v>
      </c>
      <c r="B43" s="295" t="s">
        <v>454</v>
      </c>
      <c r="C43" s="296">
        <f>SUM(F22:F35)+F47</f>
        <v>79.5</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5</v>
      </c>
      <c r="E47" s="299">
        <v>15.9</v>
      </c>
      <c r="F47" s="172">
        <f>D47*E47</f>
        <v>79.5</v>
      </c>
      <c r="G47" s="389" t="str">
        <f>IFERROR(F47/$F$63,"")</f>
        <v/>
      </c>
      <c r="H47" s="300">
        <f>F47*$E$4</f>
        <v>0</v>
      </c>
    </row>
    <row r="48" spans="1:9" ht="15">
      <c r="A48" s="187"/>
      <c r="B48" s="187"/>
      <c r="C48" s="301"/>
      <c r="D48" s="301"/>
      <c r="E48" s="301"/>
      <c r="F48" s="301"/>
      <c r="G48" s="189"/>
      <c r="H48" s="52"/>
    </row>
    <row r="49" spans="1:9" ht="18">
      <c r="A49" s="1" t="s">
        <v>460</v>
      </c>
      <c r="B49" s="52" t="s">
        <v>461</v>
      </c>
      <c r="C49" s="301"/>
      <c r="D49" s="301"/>
      <c r="E49" s="301"/>
      <c r="F49" s="289">
        <f>F40-F47</f>
        <v>-79.659000000000006</v>
      </c>
      <c r="G49" s="189"/>
      <c r="H49" s="635" t="e">
        <f>H40-H47</f>
        <v>#VALUE!</v>
      </c>
    </row>
    <row r="50" spans="1:9" ht="18">
      <c r="A50" s="1"/>
      <c r="B50" s="52"/>
      <c r="C50" s="301"/>
      <c r="D50" s="2720" t="s">
        <v>692</v>
      </c>
      <c r="E50" s="2720"/>
      <c r="F50" s="289" t="s">
        <v>240</v>
      </c>
      <c r="G50" s="189"/>
      <c r="H50" s="302"/>
    </row>
    <row r="51" spans="1:9" ht="36" customHeight="1">
      <c r="A51" s="1" t="s">
        <v>693</v>
      </c>
      <c r="B51" s="52"/>
      <c r="C51" s="2718" t="s">
        <v>694</v>
      </c>
      <c r="D51" s="2718" t="s">
        <v>695</v>
      </c>
      <c r="G51" s="189"/>
      <c r="H51" s="302"/>
    </row>
    <row r="52" spans="1:9" ht="15" customHeight="1">
      <c r="A52" s="187"/>
      <c r="B52" s="187"/>
      <c r="C52" s="2718"/>
      <c r="D52" s="2718"/>
      <c r="E52" s="301"/>
      <c r="F52" s="2715" t="str">
        <f>F50&amp;"/ ajanjakso"</f>
        <v>€/eläin/ ajanjakso</v>
      </c>
      <c r="G52" s="189"/>
      <c r="H52" s="52"/>
    </row>
    <row r="53" spans="1:9" ht="15" customHeight="1">
      <c r="A53" s="14"/>
      <c r="B53" s="14"/>
      <c r="C53" s="2718"/>
      <c r="D53" s="2718"/>
      <c r="E53" s="2715" t="str">
        <f>D50&amp;"/vuosi"</f>
        <v>€/tila/vuosi</v>
      </c>
      <c r="F53" s="2715"/>
      <c r="G53" s="189"/>
    </row>
    <row r="54" spans="1:9" ht="15.75" customHeight="1" thickBot="1">
      <c r="A54" s="14"/>
      <c r="B54" s="14"/>
      <c r="C54" s="2719"/>
      <c r="D54" s="2719"/>
      <c r="E54" s="2716"/>
      <c r="F54" s="2716"/>
      <c r="G54" s="1928" t="s">
        <v>159</v>
      </c>
    </row>
    <row r="55" spans="1:9" ht="16.5" thickBot="1">
      <c r="A55" s="2677" t="s">
        <v>467</v>
      </c>
      <c r="B55" s="878" t="s">
        <v>231</v>
      </c>
      <c r="C55" s="1927">
        <f>IF($E$5&gt;12,100%/12*$E$5,100%)</f>
        <v>1</v>
      </c>
      <c r="D55" s="1234">
        <v>0</v>
      </c>
      <c r="E55" s="879" t="str">
        <f>Lähtötiedot!D77</f>
        <v/>
      </c>
      <c r="F55" s="1926" t="e">
        <f>(E55/$E$4*IF(D55&gt;0,D55,C55))</f>
        <v>#VALUE!</v>
      </c>
      <c r="G55" s="877" t="e">
        <f>F55/$F$63</f>
        <v>#VALUE!</v>
      </c>
    </row>
    <row r="56" spans="1:9" ht="16.5" thickBot="1">
      <c r="A56" s="2678"/>
      <c r="B56" s="878" t="s">
        <v>232</v>
      </c>
      <c r="C56" s="1927">
        <f t="shared" ref="C56:C57" si="6">IF($E$5&gt;12,100%/12*$E$5,100%)</f>
        <v>1</v>
      </c>
      <c r="D56" s="1235">
        <v>0</v>
      </c>
      <c r="E56" s="880" t="str">
        <f>Lähtötiedot!E77</f>
        <v/>
      </c>
      <c r="F56" s="1926" t="e">
        <f>(E56/$E$4*IF(D56&gt;0,D56,C56))</f>
        <v>#VALUE!</v>
      </c>
      <c r="G56" s="877" t="e">
        <f t="shared" ref="G56:G57" si="7">F56/$F$63</f>
        <v>#VALUE!</v>
      </c>
    </row>
    <row r="57" spans="1:9" ht="16.5" thickBot="1">
      <c r="A57" s="2679"/>
      <c r="B57" s="874" t="s">
        <v>628</v>
      </c>
      <c r="C57" s="1927">
        <f t="shared" si="6"/>
        <v>1</v>
      </c>
      <c r="D57" s="1236">
        <v>0</v>
      </c>
      <c r="E57" s="872" t="e">
        <f>Lähtötiedot!G77+Lähtötiedot!F77</f>
        <v>#VALUE!</v>
      </c>
      <c r="F57" s="1926" t="e">
        <f>(E57/$E$4*IF(D57&gt;0,D57,C57))</f>
        <v>#VALUE!</v>
      </c>
      <c r="G57" s="877" t="e">
        <f t="shared" si="7"/>
        <v>#VALUE!</v>
      </c>
    </row>
    <row r="58" spans="1:9" ht="15">
      <c r="A58" s="14"/>
      <c r="B58" s="14"/>
      <c r="E58" s="13"/>
      <c r="F58" s="10"/>
      <c r="G58" s="189"/>
    </row>
    <row r="59" spans="1:9" ht="15.75">
      <c r="A59" s="1"/>
      <c r="B59" s="14"/>
      <c r="E59" s="391"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#VALUE!</v>
      </c>
      <c r="G61" s="167"/>
      <c r="H61" s="634" t="e">
        <f>H49-E59</f>
        <v>#VALUE!</v>
      </c>
    </row>
    <row r="62" spans="1:9" ht="15">
      <c r="D62" s="14"/>
      <c r="E62" s="14"/>
      <c r="F62" s="301"/>
    </row>
    <row r="63" spans="1:9" ht="15.75">
      <c r="A63" s="1" t="s">
        <v>663</v>
      </c>
      <c r="B63" s="1"/>
      <c r="D63" s="14"/>
      <c r="E63" s="14"/>
      <c r="F63" s="308" t="e">
        <f>(F39+F47+F59)</f>
        <v>#VALUE!</v>
      </c>
      <c r="G63" s="1" t="str">
        <f>IFERROR(SUM(G39+G47+G59),"")</f>
        <v/>
      </c>
      <c r="H63" s="309"/>
      <c r="I63" t="s">
        <v>474</v>
      </c>
    </row>
    <row r="64" spans="1:9" ht="15.75">
      <c r="A64" s="1" t="s">
        <v>696</v>
      </c>
      <c r="F64" s="308">
        <f>F18</f>
        <v>0</v>
      </c>
      <c r="H64" s="173"/>
    </row>
    <row r="65" spans="1:9" ht="15.75">
      <c r="A65" s="1" t="s">
        <v>697</v>
      </c>
      <c r="F65" s="308">
        <f>SUM(F7,F13:F14,F15)</f>
        <v>0</v>
      </c>
      <c r="H65" s="173"/>
    </row>
    <row r="66" spans="1:9" ht="15.75">
      <c r="A66" s="1" t="s">
        <v>631</v>
      </c>
      <c r="B66" s="1"/>
      <c r="F66" s="308" t="e">
        <f>F64-F63</f>
        <v>#VALUE!</v>
      </c>
      <c r="G66" s="189"/>
      <c r="H66" s="310"/>
    </row>
    <row r="67" spans="1:9" ht="15.75">
      <c r="A67" s="1" t="s">
        <v>632</v>
      </c>
      <c r="B67" s="1"/>
      <c r="F67" s="308" t="e">
        <f>F65-F63</f>
        <v>#VALUE!</v>
      </c>
      <c r="G67" s="189"/>
      <c r="H67" s="310"/>
    </row>
    <row r="69" spans="1:9" ht="15.75">
      <c r="A69" s="1" t="s">
        <v>698</v>
      </c>
      <c r="B69" s="1"/>
    </row>
    <row r="70" spans="1:9">
      <c r="C70" s="311" t="s">
        <v>147</v>
      </c>
      <c r="D70" s="311" t="s">
        <v>240</v>
      </c>
      <c r="E70" s="312" t="s">
        <v>482</v>
      </c>
    </row>
    <row r="71" spans="1:9" ht="15">
      <c r="A71" s="14" t="s">
        <v>699</v>
      </c>
      <c r="B71" s="14"/>
      <c r="C71" s="14"/>
      <c r="D71" s="172" t="e">
        <f>F63</f>
        <v>#VALUE!</v>
      </c>
      <c r="E71" s="313"/>
    </row>
    <row r="72" spans="1:9" ht="15">
      <c r="A72" s="315" t="s">
        <v>700</v>
      </c>
      <c r="B72" s="315"/>
      <c r="C72" s="316">
        <f>D7</f>
        <v>0</v>
      </c>
      <c r="D72" s="317"/>
      <c r="E72" s="313"/>
    </row>
    <row r="73" spans="1:9" ht="18">
      <c r="A73" s="1" t="s">
        <v>582</v>
      </c>
      <c r="B73" s="1"/>
      <c r="C73" s="14"/>
      <c r="D73" s="313"/>
      <c r="E73" s="340" t="e">
        <f>D71/C72</f>
        <v>#VALUE!</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#VALUE!</v>
      </c>
      <c r="G75" s="81"/>
      <c r="H75" s="81"/>
      <c r="I75" t="s">
        <v>638</v>
      </c>
    </row>
    <row r="78" spans="1:9">
      <c r="A78" s="3" t="s">
        <v>97</v>
      </c>
    </row>
    <row r="79" spans="1:9">
      <c r="A79" t="s">
        <v>639</v>
      </c>
    </row>
    <row r="80" spans="1:9">
      <c r="B80" t="s">
        <v>493</v>
      </c>
      <c r="E80" s="636">
        <f>F39</f>
        <v>0.159</v>
      </c>
    </row>
    <row r="81" spans="2:5">
      <c r="B81" t="str">
        <f>A47</f>
        <v>Työkustannus (ihmistyö)</v>
      </c>
      <c r="E81" s="636">
        <f>F47</f>
        <v>79.5</v>
      </c>
    </row>
    <row r="82" spans="2:5">
      <c r="B82" t="s">
        <v>470</v>
      </c>
      <c r="E82" s="636" t="e">
        <f>F59</f>
        <v>#VALUE!</v>
      </c>
    </row>
    <row r="83" spans="2:5">
      <c r="B83" s="3" t="s">
        <v>494</v>
      </c>
      <c r="E83" s="637" t="e">
        <f>SUM(E80:E82)</f>
        <v>#VALUE!</v>
      </c>
    </row>
    <row r="84" spans="2:5">
      <c r="B84" t="s">
        <v>701</v>
      </c>
      <c r="E84" s="58">
        <f>D7</f>
        <v>0</v>
      </c>
    </row>
    <row r="85" spans="2:5">
      <c r="B85" t="s">
        <v>702</v>
      </c>
      <c r="C85" t="s">
        <v>497</v>
      </c>
      <c r="E85" s="638" t="e">
        <f>E83/E84</f>
        <v>#VALUE!</v>
      </c>
    </row>
  </sheetData>
  <sheetProtection sheet="1" formatCells="0" formatColumns="0" formatRows="0"/>
  <mergeCells count="8">
    <mergeCell ref="F52:F54"/>
    <mergeCell ref="C5:D5"/>
    <mergeCell ref="A36:E36"/>
    <mergeCell ref="A55:A57"/>
    <mergeCell ref="C51:C54"/>
    <mergeCell ref="E53:E54"/>
    <mergeCell ref="D50:E50"/>
    <mergeCell ref="D51:D54"/>
  </mergeCells>
  <hyperlinks>
    <hyperlink ref="H4" location="Energiantarve sonnit ja hiehot!A1" display="Sonnin energiarve" xr:uid="{00000000-0004-0000-1900-000000000000}"/>
    <hyperlink ref="B2" location="Lähtötiedot" display="Lähtötiedot" xr:uid="{00000000-0004-0000-1900-000001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86" max="7" man="1"/>
  </rowBreaks>
  <colBreaks count="1" manualBreakCount="1">
    <brk id="8"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ul23"/>
  <dimension ref="A1:K92"/>
  <sheetViews>
    <sheetView zoomScale="70" zoomScaleNormal="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20.140625" customWidth="1"/>
    <col min="7" max="7" width="12.42578125" customWidth="1"/>
    <col min="8" max="8" width="21.140625" customWidth="1"/>
    <col min="9" max="10" width="9.140625" customWidth="1"/>
    <col min="11" max="11" width="6.85546875" customWidth="1"/>
    <col min="12" max="16" width="9.140625" customWidth="1"/>
  </cols>
  <sheetData>
    <row r="1" spans="1:8" ht="18">
      <c r="A1" s="79" t="s">
        <v>703</v>
      </c>
    </row>
    <row r="2" spans="1:8" ht="18">
      <c r="A2" s="79"/>
      <c r="B2" s="1189" t="str">
        <f>Lähtötiedot!A45</f>
        <v>Laske Liha 2  - Piilossa, aktivoi (hiiren oikea, näytä)</v>
      </c>
      <c r="C2" s="246"/>
      <c r="D2" s="1992" t="s">
        <v>189</v>
      </c>
      <c r="E2" s="884" t="str">
        <f>Lähtötiedot!E4</f>
        <v>C</v>
      </c>
    </row>
    <row r="3" spans="1:8" ht="18">
      <c r="A3" s="247"/>
      <c r="B3" s="247" t="s">
        <v>188</v>
      </c>
      <c r="C3" s="247"/>
      <c r="D3" s="247"/>
      <c r="E3" s="248">
        <f>Lähtötiedot!C4</f>
        <v>2027</v>
      </c>
      <c r="F3" s="247"/>
    </row>
    <row r="4" spans="1:8" ht="18">
      <c r="B4" s="249" t="s">
        <v>588</v>
      </c>
      <c r="D4" s="250"/>
      <c r="E4" s="251">
        <f>Lähtötiedot!C45</f>
        <v>0</v>
      </c>
      <c r="F4" s="247" t="s">
        <v>150</v>
      </c>
    </row>
    <row r="5" spans="1:8" ht="18">
      <c r="A5" s="1" t="s">
        <v>660</v>
      </c>
      <c r="B5" s="249"/>
      <c r="C5" s="2717" t="s">
        <v>682</v>
      </c>
      <c r="D5" s="2717"/>
      <c r="E5" s="628">
        <v>16</v>
      </c>
      <c r="F5" s="247"/>
    </row>
    <row r="6" spans="1:8" ht="15.75">
      <c r="A6" s="1" t="s">
        <v>417</v>
      </c>
      <c r="B6" s="1" t="s">
        <v>418</v>
      </c>
      <c r="C6" s="252" t="s">
        <v>146</v>
      </c>
      <c r="D6" s="252" t="s">
        <v>147</v>
      </c>
      <c r="E6" s="252" t="s">
        <v>419</v>
      </c>
      <c r="F6" s="252" t="s">
        <v>235</v>
      </c>
      <c r="G6" s="521" t="s">
        <v>159</v>
      </c>
      <c r="H6" s="252" t="s">
        <v>590</v>
      </c>
    </row>
    <row r="7" spans="1:8" ht="15">
      <c r="A7" s="1005" t="s">
        <v>683</v>
      </c>
      <c r="B7" s="1005" t="s">
        <v>704</v>
      </c>
      <c r="C7" s="1008" t="s">
        <v>137</v>
      </c>
      <c r="D7" s="1005">
        <v>0</v>
      </c>
      <c r="E7" s="1009">
        <v>0</v>
      </c>
      <c r="F7" s="258">
        <f t="shared" ref="F7:F18" si="0">D7*E7</f>
        <v>0</v>
      </c>
      <c r="G7" s="189" t="str">
        <f>IFERROR(F7/$F$19,"")</f>
        <v/>
      </c>
      <c r="H7" s="259">
        <f t="shared" ref="H7:H18" si="1">F7*$E$4</f>
        <v>0</v>
      </c>
    </row>
    <row r="8" spans="1:8" ht="15.75" thickBot="1">
      <c r="A8" s="1004"/>
      <c r="B8" s="1006" t="s">
        <v>705</v>
      </c>
      <c r="C8" s="1030" t="s">
        <v>137</v>
      </c>
      <c r="D8" s="1005">
        <v>0</v>
      </c>
      <c r="E8" s="1009">
        <v>0</v>
      </c>
      <c r="F8" s="258">
        <f t="shared" si="0"/>
        <v>0</v>
      </c>
      <c r="G8" s="189" t="str">
        <f t="shared" ref="G8:G19" si="2">IFERROR(F8/$F$19,"")</f>
        <v/>
      </c>
      <c r="H8" s="259">
        <f t="shared" si="1"/>
        <v>0</v>
      </c>
    </row>
    <row r="9" spans="1:8" ht="15">
      <c r="A9" s="260" t="s">
        <v>706</v>
      </c>
      <c r="B9" s="372" t="s">
        <v>594</v>
      </c>
      <c r="C9" s="1007" t="s">
        <v>150</v>
      </c>
      <c r="D9" s="261">
        <v>1</v>
      </c>
      <c r="E9" s="263">
        <v>0</v>
      </c>
      <c r="F9" s="258">
        <f t="shared" si="0"/>
        <v>0</v>
      </c>
      <c r="G9" s="189" t="str">
        <f t="shared" si="2"/>
        <v/>
      </c>
      <c r="H9" s="259">
        <f t="shared" si="1"/>
        <v>0</v>
      </c>
    </row>
    <row r="10" spans="1:8" ht="15">
      <c r="A10" s="264" t="s">
        <v>595</v>
      </c>
      <c r="B10" s="375" t="s">
        <v>594</v>
      </c>
      <c r="C10" s="1007" t="s">
        <v>150</v>
      </c>
      <c r="D10" s="265">
        <v>1</v>
      </c>
      <c r="E10" s="267">
        <v>0</v>
      </c>
      <c r="F10" s="258">
        <f t="shared" si="0"/>
        <v>0</v>
      </c>
      <c r="G10" s="189" t="str">
        <f t="shared" si="2"/>
        <v/>
      </c>
      <c r="H10" s="259">
        <f t="shared" si="1"/>
        <v>0</v>
      </c>
    </row>
    <row r="11" spans="1:8" ht="15">
      <c r="A11" s="264" t="s">
        <v>596</v>
      </c>
      <c r="B11" s="375" t="s">
        <v>594</v>
      </c>
      <c r="C11" s="1007" t="s">
        <v>150</v>
      </c>
      <c r="D11" s="265">
        <v>1</v>
      </c>
      <c r="E11" s="267">
        <v>0</v>
      </c>
      <c r="F11" s="258">
        <f t="shared" si="0"/>
        <v>0</v>
      </c>
      <c r="G11" s="189" t="str">
        <f t="shared" si="2"/>
        <v/>
      </c>
      <c r="H11" s="259">
        <f t="shared" si="1"/>
        <v>0</v>
      </c>
    </row>
    <row r="12" spans="1:8" ht="15">
      <c r="A12" s="264" t="s">
        <v>597</v>
      </c>
      <c r="B12" s="375" t="s">
        <v>594</v>
      </c>
      <c r="C12" s="1007" t="s">
        <v>150</v>
      </c>
      <c r="D12" s="265">
        <v>1</v>
      </c>
      <c r="E12" s="267">
        <v>0</v>
      </c>
      <c r="F12" s="258">
        <f t="shared" si="0"/>
        <v>0</v>
      </c>
      <c r="G12" s="189" t="str">
        <f t="shared" si="2"/>
        <v/>
      </c>
      <c r="H12" s="259">
        <f t="shared" si="1"/>
        <v>0</v>
      </c>
    </row>
    <row r="13" spans="1:8" ht="15.75" thickBot="1">
      <c r="A13" s="268" t="s">
        <v>598</v>
      </c>
      <c r="B13" s="630" t="s">
        <v>594</v>
      </c>
      <c r="C13" s="1007" t="s">
        <v>150</v>
      </c>
      <c r="D13" s="269">
        <v>1</v>
      </c>
      <c r="E13" s="271">
        <v>0</v>
      </c>
      <c r="F13" s="258">
        <f t="shared" si="0"/>
        <v>0</v>
      </c>
      <c r="G13" s="189" t="str">
        <f t="shared" si="2"/>
        <v/>
      </c>
      <c r="H13" s="259">
        <f t="shared" si="1"/>
        <v>0</v>
      </c>
    </row>
    <row r="14" spans="1:8" ht="15">
      <c r="A14" s="273" t="s">
        <v>707</v>
      </c>
      <c r="B14" s="631"/>
      <c r="C14" s="274" t="s">
        <v>137</v>
      </c>
      <c r="D14" s="273">
        <v>1</v>
      </c>
      <c r="E14" s="278">
        <v>0</v>
      </c>
      <c r="F14" s="172">
        <f t="shared" si="0"/>
        <v>0</v>
      </c>
      <c r="G14" s="189" t="str">
        <f t="shared" si="2"/>
        <v/>
      </c>
      <c r="H14" s="259">
        <f t="shared" si="1"/>
        <v>0</v>
      </c>
    </row>
    <row r="15" spans="1:8" ht="15">
      <c r="A15" s="277"/>
      <c r="B15" s="277"/>
      <c r="C15" s="165"/>
      <c r="D15" s="277">
        <v>1</v>
      </c>
      <c r="E15" s="278">
        <v>0</v>
      </c>
      <c r="F15" s="172">
        <f t="shared" si="0"/>
        <v>0</v>
      </c>
      <c r="G15" s="189" t="str">
        <f t="shared" si="2"/>
        <v/>
      </c>
      <c r="H15" s="259">
        <f t="shared" si="1"/>
        <v>0</v>
      </c>
    </row>
    <row r="16" spans="1:8" ht="15">
      <c r="A16" s="277"/>
      <c r="B16" s="277"/>
      <c r="C16" s="165"/>
      <c r="D16" s="277">
        <v>1</v>
      </c>
      <c r="E16" s="278">
        <v>0</v>
      </c>
      <c r="F16" s="172">
        <f t="shared" si="0"/>
        <v>0</v>
      </c>
      <c r="G16" s="189" t="str">
        <f t="shared" si="2"/>
        <v/>
      </c>
      <c r="H16" s="259">
        <f t="shared" si="1"/>
        <v>0</v>
      </c>
    </row>
    <row r="17" spans="1:11" ht="15">
      <c r="A17" s="276"/>
      <c r="B17" s="277"/>
      <c r="C17" s="165"/>
      <c r="D17" s="277">
        <v>1</v>
      </c>
      <c r="E17" s="278">
        <v>0</v>
      </c>
      <c r="F17" s="172">
        <f t="shared" si="0"/>
        <v>0</v>
      </c>
      <c r="G17" s="189" t="str">
        <f t="shared" si="2"/>
        <v/>
      </c>
      <c r="H17" s="259">
        <f t="shared" si="1"/>
        <v>0</v>
      </c>
    </row>
    <row r="18" spans="1:11" ht="15">
      <c r="A18" s="279"/>
      <c r="B18" s="277"/>
      <c r="C18" s="165"/>
      <c r="D18" s="279">
        <v>1</v>
      </c>
      <c r="E18" s="278">
        <v>0</v>
      </c>
      <c r="F18" s="172">
        <f t="shared" si="0"/>
        <v>0</v>
      </c>
      <c r="G18" s="189" t="str">
        <f t="shared" si="2"/>
        <v/>
      </c>
      <c r="H18" s="259">
        <f t="shared" si="1"/>
        <v>0</v>
      </c>
    </row>
    <row r="19" spans="1:11" ht="15.75">
      <c r="A19" s="1" t="s">
        <v>426</v>
      </c>
      <c r="B19" s="1"/>
      <c r="C19" s="14"/>
      <c r="D19" s="14"/>
      <c r="E19" s="14"/>
      <c r="F19" s="178">
        <f>SUM(F7:F18)</f>
        <v>0</v>
      </c>
      <c r="G19" s="189" t="str">
        <f t="shared" si="2"/>
        <v/>
      </c>
      <c r="H19" s="281">
        <f>SUM(H7:H18)</f>
        <v>0</v>
      </c>
    </row>
    <row r="20" spans="1:11">
      <c r="G20" s="52"/>
      <c r="H20" s="52"/>
    </row>
    <row r="21" spans="1:11">
      <c r="G21" s="52"/>
      <c r="H21" s="52"/>
    </row>
    <row r="22" spans="1:11" s="247" customFormat="1" ht="18">
      <c r="A22" s="86" t="s">
        <v>662</v>
      </c>
      <c r="B22" s="1" t="s">
        <v>427</v>
      </c>
      <c r="C22" s="252" t="s">
        <v>146</v>
      </c>
      <c r="D22" s="252" t="s">
        <v>147</v>
      </c>
      <c r="E22" s="252" t="s">
        <v>428</v>
      </c>
      <c r="F22" s="252" t="s">
        <v>235</v>
      </c>
      <c r="G22" s="521" t="s">
        <v>159</v>
      </c>
      <c r="H22" s="252" t="s">
        <v>590</v>
      </c>
    </row>
    <row r="23" spans="1:11" s="14" customFormat="1" ht="18">
      <c r="A23" s="377" t="s">
        <v>604</v>
      </c>
      <c r="B23" s="378" t="s">
        <v>685</v>
      </c>
      <c r="C23" s="379" t="s">
        <v>606</v>
      </c>
      <c r="D23" s="380">
        <v>0</v>
      </c>
      <c r="E23" s="381">
        <v>0</v>
      </c>
      <c r="F23" s="172">
        <f t="shared" ref="F23:F39" si="3">D23*E23</f>
        <v>0</v>
      </c>
      <c r="G23" s="189" t="str">
        <f>IFERROR(F23/$F$64,"")</f>
        <v/>
      </c>
      <c r="H23" s="259">
        <f t="shared" ref="H23:H39" si="4">F23*$E$4</f>
        <v>0</v>
      </c>
      <c r="I23" t="s">
        <v>607</v>
      </c>
      <c r="J23" s="247"/>
      <c r="K23" s="247"/>
    </row>
    <row r="24" spans="1:11" s="14" customFormat="1" ht="15">
      <c r="A24" s="377" t="s">
        <v>608</v>
      </c>
      <c r="B24" s="378" t="s">
        <v>685</v>
      </c>
      <c r="C24" s="379" t="s">
        <v>606</v>
      </c>
      <c r="D24" s="380">
        <v>0</v>
      </c>
      <c r="E24" s="381">
        <v>0</v>
      </c>
      <c r="F24" s="172">
        <f t="shared" si="3"/>
        <v>0</v>
      </c>
      <c r="G24" s="189" t="str">
        <f t="shared" ref="G24:G40" si="5">IFERROR(F24/$F$64,"")</f>
        <v/>
      </c>
      <c r="H24" s="259">
        <f t="shared" si="4"/>
        <v>0</v>
      </c>
      <c r="I24" t="s">
        <v>610</v>
      </c>
    </row>
    <row r="25" spans="1:11" s="14" customFormat="1" ht="15">
      <c r="A25" s="277" t="s">
        <v>615</v>
      </c>
      <c r="B25" s="277"/>
      <c r="C25" s="165" t="s">
        <v>137</v>
      </c>
      <c r="D25" s="282">
        <v>0</v>
      </c>
      <c r="E25" s="176">
        <v>0</v>
      </c>
      <c r="F25" s="172">
        <f t="shared" si="3"/>
        <v>0</v>
      </c>
      <c r="G25" s="189" t="str">
        <f t="shared" si="5"/>
        <v/>
      </c>
      <c r="H25" s="259">
        <f t="shared" si="4"/>
        <v>0</v>
      </c>
      <c r="I25"/>
    </row>
    <row r="26" spans="1:11" s="14" customFormat="1" ht="15">
      <c r="A26" s="277" t="s">
        <v>615</v>
      </c>
      <c r="B26" s="277"/>
      <c r="C26" s="165" t="s">
        <v>137</v>
      </c>
      <c r="D26" s="282">
        <v>0</v>
      </c>
      <c r="E26" s="176">
        <v>0</v>
      </c>
      <c r="F26" s="172">
        <f t="shared" si="3"/>
        <v>0</v>
      </c>
      <c r="G26" s="189" t="str">
        <f t="shared" si="5"/>
        <v/>
      </c>
      <c r="H26" s="259">
        <f t="shared" si="4"/>
        <v>0</v>
      </c>
      <c r="I26"/>
    </row>
    <row r="27" spans="1:11" s="14" customFormat="1" ht="15">
      <c r="A27" s="277" t="s">
        <v>615</v>
      </c>
      <c r="B27" s="277"/>
      <c r="C27" s="165" t="s">
        <v>137</v>
      </c>
      <c r="D27" s="282">
        <v>0</v>
      </c>
      <c r="E27" s="176">
        <v>0</v>
      </c>
      <c r="F27" s="172">
        <f t="shared" si="3"/>
        <v>0</v>
      </c>
      <c r="G27" s="189" t="str">
        <f t="shared" si="5"/>
        <v/>
      </c>
      <c r="H27" s="259">
        <f t="shared" si="4"/>
        <v>0</v>
      </c>
      <c r="I27"/>
    </row>
    <row r="28" spans="1:11" s="14" customFormat="1" ht="15">
      <c r="A28" s="277" t="s">
        <v>615</v>
      </c>
      <c r="B28" s="277"/>
      <c r="C28" s="165" t="s">
        <v>137</v>
      </c>
      <c r="D28" s="282">
        <v>0</v>
      </c>
      <c r="E28" s="176">
        <v>0</v>
      </c>
      <c r="F28" s="172">
        <f t="shared" si="3"/>
        <v>0</v>
      </c>
      <c r="G28" s="189" t="str">
        <f t="shared" si="5"/>
        <v/>
      </c>
      <c r="H28" s="259">
        <f t="shared" si="4"/>
        <v>0</v>
      </c>
      <c r="I28"/>
    </row>
    <row r="29" spans="1:11" s="14" customFormat="1" ht="15">
      <c r="A29" s="277" t="s">
        <v>619</v>
      </c>
      <c r="B29" s="277"/>
      <c r="C29" s="165"/>
      <c r="D29" s="282">
        <v>0</v>
      </c>
      <c r="E29" s="176">
        <v>0</v>
      </c>
      <c r="F29" s="172">
        <f t="shared" si="3"/>
        <v>0</v>
      </c>
      <c r="G29" s="189" t="str">
        <f t="shared" si="5"/>
        <v/>
      </c>
      <c r="H29" s="259">
        <f t="shared" si="4"/>
        <v>0</v>
      </c>
      <c r="I29"/>
    </row>
    <row r="30" spans="1:11" s="14" customFormat="1" ht="15">
      <c r="A30" s="277" t="s">
        <v>690</v>
      </c>
      <c r="B30" s="277"/>
      <c r="C30" s="165"/>
      <c r="D30" s="282">
        <v>0</v>
      </c>
      <c r="E30" s="176">
        <v>0</v>
      </c>
      <c r="F30" s="172">
        <f t="shared" si="3"/>
        <v>0</v>
      </c>
      <c r="G30" s="189" t="str">
        <f t="shared" si="5"/>
        <v/>
      </c>
      <c r="H30" s="259">
        <f t="shared" si="4"/>
        <v>0</v>
      </c>
      <c r="I30"/>
    </row>
    <row r="31" spans="1:11" s="14" customFormat="1" ht="15">
      <c r="A31" s="277" t="s">
        <v>28</v>
      </c>
      <c r="B31" s="277"/>
      <c r="C31" s="165"/>
      <c r="D31" s="282">
        <v>0</v>
      </c>
      <c r="E31" s="176">
        <v>0</v>
      </c>
      <c r="F31" s="172">
        <f t="shared" si="3"/>
        <v>0</v>
      </c>
      <c r="G31" s="189" t="str">
        <f t="shared" si="5"/>
        <v/>
      </c>
      <c r="H31" s="259">
        <f t="shared" si="4"/>
        <v>0</v>
      </c>
      <c r="I31"/>
    </row>
    <row r="32" spans="1:11" ht="15">
      <c r="A32" s="277" t="s">
        <v>620</v>
      </c>
      <c r="B32" s="277"/>
      <c r="C32" s="165"/>
      <c r="D32" s="282">
        <v>0</v>
      </c>
      <c r="E32" s="176">
        <v>0</v>
      </c>
      <c r="F32" s="172">
        <f t="shared" si="3"/>
        <v>0</v>
      </c>
      <c r="G32" s="189" t="str">
        <f t="shared" si="5"/>
        <v/>
      </c>
      <c r="H32" s="259">
        <f t="shared" si="4"/>
        <v>0</v>
      </c>
      <c r="J32" s="14"/>
      <c r="K32" s="14"/>
    </row>
    <row r="33" spans="1:9" ht="15">
      <c r="A33" s="277"/>
      <c r="B33" s="277"/>
      <c r="C33" s="165"/>
      <c r="D33" s="282">
        <v>0</v>
      </c>
      <c r="E33" s="176">
        <v>0</v>
      </c>
      <c r="F33" s="172">
        <f t="shared" si="3"/>
        <v>0</v>
      </c>
      <c r="G33" s="189" t="str">
        <f t="shared" si="5"/>
        <v/>
      </c>
      <c r="H33" s="259">
        <f t="shared" si="4"/>
        <v>0</v>
      </c>
    </row>
    <row r="34" spans="1:9" ht="15">
      <c r="A34" s="277"/>
      <c r="B34" s="277"/>
      <c r="C34" s="165"/>
      <c r="D34" s="282">
        <v>0</v>
      </c>
      <c r="E34" s="176">
        <v>0</v>
      </c>
      <c r="F34" s="172">
        <f t="shared" si="3"/>
        <v>0</v>
      </c>
      <c r="G34" s="189" t="str">
        <f t="shared" si="5"/>
        <v/>
      </c>
      <c r="H34" s="259">
        <f t="shared" si="4"/>
        <v>0</v>
      </c>
    </row>
    <row r="35" spans="1:9" ht="15">
      <c r="A35" s="277"/>
      <c r="B35" s="277"/>
      <c r="C35" s="165"/>
      <c r="D35" s="282">
        <v>0</v>
      </c>
      <c r="E35" s="176">
        <v>0</v>
      </c>
      <c r="F35" s="172">
        <f t="shared" si="3"/>
        <v>0</v>
      </c>
      <c r="G35" s="189" t="str">
        <f t="shared" si="5"/>
        <v/>
      </c>
      <c r="H35" s="259">
        <f t="shared" si="4"/>
        <v>0</v>
      </c>
    </row>
    <row r="36" spans="1:9" ht="15">
      <c r="A36" s="1545" t="s">
        <v>444</v>
      </c>
      <c r="B36" s="1549" t="e">
        <f>IF(E6&gt;0,SUMIF('Muut kustannustiedot'!$H$38:$H$48,"eläin",'Muut kustannustiedot'!$V$38:$V$48)*Lähtötiedot!C79,0)</f>
        <v>#VALUE!</v>
      </c>
      <c r="C36" s="1541" t="s">
        <v>235</v>
      </c>
      <c r="D36" s="1152">
        <v>1</v>
      </c>
      <c r="E36" s="1550" t="e">
        <f>B36*D36</f>
        <v>#VALUE!</v>
      </c>
      <c r="F36" s="1551" t="e">
        <f>IF(E5&gt;0,D36*E36/E5,0)</f>
        <v>#VALUE!</v>
      </c>
      <c r="G36" s="189" t="str">
        <f t="shared" ref="G36" si="6">IFERROR(F36/$F$63,"")</f>
        <v/>
      </c>
      <c r="H36" s="259" t="e">
        <f>E36*D36</f>
        <v>#VALUE!</v>
      </c>
    </row>
    <row r="37" spans="1:9" ht="15.75">
      <c r="A37" s="2697" t="s">
        <v>622</v>
      </c>
      <c r="B37" s="2697"/>
      <c r="C37" s="2697"/>
      <c r="D37" s="2697"/>
      <c r="E37" s="2697"/>
      <c r="F37" s="653" t="e">
        <f>SUM(F23:F36)</f>
        <v>#VALUE!</v>
      </c>
      <c r="G37" s="189" t="str">
        <f t="shared" si="5"/>
        <v/>
      </c>
      <c r="H37" s="386" t="e">
        <f>SUM(H23:H36)</f>
        <v>#VALUE!</v>
      </c>
    </row>
    <row r="38" spans="1:9" ht="15">
      <c r="A38" s="284" t="s">
        <v>623</v>
      </c>
      <c r="B38" s="387"/>
      <c r="C38" s="285" t="s">
        <v>159</v>
      </c>
      <c r="D38" s="176">
        <v>0</v>
      </c>
      <c r="E38" s="287">
        <v>0.01</v>
      </c>
      <c r="F38" s="172">
        <f t="shared" si="3"/>
        <v>0</v>
      </c>
      <c r="G38" s="189" t="str">
        <f t="shared" si="5"/>
        <v/>
      </c>
      <c r="H38" s="259">
        <f t="shared" si="4"/>
        <v>0</v>
      </c>
      <c r="I38" t="s">
        <v>625</v>
      </c>
    </row>
    <row r="39" spans="1:9" ht="15">
      <c r="A39" s="284" t="s">
        <v>447</v>
      </c>
      <c r="B39" s="388"/>
      <c r="C39" s="285" t="s">
        <v>159</v>
      </c>
      <c r="D39" s="286" t="e">
        <f>C44*D44</f>
        <v>#VALUE!</v>
      </c>
      <c r="E39" s="287">
        <v>0.01</v>
      </c>
      <c r="F39" s="172" t="e">
        <f t="shared" si="3"/>
        <v>#VALUE!</v>
      </c>
      <c r="G39" s="189" t="str">
        <f t="shared" si="5"/>
        <v/>
      </c>
      <c r="H39" s="259" t="e">
        <f t="shared" si="4"/>
        <v>#VALUE!</v>
      </c>
      <c r="I39" t="s">
        <v>520</v>
      </c>
    </row>
    <row r="40" spans="1:9" ht="15.75">
      <c r="A40" s="1" t="s">
        <v>448</v>
      </c>
      <c r="B40" s="1"/>
      <c r="D40" s="14"/>
      <c r="E40" s="14"/>
      <c r="F40" s="178" t="e">
        <f>SUM(F23:F36,F38:F39)</f>
        <v>#VALUE!</v>
      </c>
      <c r="G40" s="189" t="str">
        <f t="shared" si="5"/>
        <v/>
      </c>
      <c r="H40" s="178" t="e">
        <f>SUM(H23:H36,H38:H39)</f>
        <v>#VALUE!</v>
      </c>
    </row>
    <row r="41" spans="1:9" ht="18">
      <c r="A41" s="1" t="s">
        <v>449</v>
      </c>
      <c r="B41" s="52" t="s">
        <v>450</v>
      </c>
      <c r="D41" s="14"/>
      <c r="E41" s="14"/>
      <c r="F41" s="289" t="e">
        <f>F19-F40</f>
        <v>#VALUE!</v>
      </c>
      <c r="G41" s="189"/>
      <c r="H41" s="290" t="e">
        <f>H19-H40</f>
        <v>#VALUE!</v>
      </c>
    </row>
    <row r="42" spans="1:9" ht="15.75">
      <c r="A42" s="1"/>
      <c r="B42" s="1"/>
      <c r="D42" s="14"/>
      <c r="E42" s="14"/>
      <c r="F42" s="291"/>
      <c r="G42" s="52"/>
      <c r="H42" s="52"/>
    </row>
    <row r="43" spans="1:9">
      <c r="C43" s="292" t="s">
        <v>451</v>
      </c>
      <c r="D43" s="293" t="s">
        <v>452</v>
      </c>
      <c r="G43" s="52"/>
      <c r="H43" s="52"/>
    </row>
    <row r="44" spans="1:9">
      <c r="A44" s="294" t="s">
        <v>453</v>
      </c>
      <c r="B44" s="295" t="s">
        <v>454</v>
      </c>
      <c r="C44" s="296" t="e">
        <f>SUM(F23:F36)+F48</f>
        <v>#VALUE!</v>
      </c>
      <c r="D44" s="769">
        <v>0.2</v>
      </c>
      <c r="G44" s="52"/>
      <c r="H44" s="52"/>
    </row>
    <row r="45" spans="1:9">
      <c r="A45" s="52"/>
      <c r="B45" s="298"/>
      <c r="C45" s="59"/>
      <c r="G45" s="52"/>
      <c r="H45" s="52"/>
      <c r="I45" t="s">
        <v>455</v>
      </c>
    </row>
    <row r="46" spans="1:9">
      <c r="A46" s="52"/>
      <c r="B46" s="298"/>
      <c r="C46" s="59"/>
      <c r="G46" s="52"/>
      <c r="H46" s="52"/>
      <c r="I46" t="s">
        <v>456</v>
      </c>
    </row>
    <row r="47" spans="1:9">
      <c r="G47" s="52"/>
      <c r="H47" s="52"/>
      <c r="I47" t="s">
        <v>626</v>
      </c>
    </row>
    <row r="48" spans="1:9" ht="15.75">
      <c r="A48" s="168" t="s">
        <v>458</v>
      </c>
      <c r="C48" s="165" t="s">
        <v>15</v>
      </c>
      <c r="D48" s="90">
        <v>3</v>
      </c>
      <c r="E48" s="299">
        <v>15.9</v>
      </c>
      <c r="F48" s="172">
        <f>D48*E48</f>
        <v>47.7</v>
      </c>
      <c r="G48" s="389" t="e">
        <f>F48/$F$64</f>
        <v>#VALUE!</v>
      </c>
      <c r="H48" s="300">
        <f>F48*$E$4</f>
        <v>0</v>
      </c>
    </row>
    <row r="49" spans="1:9" ht="15">
      <c r="A49" s="187"/>
      <c r="B49" s="187"/>
      <c r="C49" s="301"/>
      <c r="D49" s="301"/>
      <c r="E49" s="301"/>
      <c r="F49" s="301"/>
      <c r="G49" s="189"/>
      <c r="H49" s="52"/>
    </row>
    <row r="50" spans="1:9" ht="18">
      <c r="A50" s="1" t="s">
        <v>460</v>
      </c>
      <c r="B50" s="52" t="s">
        <v>461</v>
      </c>
      <c r="C50" s="301"/>
      <c r="D50" s="301"/>
      <c r="E50" s="301"/>
      <c r="F50" s="289" t="e">
        <f>F41-F48</f>
        <v>#VALUE!</v>
      </c>
      <c r="G50" s="189"/>
      <c r="H50" s="302" t="e">
        <f>H41-H48</f>
        <v>#VALUE!</v>
      </c>
    </row>
    <row r="51" spans="1:9" ht="18">
      <c r="A51" s="1"/>
      <c r="B51" s="52"/>
      <c r="C51" s="301"/>
      <c r="D51" s="2720" t="s">
        <v>692</v>
      </c>
      <c r="E51" s="2720"/>
      <c r="F51" s="289" t="s">
        <v>240</v>
      </c>
      <c r="G51" s="189"/>
      <c r="H51" s="302"/>
    </row>
    <row r="52" spans="1:9" ht="51" customHeight="1">
      <c r="A52" s="1" t="s">
        <v>693</v>
      </c>
      <c r="B52" s="52"/>
      <c r="C52" s="2718" t="s">
        <v>694</v>
      </c>
      <c r="D52" s="2718" t="s">
        <v>695</v>
      </c>
      <c r="G52" s="189"/>
      <c r="H52" s="302"/>
    </row>
    <row r="53" spans="1:9" ht="25.5" customHeight="1">
      <c r="A53" s="187"/>
      <c r="B53" s="187"/>
      <c r="C53" s="2718"/>
      <c r="D53" s="2718"/>
      <c r="E53" s="301"/>
      <c r="F53" s="2715" t="str">
        <f>F51&amp;"/ ajanjakso"</f>
        <v>€/eläin/ ajanjakso</v>
      </c>
      <c r="G53" s="189"/>
      <c r="H53" s="52"/>
    </row>
    <row r="54" spans="1:9" ht="15" customHeight="1">
      <c r="A54" s="14"/>
      <c r="B54" s="14"/>
      <c r="C54" s="2718"/>
      <c r="D54" s="2718"/>
      <c r="E54" s="2715" t="str">
        <f>D51&amp;"/vuosi"</f>
        <v>€/tila/vuosi</v>
      </c>
      <c r="F54" s="2715"/>
      <c r="G54" s="189"/>
    </row>
    <row r="55" spans="1:9" ht="15.75" customHeight="1" thickBot="1">
      <c r="A55" s="14"/>
      <c r="B55" s="14"/>
      <c r="C55" s="2719"/>
      <c r="D55" s="2719"/>
      <c r="E55" s="2716"/>
      <c r="F55" s="2716"/>
      <c r="G55" s="1928" t="s">
        <v>159</v>
      </c>
    </row>
    <row r="56" spans="1:9" ht="16.5" thickBot="1">
      <c r="A56" s="2677" t="s">
        <v>467</v>
      </c>
      <c r="B56" s="878" t="s">
        <v>231</v>
      </c>
      <c r="C56" s="1927">
        <f>IF($E$5&gt;12,100%/12*$E$5,100%)</f>
        <v>1.3333333333333333</v>
      </c>
      <c r="D56" s="1234">
        <v>0</v>
      </c>
      <c r="E56" s="879" t="str">
        <f>Lähtötiedot!D79</f>
        <v/>
      </c>
      <c r="F56" s="1231" t="e">
        <f>E56/$E$4*IF(D56&gt;0,D56,C56)</f>
        <v>#VALUE!</v>
      </c>
      <c r="G56" s="877" t="e">
        <f>F56/$F$64</f>
        <v>#VALUE!</v>
      </c>
    </row>
    <row r="57" spans="1:9" ht="16.5" thickBot="1">
      <c r="A57" s="2678"/>
      <c r="B57" s="878" t="s">
        <v>232</v>
      </c>
      <c r="C57" s="1927">
        <f t="shared" ref="C57:C58" si="7">IF($E$5&gt;12,100%/12*$E$5,100%)</f>
        <v>1.3333333333333333</v>
      </c>
      <c r="D57" s="1234">
        <v>0</v>
      </c>
      <c r="E57" s="880" t="str">
        <f>Lähtötiedot!E79</f>
        <v/>
      </c>
      <c r="F57" s="1926" t="e">
        <f t="shared" ref="F57" si="8">E57/$E$4*IF(D57&gt;0,D57,C57)</f>
        <v>#VALUE!</v>
      </c>
      <c r="G57" s="875" t="e">
        <f>F57/$F$64</f>
        <v>#VALUE!</v>
      </c>
    </row>
    <row r="58" spans="1:9" ht="16.5" thickBot="1">
      <c r="A58" s="2679"/>
      <c r="B58" s="874" t="s">
        <v>628</v>
      </c>
      <c r="C58" s="1927">
        <f t="shared" si="7"/>
        <v>1.3333333333333333</v>
      </c>
      <c r="D58" s="1234">
        <v>0</v>
      </c>
      <c r="E58" s="872" t="e">
        <f>Lähtötiedot!G79+Lähtötiedot!F79</f>
        <v>#VALUE!</v>
      </c>
      <c r="F58" s="1926" t="e">
        <f>E58/$E$4*IF(D58&gt;0,D58,C58)</f>
        <v>#VALUE!</v>
      </c>
      <c r="G58" s="873" t="e">
        <f>F58/$F$64</f>
        <v>#VALUE!</v>
      </c>
    </row>
    <row r="59" spans="1:9" ht="15">
      <c r="A59" s="14"/>
      <c r="B59" s="14"/>
      <c r="E59" s="13"/>
      <c r="F59" s="10"/>
      <c r="G59" s="189"/>
    </row>
    <row r="60" spans="1:9" ht="15.75">
      <c r="A60" s="1"/>
      <c r="B60" s="14"/>
      <c r="E60" s="391" t="e">
        <f>SUM(E56:E59)</f>
        <v>#VALUE!</v>
      </c>
      <c r="F60" s="10" t="e">
        <f>SUM(F56:F59)</f>
        <v>#VALUE!</v>
      </c>
      <c r="G60" s="389" t="e">
        <f>F60/F64</f>
        <v>#VALUE!</v>
      </c>
    </row>
    <row r="61" spans="1:9" ht="15.75">
      <c r="A61" s="1"/>
      <c r="B61" s="1"/>
      <c r="C61" s="14"/>
      <c r="D61" s="14"/>
      <c r="E61" s="14"/>
      <c r="F61" s="301"/>
    </row>
    <row r="62" spans="1:9" ht="18">
      <c r="A62" s="1" t="s">
        <v>629</v>
      </c>
      <c r="B62" s="52" t="s">
        <v>472</v>
      </c>
      <c r="C62" s="14"/>
      <c r="D62" s="14"/>
      <c r="E62" s="14"/>
      <c r="F62" s="289" t="e">
        <f>F50-F60</f>
        <v>#VALUE!</v>
      </c>
      <c r="G62" s="167"/>
      <c r="H62" s="290" t="e">
        <f>H50-E60</f>
        <v>#VALUE!</v>
      </c>
    </row>
    <row r="63" spans="1:9" ht="15">
      <c r="D63" s="14"/>
      <c r="E63" s="14"/>
      <c r="F63" s="301"/>
    </row>
    <row r="64" spans="1:9" ht="15.75">
      <c r="A64" s="1" t="s">
        <v>663</v>
      </c>
      <c r="B64" s="1"/>
      <c r="D64" s="14"/>
      <c r="E64" s="14"/>
      <c r="F64" s="308" t="e">
        <f>(F40+F48+F60)</f>
        <v>#VALUE!</v>
      </c>
      <c r="G64" s="392" t="e">
        <f>SUM(G40+G48+G60)</f>
        <v>#VALUE!</v>
      </c>
      <c r="H64" s="309"/>
      <c r="I64" t="s">
        <v>474</v>
      </c>
    </row>
    <row r="65" spans="1:9" ht="15.75">
      <c r="A65" s="1" t="s">
        <v>696</v>
      </c>
      <c r="F65" s="308">
        <f>F19</f>
        <v>0</v>
      </c>
      <c r="H65" s="173"/>
    </row>
    <row r="66" spans="1:9" ht="15.75">
      <c r="A66" s="1" t="s">
        <v>697</v>
      </c>
      <c r="F66" s="308">
        <f>SUM(F7,F14:F15,F16)</f>
        <v>0</v>
      </c>
      <c r="H66" s="173"/>
    </row>
    <row r="67" spans="1:9" ht="15.75">
      <c r="A67" s="1" t="s">
        <v>631</v>
      </c>
      <c r="B67" s="1"/>
      <c r="F67" s="308" t="e">
        <f>F65-F64</f>
        <v>#VALUE!</v>
      </c>
      <c r="G67" s="189"/>
      <c r="H67" s="310"/>
    </row>
    <row r="68" spans="1:9" ht="15.75">
      <c r="A68" s="1" t="s">
        <v>632</v>
      </c>
      <c r="B68" s="1"/>
      <c r="F68" s="308" t="e">
        <f>F66-F64</f>
        <v>#VALUE!</v>
      </c>
      <c r="G68" s="189"/>
      <c r="H68" s="310"/>
    </row>
    <row r="70" spans="1:9" ht="15.75">
      <c r="A70" s="1" t="s">
        <v>698</v>
      </c>
      <c r="B70" s="1"/>
    </row>
    <row r="71" spans="1:9">
      <c r="C71" s="311" t="s">
        <v>147</v>
      </c>
      <c r="D71" s="311" t="s">
        <v>240</v>
      </c>
      <c r="E71" s="312" t="s">
        <v>482</v>
      </c>
    </row>
    <row r="72" spans="1:9" ht="15">
      <c r="A72" s="357" t="s">
        <v>699</v>
      </c>
      <c r="B72" s="14"/>
      <c r="C72" s="14"/>
      <c r="D72" s="172" t="e">
        <f>F64</f>
        <v>#VALUE!</v>
      </c>
      <c r="E72" s="313"/>
    </row>
    <row r="73" spans="1:9" ht="15">
      <c r="A73" s="360" t="s">
        <v>701</v>
      </c>
      <c r="B73" s="315"/>
      <c r="C73" s="316">
        <f>D7+D8</f>
        <v>0</v>
      </c>
      <c r="D73" s="317"/>
      <c r="E73" s="313"/>
    </row>
    <row r="74" spans="1:9" ht="18">
      <c r="A74" s="362" t="s">
        <v>582</v>
      </c>
      <c r="B74" s="1"/>
      <c r="C74" s="14"/>
      <c r="D74" s="313"/>
      <c r="E74" s="340" t="e">
        <f>D72/C73</f>
        <v>#VALUE!</v>
      </c>
      <c r="I74" t="s">
        <v>637</v>
      </c>
    </row>
    <row r="75" spans="1:9" ht="15">
      <c r="A75" s="360" t="s">
        <v>583</v>
      </c>
      <c r="B75" s="315" t="s">
        <v>488</v>
      </c>
      <c r="C75" s="315"/>
      <c r="D75" s="319">
        <f>SUM(F9:F13)</f>
        <v>0</v>
      </c>
      <c r="E75" s="320" t="e">
        <f>D75/(D7+D8)</f>
        <v>#DIV/0!</v>
      </c>
      <c r="G75" s="81"/>
      <c r="H75" s="81"/>
      <c r="I75" t="s">
        <v>489</v>
      </c>
    </row>
    <row r="76" spans="1:9" ht="18">
      <c r="A76" s="362" t="s">
        <v>584</v>
      </c>
      <c r="B76" s="1"/>
      <c r="C76" s="14"/>
      <c r="D76" s="301"/>
      <c r="E76" s="340" t="e">
        <f>E74-E75</f>
        <v>#VALUE!</v>
      </c>
      <c r="G76" s="81"/>
      <c r="H76" s="81"/>
      <c r="I76" t="s">
        <v>638</v>
      </c>
    </row>
    <row r="79" spans="1:9">
      <c r="A79" s="3" t="s">
        <v>97</v>
      </c>
    </row>
    <row r="80" spans="1:9">
      <c r="A80" t="s">
        <v>639</v>
      </c>
    </row>
    <row r="81" spans="1:5">
      <c r="B81" t="s">
        <v>493</v>
      </c>
      <c r="E81" s="636" t="e">
        <f>F40</f>
        <v>#VALUE!</v>
      </c>
    </row>
    <row r="82" spans="1:5">
      <c r="B82" t="str">
        <f>A48</f>
        <v>Työkustannus (ihmistyö)</v>
      </c>
      <c r="E82" s="636">
        <f>F48</f>
        <v>47.7</v>
      </c>
    </row>
    <row r="83" spans="1:5">
      <c r="B83" t="s">
        <v>470</v>
      </c>
      <c r="E83" s="636" t="e">
        <f>F60</f>
        <v>#VALUE!</v>
      </c>
    </row>
    <row r="84" spans="1:5">
      <c r="B84" s="3" t="s">
        <v>494</v>
      </c>
      <c r="E84" s="637" t="e">
        <f>SUM(E81:E83)</f>
        <v>#VALUE!</v>
      </c>
    </row>
    <row r="85" spans="1:5">
      <c r="B85" t="s">
        <v>701</v>
      </c>
      <c r="C85" t="s">
        <v>137</v>
      </c>
      <c r="E85" s="58">
        <f>D7+D8</f>
        <v>0</v>
      </c>
    </row>
    <row r="86" spans="1:5">
      <c r="B86" t="s">
        <v>702</v>
      </c>
      <c r="C86" t="s">
        <v>497</v>
      </c>
      <c r="E86" s="638" t="e">
        <f>E84/E85</f>
        <v>#VALUE!</v>
      </c>
    </row>
    <row r="87" spans="1:5">
      <c r="A87" s="25" t="s">
        <v>708</v>
      </c>
      <c r="B87" s="5"/>
      <c r="C87" s="5"/>
      <c r="D87" s="5"/>
      <c r="E87" s="5"/>
    </row>
    <row r="88" spans="1:5">
      <c r="B88" s="5"/>
      <c r="C88" s="5"/>
      <c r="D88" s="5"/>
      <c r="E88" s="5"/>
    </row>
    <row r="89" spans="1:5">
      <c r="B89" s="5"/>
      <c r="C89" s="5"/>
      <c r="D89" s="5"/>
      <c r="E89" s="5"/>
    </row>
    <row r="90" spans="1:5">
      <c r="B90" s="5"/>
      <c r="C90" s="5"/>
      <c r="D90" s="5"/>
      <c r="E90" s="5"/>
    </row>
    <row r="91" spans="1:5">
      <c r="B91" s="5"/>
      <c r="C91" s="5"/>
      <c r="D91" s="5"/>
      <c r="E91" s="5"/>
    </row>
    <row r="92" spans="1:5">
      <c r="B92" s="5"/>
      <c r="C92" s="5"/>
      <c r="D92" s="5"/>
      <c r="E92" s="5"/>
    </row>
  </sheetData>
  <sheetProtection sheet="1" formatCells="0" formatColumns="0" formatRows="0"/>
  <mergeCells count="8">
    <mergeCell ref="F53:F55"/>
    <mergeCell ref="C5:D5"/>
    <mergeCell ref="A37:E37"/>
    <mergeCell ref="A56:A58"/>
    <mergeCell ref="E54:E55"/>
    <mergeCell ref="C52:C55"/>
    <mergeCell ref="D51:E51"/>
    <mergeCell ref="D52:D55"/>
  </mergeCells>
  <hyperlinks>
    <hyperlink ref="B2" location="Lähtötiedot!A1" display="Lähtötiedot!A1" xr:uid="{00000000-0004-0000-1A00-000000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93" max="7" man="1"/>
  </rowBreaks>
  <colBreaks count="1" manualBreakCount="1">
    <brk id="8"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29"/>
  <sheetViews>
    <sheetView topLeftCell="B1" zoomScale="70" zoomScaleNormal="70" workbookViewId="0">
      <selection activeCell="B30" sqref="B30"/>
    </sheetView>
  </sheetViews>
  <sheetFormatPr defaultColWidth="8.85546875" defaultRowHeight="12.75"/>
  <cols>
    <col min="1" max="1" width="36" customWidth="1"/>
    <col min="2" max="2" width="28.42578125" customWidth="1"/>
    <col min="3" max="3" width="13.7109375" customWidth="1"/>
    <col min="4" max="4" width="14" customWidth="1"/>
    <col min="5" max="5" width="14.140625" customWidth="1"/>
    <col min="6" max="6" width="20.28515625" customWidth="1"/>
    <col min="7" max="7" width="12.85546875" customWidth="1"/>
    <col min="8" max="8" width="15.140625" customWidth="1"/>
    <col min="9" max="9" width="15.7109375" customWidth="1"/>
    <col min="10" max="10" width="18.140625" customWidth="1"/>
    <col min="11" max="11" width="12.85546875" customWidth="1"/>
    <col min="12" max="12" width="14.28515625" customWidth="1"/>
    <col min="13" max="13" width="14.7109375" customWidth="1"/>
    <col min="14" max="14" width="21.85546875" customWidth="1"/>
    <col min="15" max="15" width="12.85546875" customWidth="1"/>
    <col min="16" max="16" width="21.140625" customWidth="1"/>
    <col min="17" max="17" width="6.5703125" customWidth="1"/>
    <col min="18" max="18" width="17.140625" customWidth="1"/>
    <col min="19" max="19" width="11" customWidth="1"/>
    <col min="20" max="20" width="12.42578125" customWidth="1"/>
    <col min="21" max="21" width="9.140625" customWidth="1"/>
    <col min="22" max="22" width="24.85546875" customWidth="1"/>
    <col min="23" max="23" width="3" customWidth="1"/>
    <col min="24" max="24" width="12.42578125" customWidth="1"/>
  </cols>
  <sheetData>
    <row r="1" spans="1:25" ht="21" thickBot="1">
      <c r="A1" s="1299" t="s">
        <v>709</v>
      </c>
    </row>
    <row r="2" spans="1:25" ht="18.75" thickBot="1">
      <c r="A2" s="1188"/>
      <c r="B2" s="1190" t="str">
        <f>Lähtötiedot!A44</f>
        <v>Laske Liha special  --Suurtilalle (ota tarvittaessa käyttöön, piilotettu)</v>
      </c>
      <c r="C2" s="246"/>
      <c r="D2" s="1992" t="s">
        <v>189</v>
      </c>
      <c r="E2" s="884" t="str">
        <f>Lähtötiedot!E4</f>
        <v>C</v>
      </c>
      <c r="F2" t="s">
        <v>674</v>
      </c>
      <c r="H2" s="1350" t="s">
        <v>1781</v>
      </c>
      <c r="I2" t="str">
        <f>IF(AND(H2="kyllä",E4&gt;0),"Siirretään tuloslaskemalle","Ei siirretä")</f>
        <v>Ei siirretä</v>
      </c>
    </row>
    <row r="3" spans="1:25" ht="18">
      <c r="A3" s="247"/>
      <c r="B3" s="247" t="s">
        <v>188</v>
      </c>
      <c r="C3" s="247"/>
      <c r="D3" s="247"/>
      <c r="E3" s="248">
        <f>Lähtötiedot!C4</f>
        <v>2027</v>
      </c>
      <c r="F3" s="249" t="s">
        <v>589</v>
      </c>
      <c r="G3" s="3"/>
      <c r="H3" s="3"/>
      <c r="I3" s="3"/>
      <c r="K3" s="1694">
        <v>1</v>
      </c>
    </row>
    <row r="4" spans="1:25" ht="18.75" thickBot="1">
      <c r="B4" s="2731" t="s">
        <v>710</v>
      </c>
      <c r="C4" s="2731"/>
      <c r="D4" s="2732"/>
      <c r="E4" s="1347">
        <f>Lähtötiedot!C44</f>
        <v>0</v>
      </c>
      <c r="F4" s="247" t="s">
        <v>150</v>
      </c>
      <c r="I4" t="str">
        <f>IF(AND(E4&lt;&gt;P5,H2="kyllä"),"&lt;---Eläinmäärä puuttuu perustiedoista!","")</f>
        <v/>
      </c>
      <c r="P4" s="1363" t="str">
        <f>IF(P5&lt;&gt;E4,"Karjan lukumäärä ei täsmää. Tarkista! Ero "&amp;E4-P5&amp;" kpl","OK")</f>
        <v>OK</v>
      </c>
    </row>
    <row r="5" spans="1:25" ht="19.5" thickTop="1" thickBot="1">
      <c r="B5" s="1992" t="s">
        <v>711</v>
      </c>
      <c r="D5" s="250"/>
      <c r="E5" s="1346">
        <v>0</v>
      </c>
      <c r="F5" s="1364" t="e">
        <f>E5/$E$4</f>
        <v>#DIV/0!</v>
      </c>
      <c r="I5" s="1346">
        <v>0</v>
      </c>
      <c r="J5" s="1364" t="e">
        <f>I5/$E$4</f>
        <v>#DIV/0!</v>
      </c>
      <c r="M5" s="1346">
        <v>0</v>
      </c>
      <c r="N5" s="1364" t="e">
        <f>M5/$E$4</f>
        <v>#DIV/0!</v>
      </c>
      <c r="P5" s="1900">
        <f>SUM(E5,I5,M5)</f>
        <v>0</v>
      </c>
      <c r="Q5" s="1382" t="e">
        <f>SUM(F5,J5,N5)</f>
        <v>#DIV/0!</v>
      </c>
    </row>
    <row r="6" spans="1:25" ht="19.5" thickTop="1" thickBot="1">
      <c r="B6" t="s">
        <v>712</v>
      </c>
      <c r="C6" s="1694">
        <v>12</v>
      </c>
      <c r="D6" s="1694">
        <v>30</v>
      </c>
      <c r="E6" s="1931">
        <f>C6*D6</f>
        <v>360</v>
      </c>
      <c r="F6" s="1364"/>
      <c r="G6" s="1694">
        <v>16</v>
      </c>
      <c r="H6" s="1598">
        <f>D6</f>
        <v>30</v>
      </c>
      <c r="I6" s="1931">
        <f>G6*H6</f>
        <v>480</v>
      </c>
      <c r="J6" s="1364"/>
      <c r="K6" s="1694">
        <v>22</v>
      </c>
      <c r="L6" s="1598">
        <f>D6</f>
        <v>30</v>
      </c>
      <c r="M6" s="1931">
        <f>K6*L6</f>
        <v>660</v>
      </c>
      <c r="N6" s="1364"/>
      <c r="P6" s="1901" t="e">
        <f>(E6*E5+I6*I5+M6*M5)/E4</f>
        <v>#DIV/0!</v>
      </c>
      <c r="Q6" s="1893" t="s">
        <v>713</v>
      </c>
    </row>
    <row r="7" spans="1:25" ht="19.5" thickTop="1" thickBot="1">
      <c r="B7" s="1869" t="s">
        <v>714</v>
      </c>
      <c r="D7" s="250"/>
      <c r="E7" s="1870">
        <f>E6/30</f>
        <v>12</v>
      </c>
      <c r="F7" s="1364"/>
      <c r="I7" s="1870">
        <f>I6/30</f>
        <v>16</v>
      </c>
      <c r="J7" s="1364"/>
      <c r="M7" s="1870">
        <f>M6/30</f>
        <v>22</v>
      </c>
      <c r="N7" s="1364"/>
      <c r="P7" s="1901" t="e">
        <f>P6/30</f>
        <v>#DIV/0!</v>
      </c>
      <c r="Q7" s="2417" t="s">
        <v>1848</v>
      </c>
    </row>
    <row r="8" spans="1:25" ht="18">
      <c r="A8" s="1" t="str">
        <f>IF(K3&lt;&gt;2,"TUOTOT €/ "&amp;"eläin","TUOTOT €/ "&amp;"karja")</f>
        <v>TUOTOT €/ eläin</v>
      </c>
      <c r="B8" s="249"/>
      <c r="D8" s="2710" t="s">
        <v>147</v>
      </c>
      <c r="E8" s="247"/>
      <c r="F8" s="1301"/>
      <c r="G8" s="839"/>
      <c r="H8" s="2710" t="str">
        <f>D8</f>
        <v>Määrä</v>
      </c>
      <c r="I8" s="247"/>
      <c r="J8" s="1301"/>
      <c r="K8" s="839"/>
      <c r="L8" s="2710" t="str">
        <f>D8</f>
        <v>Määrä</v>
      </c>
      <c r="M8" s="247"/>
      <c r="N8" s="1301"/>
      <c r="O8" s="839"/>
      <c r="R8" s="1371" t="s">
        <v>715</v>
      </c>
      <c r="S8" s="813"/>
      <c r="T8" s="1372" t="s">
        <v>716</v>
      </c>
      <c r="U8" s="839"/>
      <c r="V8" s="838" t="s">
        <v>717</v>
      </c>
      <c r="W8" s="813"/>
      <c r="X8" s="813" t="s">
        <v>718</v>
      </c>
      <c r="Y8" s="839"/>
    </row>
    <row r="9" spans="1:25" ht="16.5" thickBot="1">
      <c r="A9" s="1" t="s">
        <v>417</v>
      </c>
      <c r="B9" s="1" t="s">
        <v>418</v>
      </c>
      <c r="C9" s="252" t="s">
        <v>146</v>
      </c>
      <c r="D9" s="2711"/>
      <c r="E9" s="252" t="s">
        <v>419</v>
      </c>
      <c r="F9" s="252" t="s">
        <v>235</v>
      </c>
      <c r="G9" s="1302" t="s">
        <v>159</v>
      </c>
      <c r="H9" s="2711"/>
      <c r="I9" s="252" t="s">
        <v>419</v>
      </c>
      <c r="J9" s="252" t="s">
        <v>235</v>
      </c>
      <c r="K9" s="1302" t="s">
        <v>159</v>
      </c>
      <c r="L9" s="2711"/>
      <c r="M9" s="252" t="s">
        <v>419</v>
      </c>
      <c r="N9" s="252" t="s">
        <v>235</v>
      </c>
      <c r="O9" s="1302" t="s">
        <v>159</v>
      </c>
      <c r="P9" s="252" t="s">
        <v>590</v>
      </c>
      <c r="R9" s="1932">
        <f>IF(K3=1,D10*E5+H10*I5+L10*M5,SUM(D10,H10,L10))</f>
        <v>0</v>
      </c>
      <c r="S9" s="86" t="str">
        <f>C10</f>
        <v>kg</v>
      </c>
      <c r="T9" s="1933">
        <f>IF(R9&gt;0,R9/P5,0)</f>
        <v>0</v>
      </c>
      <c r="U9" s="1934" t="str">
        <f>S9</f>
        <v>kg</v>
      </c>
      <c r="V9" s="1935">
        <f>IF(R9&gt;0,R9/P6*365,0)</f>
        <v>0</v>
      </c>
      <c r="W9" s="1936" t="s">
        <v>137</v>
      </c>
      <c r="X9" s="1937">
        <f>IF(T9&gt;0,T9/P6*365,0)</f>
        <v>0</v>
      </c>
      <c r="Y9" s="1934" t="s">
        <v>137</v>
      </c>
    </row>
    <row r="10" spans="1:25" ht="16.5" thickBot="1">
      <c r="A10" s="1831" t="s">
        <v>719</v>
      </c>
      <c r="B10" s="1831"/>
      <c r="C10" s="1864" t="s">
        <v>137</v>
      </c>
      <c r="D10" s="1865">
        <v>200</v>
      </c>
      <c r="E10" s="1866">
        <v>0</v>
      </c>
      <c r="F10" s="1867">
        <f t="shared" ref="F10:F22" si="0">IF(E$5&gt;0,IF($K$3&lt;&gt;2,D10*E10,E$5*D10*E10),0)</f>
        <v>0</v>
      </c>
      <c r="G10" s="1868" t="str">
        <f>IFERROR(F10/$F$23,"")</f>
        <v/>
      </c>
      <c r="H10" s="1865">
        <v>220</v>
      </c>
      <c r="I10" s="1866">
        <f>E10</f>
        <v>0</v>
      </c>
      <c r="J10" s="1867">
        <f t="shared" ref="J10:J22" si="1">IF(I$5&gt;0,IF($K$3&lt;&gt;2,H10*I10,I$5*H10*I10),0)</f>
        <v>0</v>
      </c>
      <c r="K10" s="1868" t="str">
        <f>IFERROR(J10/$F$23,"")</f>
        <v/>
      </c>
      <c r="L10" s="1865">
        <v>240</v>
      </c>
      <c r="M10" s="1866">
        <f>E10</f>
        <v>0</v>
      </c>
      <c r="N10" s="1867">
        <f t="shared" ref="N10:N22" si="2">IF(M$5&gt;0,IF($K$3&lt;&gt;2,L10*M10,M$5*L10*M10),0)</f>
        <v>0</v>
      </c>
      <c r="O10" s="1868" t="str">
        <f>IFERROR(N10/$F$23,"")</f>
        <v/>
      </c>
      <c r="P10" s="1896">
        <f>IF($K$3&lt;&gt;2,F10*E$5+J10*I$5+N10*M$5,SUM(F10,J10))</f>
        <v>0</v>
      </c>
      <c r="R10" s="2721">
        <f>SUM(P10:P12)</f>
        <v>0</v>
      </c>
      <c r="S10" s="2722"/>
    </row>
    <row r="11" spans="1:25" ht="16.5" thickTop="1">
      <c r="A11" s="1836" t="s">
        <v>720</v>
      </c>
      <c r="B11" s="1836" t="s">
        <v>721</v>
      </c>
      <c r="C11" s="1837" t="s">
        <v>722</v>
      </c>
      <c r="D11" s="1894">
        <v>0</v>
      </c>
      <c r="E11" s="1840">
        <v>0</v>
      </c>
      <c r="F11" s="1871">
        <f t="shared" si="0"/>
        <v>0</v>
      </c>
      <c r="G11" s="1895"/>
      <c r="H11" s="1894"/>
      <c r="I11" s="1840"/>
      <c r="J11" s="1871">
        <f t="shared" si="1"/>
        <v>0</v>
      </c>
      <c r="K11" s="1895"/>
      <c r="L11" s="1894"/>
      <c r="M11" s="1840"/>
      <c r="N11" s="1871">
        <f t="shared" si="2"/>
        <v>0</v>
      </c>
      <c r="O11" s="1895"/>
      <c r="P11" s="1891">
        <f t="shared" ref="P11:P22" si="3">IF($K$3&lt;&gt;2,F11*E$5+J11*I$5+N11*M$5,SUM(F11,J11))</f>
        <v>0</v>
      </c>
      <c r="R11" s="2722"/>
      <c r="S11" s="2722"/>
      <c r="T11" s="1857"/>
    </row>
    <row r="12" spans="1:25" ht="16.5" thickBot="1">
      <c r="A12" s="1831"/>
      <c r="B12" s="1831"/>
      <c r="C12" s="1864"/>
      <c r="D12" s="1865">
        <v>0</v>
      </c>
      <c r="E12" s="1866"/>
      <c r="F12" s="1867">
        <f t="shared" si="0"/>
        <v>0</v>
      </c>
      <c r="G12" s="1868"/>
      <c r="H12" s="1865"/>
      <c r="I12" s="1866"/>
      <c r="J12" s="1867">
        <f t="shared" si="1"/>
        <v>0</v>
      </c>
      <c r="K12" s="1868"/>
      <c r="L12" s="1865"/>
      <c r="M12" s="1866"/>
      <c r="N12" s="1867">
        <f t="shared" si="2"/>
        <v>0</v>
      </c>
      <c r="O12" s="1868"/>
      <c r="P12" s="1863">
        <f t="shared" si="3"/>
        <v>0</v>
      </c>
      <c r="R12" s="2722"/>
      <c r="S12" s="2722"/>
      <c r="T12" s="1857"/>
    </row>
    <row r="13" spans="1:25" ht="16.5" thickTop="1" thickBot="1">
      <c r="A13" s="1859" t="s">
        <v>593</v>
      </c>
      <c r="B13" s="1860" t="s">
        <v>594</v>
      </c>
      <c r="C13" s="1861" t="s">
        <v>235</v>
      </c>
      <c r="D13" s="1206">
        <v>1</v>
      </c>
      <c r="E13" s="1862">
        <v>0</v>
      </c>
      <c r="F13" s="1871">
        <f t="shared" si="0"/>
        <v>0</v>
      </c>
      <c r="G13" s="1303" t="str">
        <f t="shared" ref="G13:G22" si="4">IFERROR(F13/$F$23,"")</f>
        <v/>
      </c>
      <c r="H13" s="1206">
        <v>1</v>
      </c>
      <c r="I13" s="1862">
        <f>E13</f>
        <v>0</v>
      </c>
      <c r="J13" s="1871">
        <f t="shared" si="1"/>
        <v>0</v>
      </c>
      <c r="K13" s="1303" t="str">
        <f t="shared" ref="K13:K22" si="5">IFERROR(J13/$F$23,"")</f>
        <v/>
      </c>
      <c r="L13" s="1206">
        <v>1</v>
      </c>
      <c r="M13" s="1862">
        <f>E13</f>
        <v>0</v>
      </c>
      <c r="N13" s="1871">
        <f t="shared" si="2"/>
        <v>0</v>
      </c>
      <c r="O13" s="1303" t="str">
        <f t="shared" ref="O13:O22" si="6">IFERROR(N13/$F$23,"")</f>
        <v/>
      </c>
      <c r="P13" s="1863">
        <f t="shared" si="3"/>
        <v>0</v>
      </c>
      <c r="R13" s="2721">
        <f>SUM(P13:P17)</f>
        <v>0</v>
      </c>
      <c r="S13" s="2722"/>
    </row>
    <row r="14" spans="1:25" ht="15.75" thickBot="1">
      <c r="A14" s="264" t="s">
        <v>595</v>
      </c>
      <c r="B14" s="375" t="s">
        <v>594</v>
      </c>
      <c r="C14" s="1326" t="s">
        <v>235</v>
      </c>
      <c r="D14" s="1206">
        <v>1</v>
      </c>
      <c r="E14" s="263">
        <v>0</v>
      </c>
      <c r="F14" s="1858">
        <f t="shared" si="0"/>
        <v>0</v>
      </c>
      <c r="G14" s="1303" t="str">
        <f t="shared" si="4"/>
        <v/>
      </c>
      <c r="H14" s="1206">
        <v>1</v>
      </c>
      <c r="I14" s="263">
        <v>0</v>
      </c>
      <c r="J14" s="1858">
        <f t="shared" si="1"/>
        <v>0</v>
      </c>
      <c r="K14" s="1303" t="str">
        <f t="shared" si="5"/>
        <v/>
      </c>
      <c r="L14" s="1206">
        <v>1</v>
      </c>
      <c r="M14" s="263">
        <v>0</v>
      </c>
      <c r="N14" s="1858">
        <f t="shared" si="2"/>
        <v>0</v>
      </c>
      <c r="O14" s="1303" t="str">
        <f t="shared" si="6"/>
        <v/>
      </c>
      <c r="P14" s="1863">
        <f t="shared" si="3"/>
        <v>0</v>
      </c>
      <c r="R14" s="2722"/>
      <c r="S14" s="2722"/>
    </row>
    <row r="15" spans="1:25" ht="15.75" thickBot="1">
      <c r="A15" s="264" t="s">
        <v>596</v>
      </c>
      <c r="B15" s="375" t="s">
        <v>594</v>
      </c>
      <c r="C15" s="1326" t="s">
        <v>235</v>
      </c>
      <c r="D15" s="1206">
        <v>1</v>
      </c>
      <c r="E15" s="263">
        <v>0</v>
      </c>
      <c r="F15" s="1858">
        <f t="shared" si="0"/>
        <v>0</v>
      </c>
      <c r="G15" s="1303" t="str">
        <f t="shared" si="4"/>
        <v/>
      </c>
      <c r="H15" s="1206">
        <v>1</v>
      </c>
      <c r="I15" s="263">
        <v>0</v>
      </c>
      <c r="J15" s="1858">
        <f t="shared" si="1"/>
        <v>0</v>
      </c>
      <c r="K15" s="1303" t="str">
        <f t="shared" si="5"/>
        <v/>
      </c>
      <c r="L15" s="1206">
        <v>1</v>
      </c>
      <c r="M15" s="263">
        <v>0</v>
      </c>
      <c r="N15" s="1858">
        <f t="shared" si="2"/>
        <v>0</v>
      </c>
      <c r="O15" s="1303" t="str">
        <f t="shared" si="6"/>
        <v/>
      </c>
      <c r="P15" s="1863">
        <f t="shared" si="3"/>
        <v>0</v>
      </c>
      <c r="R15" s="2722"/>
      <c r="S15" s="2722"/>
    </row>
    <row r="16" spans="1:25" ht="15">
      <c r="A16" s="1021" t="s">
        <v>597</v>
      </c>
      <c r="B16" s="1880" t="s">
        <v>594</v>
      </c>
      <c r="C16" s="1881" t="s">
        <v>235</v>
      </c>
      <c r="D16" s="1882">
        <v>1</v>
      </c>
      <c r="E16" s="1883">
        <v>0</v>
      </c>
      <c r="F16" s="1884">
        <f t="shared" si="0"/>
        <v>0</v>
      </c>
      <c r="G16" s="1303" t="str">
        <f t="shared" si="4"/>
        <v/>
      </c>
      <c r="H16" s="1882">
        <v>1</v>
      </c>
      <c r="I16" s="1883">
        <v>0</v>
      </c>
      <c r="J16" s="1884">
        <f t="shared" si="1"/>
        <v>0</v>
      </c>
      <c r="K16" s="1303" t="str">
        <f t="shared" si="5"/>
        <v/>
      </c>
      <c r="L16" s="1882">
        <v>1</v>
      </c>
      <c r="M16" s="1883">
        <v>0</v>
      </c>
      <c r="N16" s="1884">
        <f t="shared" si="2"/>
        <v>0</v>
      </c>
      <c r="O16" s="1303" t="str">
        <f t="shared" si="6"/>
        <v/>
      </c>
      <c r="P16" s="1863">
        <f t="shared" si="3"/>
        <v>0</v>
      </c>
      <c r="R16" s="2722"/>
      <c r="S16" s="2722"/>
    </row>
    <row r="17" spans="1:19" ht="15.75" thickBot="1">
      <c r="A17" s="1885" t="s">
        <v>598</v>
      </c>
      <c r="B17" s="1886" t="s">
        <v>594</v>
      </c>
      <c r="C17" s="1887" t="s">
        <v>235</v>
      </c>
      <c r="D17" s="1888">
        <v>1</v>
      </c>
      <c r="E17" s="1889">
        <v>0</v>
      </c>
      <c r="F17" s="1867">
        <f t="shared" si="0"/>
        <v>0</v>
      </c>
      <c r="G17" s="1890" t="str">
        <f t="shared" si="4"/>
        <v/>
      </c>
      <c r="H17" s="1888">
        <v>1</v>
      </c>
      <c r="I17" s="1889">
        <v>0</v>
      </c>
      <c r="J17" s="1867">
        <f t="shared" si="1"/>
        <v>0</v>
      </c>
      <c r="K17" s="1890" t="str">
        <f t="shared" si="5"/>
        <v/>
      </c>
      <c r="L17" s="1888">
        <v>1</v>
      </c>
      <c r="M17" s="1889">
        <v>0</v>
      </c>
      <c r="N17" s="1867">
        <f t="shared" si="2"/>
        <v>0</v>
      </c>
      <c r="O17" s="1890" t="str">
        <f t="shared" si="6"/>
        <v/>
      </c>
      <c r="P17" s="1863">
        <f t="shared" si="3"/>
        <v>0</v>
      </c>
      <c r="R17" s="2722"/>
      <c r="S17" s="2722"/>
    </row>
    <row r="18" spans="1:19" ht="15.75" thickTop="1">
      <c r="A18" s="273"/>
      <c r="B18" s="631"/>
      <c r="C18" s="1328" t="s">
        <v>235</v>
      </c>
      <c r="D18" s="1304">
        <v>1</v>
      </c>
      <c r="E18" s="275">
        <v>0</v>
      </c>
      <c r="F18" s="1871">
        <f t="shared" si="0"/>
        <v>0</v>
      </c>
      <c r="G18" s="1303" t="str">
        <f t="shared" si="4"/>
        <v/>
      </c>
      <c r="H18" s="1304">
        <v>1</v>
      </c>
      <c r="I18" s="275">
        <f>E18</f>
        <v>0</v>
      </c>
      <c r="J18" s="1871">
        <f t="shared" si="1"/>
        <v>0</v>
      </c>
      <c r="K18" s="1303" t="str">
        <f t="shared" si="5"/>
        <v/>
      </c>
      <c r="L18" s="1304">
        <v>1</v>
      </c>
      <c r="M18" s="275">
        <f>E18</f>
        <v>0</v>
      </c>
      <c r="N18" s="1871">
        <f t="shared" si="2"/>
        <v>0</v>
      </c>
      <c r="O18" s="1303" t="str">
        <f t="shared" si="6"/>
        <v/>
      </c>
      <c r="P18" s="1863">
        <f t="shared" si="3"/>
        <v>0</v>
      </c>
      <c r="R18" s="2721">
        <f>SUM(P18:P22)</f>
        <v>0</v>
      </c>
      <c r="S18" s="2722"/>
    </row>
    <row r="19" spans="1:19" ht="15">
      <c r="A19" s="273"/>
      <c r="B19" s="631"/>
      <c r="C19" s="1329" t="s">
        <v>235</v>
      </c>
      <c r="D19" s="1304"/>
      <c r="E19" s="275">
        <v>0</v>
      </c>
      <c r="F19" s="1858">
        <f t="shared" si="0"/>
        <v>0</v>
      </c>
      <c r="G19" s="1303">
        <v>0</v>
      </c>
      <c r="H19" s="1304"/>
      <c r="I19" s="275">
        <f>E19</f>
        <v>0</v>
      </c>
      <c r="J19" s="1858">
        <f t="shared" si="1"/>
        <v>0</v>
      </c>
      <c r="K19" s="1303" t="str">
        <f t="shared" si="5"/>
        <v/>
      </c>
      <c r="L19" s="1304"/>
      <c r="M19" s="275">
        <v>0</v>
      </c>
      <c r="N19" s="1858">
        <f t="shared" si="2"/>
        <v>0</v>
      </c>
      <c r="O19" s="1303" t="str">
        <f t="shared" si="6"/>
        <v/>
      </c>
      <c r="P19" s="1863">
        <f>IF($K$3&lt;&gt;2,F19*E$5+J19*I$5+N19*M$5,SUM(F19,J19))</f>
        <v>0</v>
      </c>
      <c r="R19" s="2722"/>
      <c r="S19" s="2722"/>
    </row>
    <row r="20" spans="1:19" ht="15">
      <c r="A20" s="277" t="s">
        <v>603</v>
      </c>
      <c r="B20" s="277"/>
      <c r="C20" s="1329" t="s">
        <v>235</v>
      </c>
      <c r="D20" s="1208"/>
      <c r="E20" s="278">
        <v>0</v>
      </c>
      <c r="F20" s="1858">
        <f t="shared" si="0"/>
        <v>0</v>
      </c>
      <c r="G20" s="1303" t="str">
        <f t="shared" si="4"/>
        <v/>
      </c>
      <c r="H20" s="1208"/>
      <c r="I20" s="278">
        <v>0</v>
      </c>
      <c r="J20" s="1858">
        <f t="shared" si="1"/>
        <v>0</v>
      </c>
      <c r="K20" s="1303" t="str">
        <f t="shared" si="5"/>
        <v/>
      </c>
      <c r="L20" s="1208"/>
      <c r="M20" s="278">
        <v>0</v>
      </c>
      <c r="N20" s="1858">
        <f t="shared" si="2"/>
        <v>0</v>
      </c>
      <c r="O20" s="1303" t="str">
        <f t="shared" si="6"/>
        <v/>
      </c>
      <c r="P20" s="1863">
        <f t="shared" si="3"/>
        <v>0</v>
      </c>
      <c r="R20" s="2722"/>
      <c r="S20" s="2722"/>
    </row>
    <row r="21" spans="1:19" ht="15">
      <c r="A21" s="276"/>
      <c r="B21" s="277"/>
      <c r="C21" s="1329" t="s">
        <v>235</v>
      </c>
      <c r="D21" s="1208"/>
      <c r="E21" s="278">
        <v>0</v>
      </c>
      <c r="F21" s="1858">
        <f t="shared" si="0"/>
        <v>0</v>
      </c>
      <c r="G21" s="1303" t="str">
        <f t="shared" si="4"/>
        <v/>
      </c>
      <c r="H21" s="1208"/>
      <c r="I21" s="278">
        <v>0</v>
      </c>
      <c r="J21" s="1858">
        <f t="shared" si="1"/>
        <v>0</v>
      </c>
      <c r="K21" s="1303" t="str">
        <f t="shared" si="5"/>
        <v/>
      </c>
      <c r="L21" s="1208"/>
      <c r="M21" s="278">
        <v>0</v>
      </c>
      <c r="N21" s="1858">
        <f t="shared" si="2"/>
        <v>0</v>
      </c>
      <c r="O21" s="1303" t="str">
        <f t="shared" si="6"/>
        <v/>
      </c>
      <c r="P21" s="1863">
        <f t="shared" si="3"/>
        <v>0</v>
      </c>
      <c r="R21" s="2722"/>
      <c r="S21" s="2722"/>
    </row>
    <row r="22" spans="1:19" ht="15.75" thickBot="1">
      <c r="A22" s="279"/>
      <c r="B22" s="277"/>
      <c r="C22" s="1329" t="s">
        <v>235</v>
      </c>
      <c r="D22" s="1305"/>
      <c r="E22" s="278">
        <v>0</v>
      </c>
      <c r="F22" s="1858">
        <f t="shared" si="0"/>
        <v>0</v>
      </c>
      <c r="G22" s="1303" t="str">
        <f t="shared" si="4"/>
        <v/>
      </c>
      <c r="H22" s="1305"/>
      <c r="I22" s="278">
        <v>0</v>
      </c>
      <c r="J22" s="1858">
        <f t="shared" si="1"/>
        <v>0</v>
      </c>
      <c r="K22" s="1303" t="str">
        <f t="shared" si="5"/>
        <v/>
      </c>
      <c r="L22" s="1305"/>
      <c r="M22" s="278">
        <v>0</v>
      </c>
      <c r="N22" s="1858">
        <f t="shared" si="2"/>
        <v>0</v>
      </c>
      <c r="O22" s="1303" t="str">
        <f t="shared" si="6"/>
        <v/>
      </c>
      <c r="P22" s="1863">
        <f t="shared" si="3"/>
        <v>0</v>
      </c>
      <c r="R22" s="2722"/>
      <c r="S22" s="2722"/>
    </row>
    <row r="23" spans="1:19" ht="17.25" thickTop="1" thickBot="1">
      <c r="A23" s="1" t="s">
        <v>426</v>
      </c>
      <c r="B23" s="1"/>
      <c r="C23" s="14"/>
      <c r="D23" s="1306"/>
      <c r="E23" s="14"/>
      <c r="F23" s="178">
        <f>SUM(F10:F22)</f>
        <v>0</v>
      </c>
      <c r="G23" s="1307">
        <f>SUM(G10:G22)</f>
        <v>0</v>
      </c>
      <c r="H23" s="1306"/>
      <c r="I23" s="14"/>
      <c r="J23" s="178">
        <f>SUM(J10:J22)</f>
        <v>0</v>
      </c>
      <c r="K23" s="1307">
        <f>SUM(K10:K22)</f>
        <v>0</v>
      </c>
      <c r="L23" s="1306"/>
      <c r="M23" s="14"/>
      <c r="N23" s="178">
        <f>SUM(N10:N22)</f>
        <v>0</v>
      </c>
      <c r="O23" s="1307">
        <f>SUM(O10:O22)</f>
        <v>0</v>
      </c>
      <c r="P23" s="1344">
        <f>SUM(P10:P22)</f>
        <v>0</v>
      </c>
    </row>
    <row r="24" spans="1:19" ht="13.5" thickBot="1">
      <c r="A24" s="25" t="s">
        <v>719</v>
      </c>
      <c r="D24" s="1872">
        <f>SUM(D10)</f>
        <v>200</v>
      </c>
      <c r="E24" s="3" t="str">
        <f>$C$10</f>
        <v>kg</v>
      </c>
      <c r="F24" s="3"/>
      <c r="G24" s="1259"/>
      <c r="H24" s="1872">
        <f>SUM(H10:H12)</f>
        <v>220</v>
      </c>
      <c r="I24" s="3" t="str">
        <f>$C$10</f>
        <v>kg</v>
      </c>
      <c r="J24" s="3"/>
      <c r="K24" s="1259"/>
      <c r="L24" s="1872">
        <f>SUM(L10:L12)</f>
        <v>240</v>
      </c>
      <c r="M24" s="3" t="str">
        <f>$C$10</f>
        <v>kg</v>
      </c>
      <c r="O24" s="1255"/>
      <c r="P24" s="52"/>
      <c r="R24" s="1872">
        <f>D24*E5+H24*I5+L24*M5</f>
        <v>0</v>
      </c>
      <c r="S24" s="3" t="str">
        <f>$C$10</f>
        <v>kg</v>
      </c>
    </row>
    <row r="25" spans="1:19" ht="18">
      <c r="A25" s="79" t="str">
        <f>IF(K3&lt;&gt;2,"Muuttuvat kust. €/eläin","Muuttuvat kust. €/karja")</f>
        <v>Muuttuvat kust. €/eläin</v>
      </c>
      <c r="D25" s="1898">
        <f>F23/E6</f>
        <v>0</v>
      </c>
      <c r="E25" t="str">
        <f>"Tulot "&amp;$Q$6&amp;" kohden"</f>
        <v>Tulot Eläinkasvupäivää kohden</v>
      </c>
      <c r="G25" s="1255"/>
      <c r="H25" s="1898">
        <f>J23/I6</f>
        <v>0</v>
      </c>
      <c r="I25" t="str">
        <f>"Tulot "&amp;$Q$6&amp;" kohden"</f>
        <v>Tulot Eläinkasvupäivää kohden</v>
      </c>
      <c r="K25" s="1255"/>
      <c r="L25" s="1898">
        <f>N23/M6</f>
        <v>0</v>
      </c>
      <c r="M25" t="str">
        <f>"Tulot "&amp;$Q$6&amp;" kohden"</f>
        <v>Tulot Eläinkasvupäivää kohden</v>
      </c>
      <c r="O25" s="1255"/>
      <c r="P25" s="52"/>
      <c r="R25" s="1897" t="e">
        <f>P23/$P$6</f>
        <v>#DIV/0!</v>
      </c>
      <c r="S25" t="str">
        <f>"Tulot "&amp;$Q$6&amp;" kohden"</f>
        <v>Tulot Eläinkasvupäivää kohden</v>
      </c>
    </row>
    <row r="26" spans="1:19" s="247" customFormat="1" ht="18.75" thickBot="1">
      <c r="A26" s="1" t="s">
        <v>723</v>
      </c>
      <c r="B26" s="1" t="s">
        <v>427</v>
      </c>
      <c r="C26" s="252" t="s">
        <v>146</v>
      </c>
      <c r="D26" s="1308" t="s">
        <v>147</v>
      </c>
      <c r="E26" s="252" t="s">
        <v>428</v>
      </c>
      <c r="F26" s="252" t="s">
        <v>235</v>
      </c>
      <c r="G26" s="1302" t="s">
        <v>159</v>
      </c>
      <c r="H26" s="1308" t="s">
        <v>147</v>
      </c>
      <c r="I26" s="252" t="s">
        <v>428</v>
      </c>
      <c r="J26" s="252" t="s">
        <v>235</v>
      </c>
      <c r="K26" s="1302" t="s">
        <v>159</v>
      </c>
      <c r="L26" s="1308" t="s">
        <v>147</v>
      </c>
      <c r="M26" s="252" t="s">
        <v>428</v>
      </c>
      <c r="N26" s="252" t="s">
        <v>235</v>
      </c>
      <c r="O26" s="1302" t="s">
        <v>159</v>
      </c>
      <c r="P26" s="252" t="s">
        <v>590</v>
      </c>
    </row>
    <row r="27" spans="1:19" s="14" customFormat="1" ht="18.75" thickBot="1">
      <c r="A27" s="377" t="s">
        <v>604</v>
      </c>
      <c r="B27" s="378" t="s">
        <v>605</v>
      </c>
      <c r="C27" s="1330" t="s">
        <v>606</v>
      </c>
      <c r="D27" s="1309">
        <v>3700</v>
      </c>
      <c r="E27" s="381">
        <v>0</v>
      </c>
      <c r="F27" s="1858">
        <f>IF(E$5&gt;0,IF($K$3&lt;&gt;2,D27*E27,E$5*D27*E27),0)</f>
        <v>0</v>
      </c>
      <c r="G27" s="1303" t="e">
        <f t="shared" ref="G27:G43" si="7">F27/$F$68</f>
        <v>#DIV/0!</v>
      </c>
      <c r="H27" s="1309">
        <v>3500</v>
      </c>
      <c r="I27" s="381">
        <v>0</v>
      </c>
      <c r="J27" s="1858">
        <f>IF(I$5&gt;0,IF($K$3&lt;&gt;2,H27*I27,I$5*H27*I27),0)</f>
        <v>0</v>
      </c>
      <c r="K27" s="1303" t="e">
        <f t="shared" ref="K27:K43" si="8">J27/$F$68</f>
        <v>#DIV/0!</v>
      </c>
      <c r="L27" s="1309">
        <v>3200</v>
      </c>
      <c r="M27" s="381">
        <f>E27</f>
        <v>0</v>
      </c>
      <c r="N27" s="1858">
        <f>IF(M$5&gt;0,IF($K$3&lt;&gt;2,L27*M27,M$5*L27*M27),0)</f>
        <v>0</v>
      </c>
      <c r="O27" s="1303" t="e">
        <f t="shared" ref="O27:O43" si="9">N27/$F$68</f>
        <v>#DIV/0!</v>
      </c>
      <c r="P27" s="1863">
        <f>IF($K$3&lt;&gt;2,F27*E$5+J27*I$5+N27*M$5,SUM(F27,J27))</f>
        <v>0</v>
      </c>
      <c r="Q27" t="s">
        <v>607</v>
      </c>
      <c r="S27" s="247"/>
    </row>
    <row r="28" spans="1:19" s="14" customFormat="1" ht="15.75" thickBot="1">
      <c r="A28" s="377" t="s">
        <v>608</v>
      </c>
      <c r="B28" s="378" t="s">
        <v>609</v>
      </c>
      <c r="C28" s="1330" t="s">
        <v>606</v>
      </c>
      <c r="D28" s="1309">
        <v>1600</v>
      </c>
      <c r="E28" s="381">
        <v>0</v>
      </c>
      <c r="F28" s="1858">
        <f t="shared" ref="F28:F43" si="10">IF(E$5&gt;0,IF($K$3&lt;&gt;2,D28*E28,E$5*D28*E28),0)</f>
        <v>0</v>
      </c>
      <c r="G28" s="1303" t="e">
        <f t="shared" si="7"/>
        <v>#DIV/0!</v>
      </c>
      <c r="H28" s="1309">
        <v>1600</v>
      </c>
      <c r="I28" s="381">
        <f t="shared" ref="I28:I34" si="11">E28</f>
        <v>0</v>
      </c>
      <c r="J28" s="1858">
        <f t="shared" ref="J28:J39" si="12">IF(I$5&gt;0,IF($K$3&lt;&gt;2,H28*I28,I$5*H28*I28),0)</f>
        <v>0</v>
      </c>
      <c r="K28" s="1303" t="e">
        <f t="shared" si="8"/>
        <v>#DIV/0!</v>
      </c>
      <c r="L28" s="1309">
        <v>1200</v>
      </c>
      <c r="M28" s="381">
        <f t="shared" ref="M28:M34" si="13">E28</f>
        <v>0</v>
      </c>
      <c r="N28" s="1858">
        <f t="shared" ref="N28:N39" si="14">IF(M$5&gt;0,IF($K$3&lt;&gt;2,L28*M28,M$5*L28*M28),0)</f>
        <v>0</v>
      </c>
      <c r="O28" s="1303" t="e">
        <f t="shared" si="9"/>
        <v>#DIV/0!</v>
      </c>
      <c r="P28" s="1863">
        <f t="shared" ref="P28:P39" si="15">IF($K$3&lt;&gt;2,F28*E$5+J28*I$5+N28*M$5,SUM(F28,J28))</f>
        <v>0</v>
      </c>
      <c r="Q28" t="s">
        <v>610</v>
      </c>
    </row>
    <row r="29" spans="1:19" s="14" customFormat="1" ht="15.75" thickBot="1">
      <c r="A29" s="377" t="s">
        <v>611</v>
      </c>
      <c r="B29" s="377" t="s">
        <v>612</v>
      </c>
      <c r="C29" s="1330" t="s">
        <v>137</v>
      </c>
      <c r="D29" s="1309">
        <v>0</v>
      </c>
      <c r="E29" s="381">
        <v>0</v>
      </c>
      <c r="F29" s="1858">
        <f t="shared" si="10"/>
        <v>0</v>
      </c>
      <c r="G29" s="1303" t="e">
        <f t="shared" si="7"/>
        <v>#DIV/0!</v>
      </c>
      <c r="H29" s="1309">
        <v>0</v>
      </c>
      <c r="I29" s="381">
        <f t="shared" si="11"/>
        <v>0</v>
      </c>
      <c r="J29" s="1858">
        <f t="shared" si="12"/>
        <v>0</v>
      </c>
      <c r="K29" s="1303" t="e">
        <f t="shared" si="8"/>
        <v>#DIV/0!</v>
      </c>
      <c r="L29" s="1309">
        <v>0</v>
      </c>
      <c r="M29" s="381">
        <f t="shared" si="13"/>
        <v>0</v>
      </c>
      <c r="N29" s="1858">
        <f t="shared" si="14"/>
        <v>0</v>
      </c>
      <c r="O29" s="1303" t="e">
        <f t="shared" si="9"/>
        <v>#DIV/0!</v>
      </c>
      <c r="P29" s="1892">
        <f t="shared" si="15"/>
        <v>0</v>
      </c>
      <c r="Q29" t="s">
        <v>610</v>
      </c>
    </row>
    <row r="30" spans="1:19" s="14" customFormat="1" ht="15">
      <c r="A30" s="277" t="s">
        <v>613</v>
      </c>
      <c r="B30" s="277" t="s">
        <v>614</v>
      </c>
      <c r="C30" s="1329" t="s">
        <v>137</v>
      </c>
      <c r="D30" s="1310">
        <v>0</v>
      </c>
      <c r="E30" s="383">
        <v>0</v>
      </c>
      <c r="F30" s="1858">
        <f t="shared" si="10"/>
        <v>0</v>
      </c>
      <c r="G30" s="1303" t="e">
        <f t="shared" si="7"/>
        <v>#DIV/0!</v>
      </c>
      <c r="H30" s="1310">
        <f>D30</f>
        <v>0</v>
      </c>
      <c r="I30" s="383">
        <f t="shared" si="11"/>
        <v>0</v>
      </c>
      <c r="J30" s="1858">
        <f t="shared" si="12"/>
        <v>0</v>
      </c>
      <c r="K30" s="1303" t="e">
        <f t="shared" si="8"/>
        <v>#DIV/0!</v>
      </c>
      <c r="L30" s="1310">
        <f>H30</f>
        <v>0</v>
      </c>
      <c r="M30" s="383">
        <f t="shared" si="13"/>
        <v>0</v>
      </c>
      <c r="N30" s="1858">
        <f t="shared" si="14"/>
        <v>0</v>
      </c>
      <c r="O30" s="1303" t="e">
        <f t="shared" si="9"/>
        <v>#DIV/0!</v>
      </c>
      <c r="P30" s="1891">
        <f t="shared" si="15"/>
        <v>0</v>
      </c>
      <c r="Q30"/>
    </row>
    <row r="31" spans="1:19" s="14" customFormat="1" ht="15">
      <c r="A31" s="277" t="s">
        <v>615</v>
      </c>
      <c r="B31" s="277"/>
      <c r="C31" s="1329" t="s">
        <v>137</v>
      </c>
      <c r="D31" s="1310">
        <v>0</v>
      </c>
      <c r="E31" s="383">
        <v>0</v>
      </c>
      <c r="F31" s="1858">
        <f t="shared" si="10"/>
        <v>0</v>
      </c>
      <c r="G31" s="1303" t="e">
        <f t="shared" si="7"/>
        <v>#DIV/0!</v>
      </c>
      <c r="H31" s="1310">
        <f t="shared" ref="H31:H39" si="16">D31</f>
        <v>0</v>
      </c>
      <c r="I31" s="383">
        <f t="shared" si="11"/>
        <v>0</v>
      </c>
      <c r="J31" s="1858">
        <f t="shared" si="12"/>
        <v>0</v>
      </c>
      <c r="K31" s="1303" t="e">
        <f t="shared" si="8"/>
        <v>#DIV/0!</v>
      </c>
      <c r="L31" s="1310">
        <f t="shared" ref="L31:L39" si="17">H31</f>
        <v>0</v>
      </c>
      <c r="M31" s="383">
        <f t="shared" si="13"/>
        <v>0</v>
      </c>
      <c r="N31" s="1858">
        <f t="shared" si="14"/>
        <v>0</v>
      </c>
      <c r="O31" s="1303" t="e">
        <f t="shared" si="9"/>
        <v>#DIV/0!</v>
      </c>
      <c r="P31" s="1863">
        <f t="shared" si="15"/>
        <v>0</v>
      </c>
      <c r="Q31"/>
    </row>
    <row r="32" spans="1:19" s="14" customFormat="1" ht="15">
      <c r="A32" s="277" t="s">
        <v>615</v>
      </c>
      <c r="B32" s="277"/>
      <c r="C32" s="1329" t="s">
        <v>137</v>
      </c>
      <c r="D32" s="1310">
        <v>0</v>
      </c>
      <c r="E32" s="383">
        <v>0</v>
      </c>
      <c r="F32" s="1858">
        <f t="shared" si="10"/>
        <v>0</v>
      </c>
      <c r="G32" s="1303" t="e">
        <f t="shared" si="7"/>
        <v>#DIV/0!</v>
      </c>
      <c r="H32" s="1310">
        <f t="shared" si="16"/>
        <v>0</v>
      </c>
      <c r="I32" s="383">
        <f t="shared" si="11"/>
        <v>0</v>
      </c>
      <c r="J32" s="1858">
        <f t="shared" si="12"/>
        <v>0</v>
      </c>
      <c r="K32" s="1303" t="e">
        <f t="shared" si="8"/>
        <v>#DIV/0!</v>
      </c>
      <c r="L32" s="1310">
        <f t="shared" si="17"/>
        <v>0</v>
      </c>
      <c r="M32" s="383">
        <f t="shared" si="13"/>
        <v>0</v>
      </c>
      <c r="N32" s="1858">
        <f t="shared" si="14"/>
        <v>0</v>
      </c>
      <c r="O32" s="1303" t="e">
        <f t="shared" si="9"/>
        <v>#DIV/0!</v>
      </c>
      <c r="P32" s="1863">
        <f t="shared" si="15"/>
        <v>0</v>
      </c>
      <c r="Q32"/>
    </row>
    <row r="33" spans="1:19" s="14" customFormat="1" ht="15">
      <c r="A33" s="277"/>
      <c r="B33" s="277"/>
      <c r="C33" s="1329"/>
      <c r="D33" s="1310">
        <v>0</v>
      </c>
      <c r="E33" s="383">
        <v>0</v>
      </c>
      <c r="F33" s="1858">
        <f t="shared" si="10"/>
        <v>0</v>
      </c>
      <c r="G33" s="1303" t="e">
        <f t="shared" si="7"/>
        <v>#DIV/0!</v>
      </c>
      <c r="H33" s="1310">
        <f t="shared" si="16"/>
        <v>0</v>
      </c>
      <c r="I33" s="383">
        <f t="shared" si="11"/>
        <v>0</v>
      </c>
      <c r="J33" s="1858">
        <f t="shared" si="12"/>
        <v>0</v>
      </c>
      <c r="K33" s="1303" t="e">
        <f t="shared" si="8"/>
        <v>#DIV/0!</v>
      </c>
      <c r="L33" s="1310">
        <f t="shared" si="17"/>
        <v>0</v>
      </c>
      <c r="M33" s="383">
        <f t="shared" si="13"/>
        <v>0</v>
      </c>
      <c r="N33" s="1858">
        <f t="shared" si="14"/>
        <v>0</v>
      </c>
      <c r="O33" s="1303" t="e">
        <f t="shared" si="9"/>
        <v>#DIV/0!</v>
      </c>
      <c r="P33" s="1863">
        <f t="shared" si="15"/>
        <v>0</v>
      </c>
      <c r="Q33"/>
    </row>
    <row r="34" spans="1:19" s="14" customFormat="1" ht="15">
      <c r="A34" s="277" t="s">
        <v>724</v>
      </c>
      <c r="B34" s="277"/>
      <c r="C34" s="1329" t="s">
        <v>618</v>
      </c>
      <c r="D34" s="1310">
        <v>0</v>
      </c>
      <c r="E34" s="383">
        <v>0</v>
      </c>
      <c r="F34" s="1858">
        <f t="shared" si="10"/>
        <v>0</v>
      </c>
      <c r="G34" s="1303" t="e">
        <f t="shared" si="7"/>
        <v>#DIV/0!</v>
      </c>
      <c r="H34" s="1310">
        <f t="shared" si="16"/>
        <v>0</v>
      </c>
      <c r="I34" s="383">
        <f t="shared" si="11"/>
        <v>0</v>
      </c>
      <c r="J34" s="1858">
        <f t="shared" si="12"/>
        <v>0</v>
      </c>
      <c r="K34" s="1303" t="e">
        <f t="shared" si="8"/>
        <v>#DIV/0!</v>
      </c>
      <c r="L34" s="1310">
        <f t="shared" si="17"/>
        <v>0</v>
      </c>
      <c r="M34" s="383">
        <f t="shared" si="13"/>
        <v>0</v>
      </c>
      <c r="N34" s="1858">
        <f t="shared" si="14"/>
        <v>0</v>
      </c>
      <c r="O34" s="1303" t="e">
        <f t="shared" si="9"/>
        <v>#DIV/0!</v>
      </c>
      <c r="P34" s="1863">
        <f t="shared" si="15"/>
        <v>0</v>
      </c>
      <c r="Q34"/>
    </row>
    <row r="35" spans="1:19" s="14" customFormat="1" ht="15">
      <c r="A35" s="277" t="s">
        <v>619</v>
      </c>
      <c r="B35" s="277"/>
      <c r="C35" s="1329" t="s">
        <v>150</v>
      </c>
      <c r="D35" s="1310">
        <v>0</v>
      </c>
      <c r="E35" s="383">
        <v>0</v>
      </c>
      <c r="F35" s="1858">
        <f t="shared" si="10"/>
        <v>0</v>
      </c>
      <c r="G35" s="1303" t="e">
        <f t="shared" si="7"/>
        <v>#DIV/0!</v>
      </c>
      <c r="H35" s="1310">
        <f t="shared" si="16"/>
        <v>0</v>
      </c>
      <c r="I35" s="383">
        <f>E35</f>
        <v>0</v>
      </c>
      <c r="J35" s="1858">
        <f t="shared" si="12"/>
        <v>0</v>
      </c>
      <c r="K35" s="1303" t="e">
        <f t="shared" si="8"/>
        <v>#DIV/0!</v>
      </c>
      <c r="L35" s="1310">
        <f t="shared" si="17"/>
        <v>0</v>
      </c>
      <c r="M35" s="383">
        <f>E35</f>
        <v>0</v>
      </c>
      <c r="N35" s="1858">
        <f t="shared" si="14"/>
        <v>0</v>
      </c>
      <c r="O35" s="1303" t="e">
        <f t="shared" si="9"/>
        <v>#DIV/0!</v>
      </c>
      <c r="P35" s="1863">
        <f t="shared" si="15"/>
        <v>0</v>
      </c>
      <c r="Q35"/>
    </row>
    <row r="36" spans="1:19" ht="15">
      <c r="A36" s="277"/>
      <c r="B36" s="277"/>
      <c r="C36" s="1329"/>
      <c r="D36" s="1310">
        <v>0</v>
      </c>
      <c r="E36" s="383">
        <v>0</v>
      </c>
      <c r="F36" s="1858">
        <f t="shared" si="10"/>
        <v>0</v>
      </c>
      <c r="G36" s="1303" t="e">
        <f t="shared" si="7"/>
        <v>#DIV/0!</v>
      </c>
      <c r="H36" s="1310">
        <f t="shared" si="16"/>
        <v>0</v>
      </c>
      <c r="I36" s="383">
        <v>0</v>
      </c>
      <c r="J36" s="1858">
        <f t="shared" si="12"/>
        <v>0</v>
      </c>
      <c r="K36" s="1303" t="e">
        <f t="shared" si="8"/>
        <v>#DIV/0!</v>
      </c>
      <c r="L36" s="1310">
        <f t="shared" si="17"/>
        <v>0</v>
      </c>
      <c r="M36" s="383">
        <v>0</v>
      </c>
      <c r="N36" s="1858">
        <f t="shared" si="14"/>
        <v>0</v>
      </c>
      <c r="O36" s="1303" t="e">
        <f t="shared" si="9"/>
        <v>#DIV/0!</v>
      </c>
      <c r="P36" s="1863">
        <f t="shared" si="15"/>
        <v>0</v>
      </c>
      <c r="R36" s="14"/>
      <c r="S36" s="14"/>
    </row>
    <row r="37" spans="1:19" ht="15">
      <c r="A37" s="277" t="s">
        <v>28</v>
      </c>
      <c r="B37" s="277"/>
      <c r="C37" s="1329"/>
      <c r="D37" s="1311">
        <v>0</v>
      </c>
      <c r="E37" s="383">
        <v>0</v>
      </c>
      <c r="F37" s="1858">
        <f t="shared" si="10"/>
        <v>0</v>
      </c>
      <c r="G37" s="1303" t="e">
        <f t="shared" si="7"/>
        <v>#DIV/0!</v>
      </c>
      <c r="H37" s="1310">
        <f t="shared" si="16"/>
        <v>0</v>
      </c>
      <c r="I37" s="383">
        <v>0</v>
      </c>
      <c r="J37" s="1858">
        <f t="shared" si="12"/>
        <v>0</v>
      </c>
      <c r="K37" s="1303" t="e">
        <f t="shared" si="8"/>
        <v>#DIV/0!</v>
      </c>
      <c r="L37" s="1310">
        <f t="shared" si="17"/>
        <v>0</v>
      </c>
      <c r="M37" s="383">
        <v>0</v>
      </c>
      <c r="N37" s="1858">
        <f t="shared" si="14"/>
        <v>0</v>
      </c>
      <c r="O37" s="1303" t="e">
        <f t="shared" si="9"/>
        <v>#DIV/0!</v>
      </c>
      <c r="P37" s="1863">
        <f t="shared" si="15"/>
        <v>0</v>
      </c>
    </row>
    <row r="38" spans="1:19" ht="15">
      <c r="A38" s="277" t="s">
        <v>725</v>
      </c>
      <c r="B38" s="277"/>
      <c r="C38" s="1329" t="s">
        <v>150</v>
      </c>
      <c r="D38" s="1311">
        <v>1</v>
      </c>
      <c r="E38" s="1899">
        <v>0</v>
      </c>
      <c r="F38" s="1858">
        <f t="shared" si="10"/>
        <v>0</v>
      </c>
      <c r="G38" s="1303" t="e">
        <f t="shared" si="7"/>
        <v>#DIV/0!</v>
      </c>
      <c r="H38" s="1310">
        <f t="shared" si="16"/>
        <v>1</v>
      </c>
      <c r="I38" s="1348">
        <v>0</v>
      </c>
      <c r="J38" s="1858">
        <f t="shared" si="12"/>
        <v>0</v>
      </c>
      <c r="K38" s="1303" t="e">
        <f t="shared" si="8"/>
        <v>#DIV/0!</v>
      </c>
      <c r="L38" s="1310">
        <f t="shared" si="17"/>
        <v>1</v>
      </c>
      <c r="M38" s="1348">
        <v>0</v>
      </c>
      <c r="N38" s="1858">
        <f t="shared" si="14"/>
        <v>0</v>
      </c>
      <c r="O38" s="1303" t="e">
        <f t="shared" si="9"/>
        <v>#DIV/0!</v>
      </c>
      <c r="P38" s="1863">
        <f t="shared" si="15"/>
        <v>0</v>
      </c>
    </row>
    <row r="39" spans="1:19" ht="15">
      <c r="A39" s="277"/>
      <c r="B39" s="277"/>
      <c r="C39" s="1329"/>
      <c r="D39" s="1311"/>
      <c r="E39" s="1554">
        <v>0</v>
      </c>
      <c r="F39" s="1858">
        <f t="shared" si="10"/>
        <v>0</v>
      </c>
      <c r="G39" s="1303" t="e">
        <f t="shared" si="7"/>
        <v>#DIV/0!</v>
      </c>
      <c r="H39" s="1310">
        <f t="shared" si="16"/>
        <v>0</v>
      </c>
      <c r="I39" s="383">
        <v>0</v>
      </c>
      <c r="J39" s="1858">
        <f t="shared" si="12"/>
        <v>0</v>
      </c>
      <c r="K39" s="1303" t="e">
        <f t="shared" si="8"/>
        <v>#DIV/0!</v>
      </c>
      <c r="L39" s="1310">
        <f t="shared" si="17"/>
        <v>0</v>
      </c>
      <c r="M39" s="383">
        <v>0</v>
      </c>
      <c r="N39" s="1858">
        <f t="shared" si="14"/>
        <v>0</v>
      </c>
      <c r="O39" s="1303" t="e">
        <f t="shared" si="9"/>
        <v>#DIV/0!</v>
      </c>
      <c r="P39" s="1863">
        <f t="shared" si="15"/>
        <v>0</v>
      </c>
    </row>
    <row r="40" spans="1:19" ht="15.75" thickBot="1">
      <c r="A40" s="1545" t="s">
        <v>444</v>
      </c>
      <c r="B40" s="1549">
        <f>IF(E4&gt;0,SUMIF('Muut kustannustiedot'!$H$38:$H$48,"eläin",'Muut kustannustiedot'!$V$38:$V$48)*Lähtötiedot!C76,0)</f>
        <v>0</v>
      </c>
      <c r="C40" s="1541" t="s">
        <v>235</v>
      </c>
      <c r="D40" s="1552">
        <v>1</v>
      </c>
      <c r="E40" s="1555">
        <f>IF(E5&gt;0,$B$40*D40*F5,0)</f>
        <v>0</v>
      </c>
      <c r="F40" s="1858">
        <f>IF(E$5&gt;0,IF($K$3&lt;&gt;2,D40*E40/E$5,D40*E40),0)</f>
        <v>0</v>
      </c>
      <c r="G40" s="873" t="e">
        <f t="shared" si="7"/>
        <v>#DIV/0!</v>
      </c>
      <c r="H40" s="1152">
        <v>1</v>
      </c>
      <c r="I40" s="1555">
        <f>IF(I5&gt;0,$B$40*H40*J5,0)</f>
        <v>0</v>
      </c>
      <c r="J40" s="1858">
        <f>IF(I$5&gt;0,IF($K$3&lt;&gt;2,H40*I40/I$5,H40*I40),0)</f>
        <v>0</v>
      </c>
      <c r="K40" s="1303" t="e">
        <f t="shared" si="8"/>
        <v>#DIV/0!</v>
      </c>
      <c r="L40" s="1152">
        <v>1</v>
      </c>
      <c r="M40" s="1555">
        <f>IF(M5&gt;0,$B$40*L40*N5,0)</f>
        <v>0</v>
      </c>
      <c r="N40" s="1858">
        <f>IF(M$5&gt;0,IF($K$3&lt;&gt;2,L40*M40/M$5,L40*M40),0)</f>
        <v>0</v>
      </c>
      <c r="O40" s="1303" t="e">
        <f t="shared" si="9"/>
        <v>#DIV/0!</v>
      </c>
      <c r="P40" s="1863">
        <f>IF($K$3&lt;&gt;2,F40*E$5+J40*I$5+N40*M$5,SUM(F40,J40))</f>
        <v>0</v>
      </c>
    </row>
    <row r="41" spans="1:19" ht="16.5" thickBot="1">
      <c r="A41" s="2712" t="s">
        <v>622</v>
      </c>
      <c r="B41" s="2713"/>
      <c r="C41" s="2714"/>
      <c r="D41" s="1343"/>
      <c r="E41" s="1342"/>
      <c r="F41" s="1875">
        <f>SUM(F27:F40)</f>
        <v>0</v>
      </c>
      <c r="G41" s="1341" t="e">
        <f t="shared" si="7"/>
        <v>#DIV/0!</v>
      </c>
      <c r="H41" s="385"/>
      <c r="I41" s="385"/>
      <c r="J41" s="1876">
        <v>1</v>
      </c>
      <c r="K41" s="1313" t="e">
        <f t="shared" si="8"/>
        <v>#DIV/0!</v>
      </c>
      <c r="L41" s="1312"/>
      <c r="M41" s="385"/>
      <c r="N41" s="1876">
        <f>SUM(N27:N40)</f>
        <v>0</v>
      </c>
      <c r="O41" s="1313" t="e">
        <f t="shared" si="9"/>
        <v>#DIV/0!</v>
      </c>
      <c r="P41" s="1345">
        <f>SUM(P27:P40)</f>
        <v>0</v>
      </c>
    </row>
    <row r="42" spans="1:19" ht="15.75" thickBot="1">
      <c r="A42" s="284" t="s">
        <v>623</v>
      </c>
      <c r="B42" s="387" t="s">
        <v>624</v>
      </c>
      <c r="C42" s="1331" t="s">
        <v>159</v>
      </c>
      <c r="D42" s="1874">
        <f>F38</f>
        <v>0</v>
      </c>
      <c r="E42" s="1334">
        <v>0.01</v>
      </c>
      <c r="F42" s="1858">
        <f t="shared" si="10"/>
        <v>0</v>
      </c>
      <c r="G42" s="1336" t="e">
        <f t="shared" si="7"/>
        <v>#DIV/0!</v>
      </c>
      <c r="H42" s="1874">
        <f>J38</f>
        <v>0</v>
      </c>
      <c r="I42" s="1334">
        <v>0.01</v>
      </c>
      <c r="J42" s="1335">
        <f t="shared" ref="J42:J43" si="18">H42*I42</f>
        <v>0</v>
      </c>
      <c r="K42" s="1303" t="e">
        <f t="shared" si="8"/>
        <v>#DIV/0!</v>
      </c>
      <c r="L42" s="1874">
        <f>N38</f>
        <v>0</v>
      </c>
      <c r="M42" s="1334">
        <v>0.01</v>
      </c>
      <c r="N42" s="1335">
        <f t="shared" ref="N42:N43" si="19">L42*M42</f>
        <v>0</v>
      </c>
      <c r="O42" s="1303" t="e">
        <f t="shared" si="9"/>
        <v>#DIV/0!</v>
      </c>
      <c r="P42" s="1863">
        <f>IF($K$3&lt;&gt;2,F42*E$5+J42*I$5+N42*M$5,SUM(F42,J42))</f>
        <v>0</v>
      </c>
      <c r="Q42" t="s">
        <v>726</v>
      </c>
    </row>
    <row r="43" spans="1:19" ht="16.5" thickTop="1" thickBot="1">
      <c r="A43" s="284" t="s">
        <v>447</v>
      </c>
      <c r="B43" s="388"/>
      <c r="C43" s="1331" t="s">
        <v>159</v>
      </c>
      <c r="D43" s="1315">
        <f>D48*E48</f>
        <v>0</v>
      </c>
      <c r="E43" s="287">
        <v>0.01</v>
      </c>
      <c r="F43" s="1858">
        <f t="shared" si="10"/>
        <v>0</v>
      </c>
      <c r="G43" s="1303" t="e">
        <f t="shared" si="7"/>
        <v>#DIV/0!</v>
      </c>
      <c r="H43" s="1315">
        <f>H48*I48</f>
        <v>9</v>
      </c>
      <c r="I43" s="287">
        <v>0.01</v>
      </c>
      <c r="J43" s="172">
        <f t="shared" si="18"/>
        <v>0.09</v>
      </c>
      <c r="K43" s="1303" t="e">
        <f t="shared" si="8"/>
        <v>#DIV/0!</v>
      </c>
      <c r="L43" s="1315">
        <f>L48*M48</f>
        <v>12</v>
      </c>
      <c r="M43" s="287">
        <v>0.01</v>
      </c>
      <c r="N43" s="172">
        <f t="shared" si="19"/>
        <v>0.12</v>
      </c>
      <c r="O43" s="1303" t="e">
        <f t="shared" si="9"/>
        <v>#DIV/0!</v>
      </c>
      <c r="P43" s="1863">
        <f>IF($K$3&lt;&gt;2,F43*E$5+J43*I$5+N43*M$5,SUM(F43,J43))</f>
        <v>0</v>
      </c>
      <c r="Q43" t="s">
        <v>520</v>
      </c>
    </row>
    <row r="44" spans="1:19" ht="17.25" thickTop="1" thickBot="1">
      <c r="A44" s="1" t="s">
        <v>448</v>
      </c>
      <c r="B44" s="1"/>
      <c r="D44" s="1306"/>
      <c r="E44" s="14"/>
      <c r="F44" s="178">
        <f>SUM(F27:F40,F42:F43)</f>
        <v>0</v>
      </c>
      <c r="G44" s="1352" t="e">
        <f>F44/F68</f>
        <v>#DIV/0!</v>
      </c>
      <c r="H44" s="1316"/>
      <c r="I44" s="389"/>
      <c r="J44" s="178">
        <f>SUM(J27:J40,J42:J43)</f>
        <v>0.09</v>
      </c>
      <c r="K44" s="1352">
        <f>J44/J68</f>
        <v>1.996007984031936E-3</v>
      </c>
      <c r="L44" s="1316"/>
      <c r="M44" s="389"/>
      <c r="N44" s="178">
        <f>SUM(N27:N40,N42:N43)</f>
        <v>0.12</v>
      </c>
      <c r="O44" s="1352">
        <f>N44/N68</f>
        <v>1.996007984031936E-3</v>
      </c>
      <c r="P44" s="1368">
        <f>SUM(P27:P40,P42:P43)</f>
        <v>0</v>
      </c>
      <c r="R44" s="1897" t="e">
        <f>P44/$P$6</f>
        <v>#DIV/0!</v>
      </c>
      <c r="S44" t="str">
        <f>"Mukut "&amp;$Q$6&amp;" kohden"</f>
        <v>Mukut Eläinkasvupäivää kohden</v>
      </c>
    </row>
    <row r="45" spans="1:19" ht="16.5" thickBot="1">
      <c r="A45" s="1" t="s">
        <v>449</v>
      </c>
      <c r="B45" s="52" t="s">
        <v>450</v>
      </c>
      <c r="D45" s="1306"/>
      <c r="E45" s="14"/>
      <c r="F45" s="291">
        <f>F23-F44</f>
        <v>0</v>
      </c>
      <c r="G45" s="1303"/>
      <c r="H45" s="1314"/>
      <c r="I45" s="189"/>
      <c r="J45" s="291">
        <f>J23-J44</f>
        <v>-0.09</v>
      </c>
      <c r="K45" s="1303"/>
      <c r="L45" s="1314"/>
      <c r="M45" s="189"/>
      <c r="N45" s="291">
        <f>N23-N44</f>
        <v>-0.12</v>
      </c>
      <c r="O45" s="1303"/>
      <c r="P45" s="1367">
        <f>P23-P44</f>
        <v>0</v>
      </c>
      <c r="R45" s="2415" t="s">
        <v>1847</v>
      </c>
    </row>
    <row r="46" spans="1:19" ht="15.75">
      <c r="A46" s="1"/>
      <c r="B46" s="1"/>
      <c r="D46" s="1306"/>
      <c r="E46" s="14"/>
      <c r="F46" s="291"/>
      <c r="G46" s="1255"/>
      <c r="H46" s="1317"/>
      <c r="I46" s="52"/>
      <c r="J46" s="52"/>
      <c r="K46" s="1255"/>
      <c r="L46" s="1317"/>
      <c r="M46" s="52"/>
      <c r="N46" s="52"/>
      <c r="O46" s="1255"/>
      <c r="P46" s="52"/>
    </row>
    <row r="47" spans="1:19" ht="18.75">
      <c r="C47" s="841"/>
      <c r="D47" s="1365" t="s">
        <v>451</v>
      </c>
      <c r="E47" s="1337" t="s">
        <v>452</v>
      </c>
      <c r="G47" s="1255"/>
      <c r="H47" s="1365" t="s">
        <v>451</v>
      </c>
      <c r="I47" s="1337" t="s">
        <v>452</v>
      </c>
      <c r="J47" s="52"/>
      <c r="K47" s="1255"/>
      <c r="L47" s="1365" t="s">
        <v>451</v>
      </c>
      <c r="M47" s="1337" t="s">
        <v>452</v>
      </c>
      <c r="N47" s="52"/>
      <c r="O47" s="1255"/>
      <c r="P47" s="52"/>
    </row>
    <row r="48" spans="1:19">
      <c r="A48" s="294" t="s">
        <v>453</v>
      </c>
      <c r="B48" s="295" t="s">
        <v>454</v>
      </c>
      <c r="C48" s="841"/>
      <c r="D48" s="1366">
        <f>SUM(F27:F40)+F52</f>
        <v>0</v>
      </c>
      <c r="E48" s="1338">
        <v>0.2</v>
      </c>
      <c r="G48" s="1255"/>
      <c r="H48" s="1366">
        <f>SUM(J27:J40)+J52</f>
        <v>45</v>
      </c>
      <c r="I48" s="1338">
        <f>E48</f>
        <v>0.2</v>
      </c>
      <c r="J48" s="52"/>
      <c r="K48" s="1255"/>
      <c r="L48" s="1366">
        <f>SUM(N27:N40)+N52</f>
        <v>60</v>
      </c>
      <c r="M48" s="1338">
        <f>E48</f>
        <v>0.2</v>
      </c>
      <c r="N48" s="52"/>
      <c r="O48" s="1255"/>
      <c r="P48" s="52"/>
      <c r="Q48" t="s">
        <v>455</v>
      </c>
    </row>
    <row r="49" spans="1:20">
      <c r="A49" s="52"/>
      <c r="B49" s="298"/>
      <c r="C49" s="59"/>
      <c r="D49" s="814"/>
      <c r="G49" s="1255"/>
      <c r="H49" s="1317"/>
      <c r="I49" s="52"/>
      <c r="J49" s="52"/>
      <c r="K49" s="1255"/>
      <c r="L49" s="1317"/>
      <c r="M49" s="52"/>
      <c r="N49" s="52"/>
      <c r="O49" s="1255"/>
      <c r="P49" s="52"/>
      <c r="Q49" t="s">
        <v>456</v>
      </c>
    </row>
    <row r="50" spans="1:20" ht="13.5" thickBot="1">
      <c r="A50" s="52"/>
      <c r="B50" s="298"/>
      <c r="C50" s="59"/>
      <c r="D50" s="814"/>
      <c r="G50" s="1255"/>
      <c r="H50" s="1317"/>
      <c r="I50" s="52"/>
      <c r="J50" s="52"/>
      <c r="K50" s="1255"/>
      <c r="L50" s="1317"/>
      <c r="M50" s="52"/>
      <c r="N50" s="52"/>
      <c r="O50" s="1255"/>
      <c r="P50" s="52"/>
      <c r="Q50" t="s">
        <v>626</v>
      </c>
    </row>
    <row r="51" spans="1:20">
      <c r="D51" s="814"/>
      <c r="G51" s="1255"/>
      <c r="H51" s="1317"/>
      <c r="I51" s="52"/>
      <c r="J51" s="52"/>
      <c r="K51" s="1255"/>
      <c r="L51" s="1317"/>
      <c r="M51" s="52"/>
      <c r="N51" s="52"/>
      <c r="O51" s="1255"/>
      <c r="P51" s="52"/>
      <c r="Q51" s="845" t="s">
        <v>677</v>
      </c>
      <c r="R51" s="839"/>
      <c r="S51" s="1376" t="s">
        <v>678</v>
      </c>
    </row>
    <row r="52" spans="1:20" ht="16.5" thickBot="1">
      <c r="A52" s="1930" t="s">
        <v>727</v>
      </c>
      <c r="C52" s="1329" t="s">
        <v>15</v>
      </c>
      <c r="D52" s="1318">
        <v>2</v>
      </c>
      <c r="E52" s="299">
        <v>15</v>
      </c>
      <c r="F52" s="1858">
        <f t="shared" ref="F52" si="20">IF(E$5&gt;0,IF($K$3&lt;&gt;2,D52*E52,E$5*D52*E52),0)</f>
        <v>0</v>
      </c>
      <c r="G52" s="1352" t="e">
        <f>F52/$F$68</f>
        <v>#DIV/0!</v>
      </c>
      <c r="H52" s="1318">
        <v>3</v>
      </c>
      <c r="I52" s="299">
        <f>E52</f>
        <v>15</v>
      </c>
      <c r="J52" s="172">
        <f>H52*I52</f>
        <v>45</v>
      </c>
      <c r="K52" s="1352" t="e">
        <f>J52/$F$68</f>
        <v>#DIV/0!</v>
      </c>
      <c r="L52" s="1318">
        <v>4</v>
      </c>
      <c r="M52" s="299">
        <v>15</v>
      </c>
      <c r="N52" s="172">
        <f>L52*M52</f>
        <v>60</v>
      </c>
      <c r="O52" s="1352" t="e">
        <f>N52/$F$68</f>
        <v>#DIV/0!</v>
      </c>
      <c r="P52" s="1375">
        <f>F52*$E$5+J52*$I$5+N52*$M$5</f>
        <v>0</v>
      </c>
      <c r="Q52" s="815">
        <f>D52*E5+H52*I5+L52*M5</f>
        <v>0</v>
      </c>
      <c r="R52" s="843" t="s">
        <v>167</v>
      </c>
      <c r="S52" s="1377">
        <f>IF(Q52&gt;0,P52/Q52,0)</f>
        <v>0</v>
      </c>
    </row>
    <row r="53" spans="1:20" ht="15.75" thickBot="1">
      <c r="A53" s="187"/>
      <c r="B53" s="187"/>
      <c r="C53" s="301"/>
      <c r="D53" s="1323"/>
      <c r="E53" s="301"/>
      <c r="F53" s="301"/>
      <c r="G53" s="1303"/>
      <c r="H53" s="1314"/>
      <c r="I53" s="189"/>
      <c r="J53" s="189"/>
      <c r="K53" s="1303"/>
      <c r="L53" s="1314"/>
      <c r="M53" s="189"/>
      <c r="N53" s="189"/>
      <c r="O53" s="1303"/>
      <c r="P53" s="52"/>
    </row>
    <row r="54" spans="1:20" ht="16.5" thickBot="1">
      <c r="A54" s="1" t="s">
        <v>460</v>
      </c>
      <c r="B54" s="52" t="s">
        <v>461</v>
      </c>
      <c r="C54" s="301"/>
      <c r="D54" s="1323"/>
      <c r="E54" s="301"/>
      <c r="F54" s="1033">
        <f>F45-F52</f>
        <v>0</v>
      </c>
      <c r="G54" s="1303"/>
      <c r="H54" s="1314"/>
      <c r="I54" s="189"/>
      <c r="J54" s="1033">
        <f>J45-J52</f>
        <v>-45.09</v>
      </c>
      <c r="K54" s="1303"/>
      <c r="L54" s="1314"/>
      <c r="M54" s="189"/>
      <c r="N54" s="1033">
        <f>N45-N52</f>
        <v>-60.12</v>
      </c>
      <c r="O54" s="189"/>
      <c r="P54" s="1367">
        <f>P45-P52</f>
        <v>0</v>
      </c>
      <c r="R54" s="2415" t="s">
        <v>982</v>
      </c>
      <c r="S54" s="2416"/>
    </row>
    <row r="55" spans="1:20" ht="18">
      <c r="A55" s="1"/>
      <c r="B55" s="52"/>
      <c r="C55" s="301"/>
      <c r="D55" s="1323"/>
      <c r="E55" s="301"/>
      <c r="F55" s="289"/>
      <c r="G55" s="1303"/>
      <c r="H55" s="1314"/>
      <c r="I55" s="189"/>
      <c r="J55" s="189"/>
      <c r="K55" s="1303"/>
      <c r="L55" s="1314"/>
      <c r="M55" s="189"/>
      <c r="N55" s="189"/>
      <c r="O55" s="1303"/>
    </row>
    <row r="56" spans="1:20" ht="18">
      <c r="A56" s="1" t="s">
        <v>462</v>
      </c>
      <c r="B56" s="52"/>
      <c r="D56" s="2704" t="s">
        <v>728</v>
      </c>
      <c r="E56" s="2705"/>
      <c r="F56" s="289" t="str">
        <f>IF($K$3&lt;&gt;2,"€/eläin","€/karja")</f>
        <v>€/eläin</v>
      </c>
      <c r="G56" s="1303"/>
      <c r="H56" s="1312" t="str">
        <f>D56</f>
        <v>Ajanjaksolla €/tila</v>
      </c>
      <c r="I56" s="189"/>
      <c r="J56" s="289" t="str">
        <f>IF($K$3&lt;&gt;2,"€/eläin","€/karja")</f>
        <v>€/eläin</v>
      </c>
      <c r="K56" s="1303"/>
      <c r="L56" s="1312" t="str">
        <f>D56</f>
        <v>Ajanjaksolla €/tila</v>
      </c>
      <c r="M56" s="189"/>
      <c r="N56" s="289" t="str">
        <f>IF($K$3&lt;&gt;2,"€/eläin","€/karja")</f>
        <v>€/eläin</v>
      </c>
      <c r="O56" s="1303"/>
    </row>
    <row r="57" spans="1:20" ht="15.75" thickBot="1">
      <c r="A57" s="187"/>
      <c r="B57" s="187"/>
      <c r="C57" s="301"/>
      <c r="D57" s="1323"/>
      <c r="E57" s="301"/>
      <c r="F57" s="301"/>
      <c r="G57" s="1303"/>
      <c r="H57" s="1314"/>
      <c r="I57" s="189"/>
      <c r="J57" s="189"/>
      <c r="K57" s="1303"/>
      <c r="L57" s="1314"/>
      <c r="M57" s="189"/>
      <c r="N57" s="189"/>
      <c r="O57" s="1303"/>
    </row>
    <row r="58" spans="1:20" ht="15" customHeight="1">
      <c r="A58" s="14"/>
      <c r="B58" s="2723" t="s">
        <v>729</v>
      </c>
      <c r="C58" s="2724"/>
      <c r="D58" s="2727">
        <f>IF(C6&gt;12,100%/12*C6,100%)</f>
        <v>1</v>
      </c>
      <c r="E58" s="2729" t="s">
        <v>730</v>
      </c>
      <c r="F58" s="2729" t="str">
        <f>C6&amp;" kk ajalta/eläin"</f>
        <v>12 kk ajalta/eläin</v>
      </c>
      <c r="G58" s="1303"/>
      <c r="H58" s="2727">
        <f>IF(G6&gt;12,100%/12*G6,100%)</f>
        <v>1.3333333333333333</v>
      </c>
      <c r="I58" s="2729" t="s">
        <v>730</v>
      </c>
      <c r="J58" s="2729" t="str">
        <f>G6&amp;" kk ajalta/eläin"</f>
        <v>16 kk ajalta/eläin</v>
      </c>
      <c r="K58" s="1303"/>
      <c r="L58" s="2727">
        <f>IF(K6&gt;12,100%/12*K6,100%)</f>
        <v>1.8333333333333333</v>
      </c>
      <c r="M58" s="2729" t="s">
        <v>730</v>
      </c>
      <c r="N58" s="2729" t="str">
        <f>(IF(L60&gt;0%,L60&amp;" kk ajalta/eläin",K6&amp;" kk ajalta/eläin"))</f>
        <v>22 kk ajalta/eläin</v>
      </c>
      <c r="O58" s="1303"/>
    </row>
    <row r="59" spans="1:20" ht="15.75" thickBot="1">
      <c r="A59" s="14"/>
      <c r="B59" s="2725"/>
      <c r="C59" s="2726"/>
      <c r="D59" s="2728"/>
      <c r="E59" s="2730"/>
      <c r="F59" s="2730"/>
      <c r="G59" s="1303"/>
      <c r="H59" s="2728"/>
      <c r="I59" s="2730"/>
      <c r="J59" s="2730"/>
      <c r="K59" s="1303"/>
      <c r="L59" s="2728"/>
      <c r="M59" s="2730"/>
      <c r="N59" s="2730"/>
      <c r="O59" s="1303"/>
    </row>
    <row r="60" spans="1:20" ht="16.5" thickBot="1">
      <c r="A60" s="2701" t="s">
        <v>467</v>
      </c>
      <c r="B60" s="874" t="s">
        <v>231</v>
      </c>
      <c r="C60" s="1929"/>
      <c r="D60" s="1234"/>
      <c r="E60" s="879">
        <f>IF(E5&gt;0,Lähtötiedot!$D$78*F5,0)</f>
        <v>0</v>
      </c>
      <c r="F60" s="1349">
        <f>IF(E$5&gt;0,IF($K$3&lt;&gt;2,E60/$E$4*IF(D60&gt;0,D60,D$58),E60*IF(D60&gt;0,D60,D$58)),0)</f>
        <v>0</v>
      </c>
      <c r="G60" s="877" t="e">
        <f>F60/$F$68</f>
        <v>#DIV/0!</v>
      </c>
      <c r="H60" s="1234"/>
      <c r="I60" s="879">
        <f>IF(I5&gt;0,Lähtötiedot!$D$78*J5,0)</f>
        <v>0</v>
      </c>
      <c r="J60" s="1349">
        <f>IF(I$5&gt;0,IF($K$3&lt;&gt;2,I60/$E$4*IF(H60&gt;0,H60,H$58),I60*IF(H60&gt;0,H60,H$58)),0)</f>
        <v>0</v>
      </c>
      <c r="K60" s="877" t="e">
        <f>J60/$F$68</f>
        <v>#DIV/0!</v>
      </c>
      <c r="L60" s="1234"/>
      <c r="M60" s="879">
        <f>IF(M5&gt;0,Lähtötiedot!$D$78*N5,0)</f>
        <v>0</v>
      </c>
      <c r="N60" s="1349">
        <f>IF(M$5&gt;0,IF($K$3&lt;&gt;2,M60/$E$4*IF(L60&gt;0,L60,L$58),M60*IF(L60&gt;0,L60,L$58)),0)</f>
        <v>0</v>
      </c>
      <c r="O60" s="877" t="e">
        <f>N60/$F$68</f>
        <v>#DIV/0!</v>
      </c>
      <c r="P60" s="1863">
        <f>SUM(F60,J60,N60)</f>
        <v>0</v>
      </c>
      <c r="Q60" s="2653">
        <f>SUM(E60,I60,M60)</f>
        <v>0</v>
      </c>
      <c r="R60" s="2653"/>
    </row>
    <row r="61" spans="1:20" ht="16.5" thickBot="1">
      <c r="A61" s="2702"/>
      <c r="B61" s="878" t="s">
        <v>232</v>
      </c>
      <c r="C61" s="1233"/>
      <c r="D61" s="1235"/>
      <c r="E61" s="880">
        <f>IF(E5&gt;0,Lähtötiedot!$E$78*F5,0)</f>
        <v>0</v>
      </c>
      <c r="F61" s="1349">
        <f t="shared" ref="F61:F62" si="21">IF(E$5&gt;0,IF($K$3&lt;&gt;2,E61/$E$4*IF(D61&gt;0,D61,$D$58),E61*IF(D61&gt;0,D61,$D$58)),0)</f>
        <v>0</v>
      </c>
      <c r="G61" s="875" t="e">
        <f>F61/$F$68</f>
        <v>#DIV/0!</v>
      </c>
      <c r="H61" s="1235"/>
      <c r="I61" s="880">
        <f>IF(I5&gt;0,Lähtötiedot!$E$78*J5,0)</f>
        <v>0</v>
      </c>
      <c r="J61" s="1349">
        <f t="shared" ref="J61:J62" si="22">IF(I$5&gt;0,IF($K$3&lt;&gt;2,I61/$E$4*IF(H61&gt;0,H61,H$58),I61*IF(H61&gt;0,H61,H$58)),0)</f>
        <v>0</v>
      </c>
      <c r="K61" s="875" t="e">
        <f>J61/$F$68</f>
        <v>#DIV/0!</v>
      </c>
      <c r="L61" s="1235"/>
      <c r="M61" s="880">
        <f>IF(M5&gt;0,Lähtötiedot!$E$78*N5,0)</f>
        <v>0</v>
      </c>
      <c r="N61" s="1349">
        <f>IF(M$5&gt;0,IF($K$3&lt;&gt;2,M61/$E$4*IF(L61&gt;0,L61,L$58),M61*IF(L61&gt;0,L61,L$58)),0)</f>
        <v>0</v>
      </c>
      <c r="O61" s="875" t="e">
        <f>N61/$F$68</f>
        <v>#DIV/0!</v>
      </c>
      <c r="P61" s="1863">
        <f>SUM(F61,J61,N61)</f>
        <v>0</v>
      </c>
      <c r="Q61" s="2653">
        <f>SUM(E61,I61,M61)</f>
        <v>0</v>
      </c>
      <c r="R61" s="2653"/>
    </row>
    <row r="62" spans="1:20" ht="16.5" thickBot="1">
      <c r="A62" s="2703"/>
      <c r="B62" s="874" t="s">
        <v>628</v>
      </c>
      <c r="C62" s="818"/>
      <c r="D62" s="1236"/>
      <c r="E62" s="872">
        <f>IF(E5&gt;0,(Lähtötiedot!$G$78+Lähtötiedot!$F$78)*F5,0)</f>
        <v>0</v>
      </c>
      <c r="F62" s="1349">
        <f t="shared" si="21"/>
        <v>0</v>
      </c>
      <c r="G62" s="873" t="e">
        <f>F62/$F$68</f>
        <v>#DIV/0!</v>
      </c>
      <c r="H62" s="1236"/>
      <c r="I62" s="872">
        <f>IF(I5&gt;0,(Lähtötiedot!$G$78+Lähtötiedot!$F$78)*J5,0)</f>
        <v>0</v>
      </c>
      <c r="J62" s="1349">
        <f t="shared" si="22"/>
        <v>0</v>
      </c>
      <c r="K62" s="873" t="e">
        <f>J62/$F$68</f>
        <v>#DIV/0!</v>
      </c>
      <c r="L62" s="1236"/>
      <c r="M62" s="872">
        <f>IF(M5&gt;0,(Lähtötiedot!$G$78+Lähtötiedot!$F$78)*N5,0)</f>
        <v>0</v>
      </c>
      <c r="N62" s="1349">
        <f t="shared" ref="N62" si="23">IF(M$5&gt;0,IF($K$3&lt;&gt;2,M62/$E$4*IF(L62&gt;0,L62,L$58),M62*IF(L62&gt;0,L62,L$58)),0)</f>
        <v>0</v>
      </c>
      <c r="O62" s="873" t="e">
        <f>N62/$F$68</f>
        <v>#DIV/0!</v>
      </c>
      <c r="P62" s="1863">
        <f>SUM(F62,J62,N62)</f>
        <v>0</v>
      </c>
      <c r="Q62" s="2653">
        <f>SUM(E62,I62,M62)</f>
        <v>0</v>
      </c>
      <c r="R62" s="2653"/>
    </row>
    <row r="63" spans="1:20" ht="15">
      <c r="A63" s="14"/>
      <c r="B63" s="14"/>
      <c r="D63" s="13"/>
      <c r="E63" s="1873"/>
      <c r="F63" s="80"/>
      <c r="G63" s="1303"/>
      <c r="H63" s="1314"/>
      <c r="I63" s="189"/>
      <c r="J63" s="189"/>
      <c r="K63" s="1303"/>
      <c r="L63" s="1314"/>
      <c r="M63" s="189"/>
      <c r="N63" s="189"/>
      <c r="O63" s="1303"/>
      <c r="Q63" s="1492"/>
      <c r="R63" s="1492"/>
    </row>
    <row r="64" spans="1:20" ht="15.75">
      <c r="A64" s="1"/>
      <c r="B64" s="14"/>
      <c r="D64" s="814"/>
      <c r="E64" s="1014">
        <f>SUM(E60:E62)</f>
        <v>0</v>
      </c>
      <c r="F64" s="9">
        <f>SUM(F60:F63)</f>
        <v>0</v>
      </c>
      <c r="G64" s="1352" t="e">
        <f>F64/F68</f>
        <v>#DIV/0!</v>
      </c>
      <c r="H64" s="1316"/>
      <c r="I64" s="1014">
        <f>SUM(I60:I62)</f>
        <v>0</v>
      </c>
      <c r="J64" s="9">
        <f>SUM(J60:J63)</f>
        <v>0</v>
      </c>
      <c r="K64" s="1352">
        <f>J64/J68</f>
        <v>0</v>
      </c>
      <c r="L64" s="1316"/>
      <c r="M64" s="1014">
        <f>SUM(M60:M62)</f>
        <v>0</v>
      </c>
      <c r="N64" s="9">
        <f>SUM(N60:N63)</f>
        <v>0</v>
      </c>
      <c r="O64" s="1352">
        <f>N64/N68</f>
        <v>0</v>
      </c>
      <c r="P64" s="9">
        <f>SUM(E64,I64,M64)</f>
        <v>0</v>
      </c>
      <c r="Q64" s="2653">
        <f>SUM(E64,I64,M64)</f>
        <v>0</v>
      </c>
      <c r="R64" s="2653"/>
      <c r="S64" s="1897" t="e">
        <f>Q64/$P$6</f>
        <v>#DIV/0!</v>
      </c>
      <c r="T64" t="str">
        <f>"Kikut "&amp;$Q$6&amp;" kohden"</f>
        <v>Kikut Eläinkasvupäivää kohden</v>
      </c>
    </row>
    <row r="65" spans="1:19" ht="16.5" thickBot="1">
      <c r="A65" s="1"/>
      <c r="B65" s="1"/>
      <c r="C65" s="14"/>
      <c r="D65" s="1306"/>
      <c r="E65" s="14"/>
      <c r="F65" s="301"/>
      <c r="G65" s="841"/>
      <c r="H65" s="814"/>
      <c r="K65" s="841"/>
      <c r="L65" s="814"/>
      <c r="O65" s="841"/>
    </row>
    <row r="66" spans="1:19" ht="16.5" thickBot="1">
      <c r="A66" s="1" t="s">
        <v>629</v>
      </c>
      <c r="B66" s="52" t="s">
        <v>472</v>
      </c>
      <c r="C66" s="14"/>
      <c r="D66" s="1306"/>
      <c r="E66" s="14"/>
      <c r="F66" s="1033">
        <f>F54-F64</f>
        <v>0</v>
      </c>
      <c r="G66" s="1320"/>
      <c r="H66" s="1319"/>
      <c r="I66" s="167"/>
      <c r="J66" s="1033">
        <f>J54-J64</f>
        <v>-45.09</v>
      </c>
      <c r="K66" s="1320"/>
      <c r="L66" s="1319"/>
      <c r="M66" s="167"/>
      <c r="N66" s="1033">
        <f>N54-N64</f>
        <v>-60.12</v>
      </c>
      <c r="O66" s="167"/>
      <c r="P66" s="1367">
        <f>P54-P64</f>
        <v>0</v>
      </c>
      <c r="R66" s="2415" t="s">
        <v>1846</v>
      </c>
      <c r="S66" s="2416"/>
    </row>
    <row r="67" spans="1:19" ht="15">
      <c r="D67" s="1306"/>
      <c r="E67" s="14"/>
      <c r="F67" s="301"/>
      <c r="G67" s="841"/>
      <c r="H67" s="814"/>
      <c r="K67" s="841"/>
      <c r="L67" s="814"/>
      <c r="O67" s="841"/>
    </row>
    <row r="68" spans="1:19" ht="15.75">
      <c r="A68" s="1" t="str">
        <f>"TUOTANTOKUSTANNUKSET tuotettua yksikköä KOHDEN "&amp;F56</f>
        <v>TUOTANTOKUSTANNUKSET tuotettua yksikköä KOHDEN €/eläin</v>
      </c>
      <c r="B68" s="1"/>
      <c r="D68" s="1306"/>
      <c r="E68" s="14"/>
      <c r="F68" s="308">
        <f>(F44+F52+F64)</f>
        <v>0</v>
      </c>
      <c r="G68" s="1378" t="e">
        <f>SUM(G44+G52+G64)</f>
        <v>#DIV/0!</v>
      </c>
      <c r="H68" s="1321"/>
      <c r="I68" s="392"/>
      <c r="J68" s="308">
        <f>(J44+J52+J64)</f>
        <v>45.09</v>
      </c>
      <c r="K68" s="1378" t="e">
        <f>SUM(K44+K52+K64)</f>
        <v>#DIV/0!</v>
      </c>
      <c r="L68" s="1321"/>
      <c r="M68" s="392"/>
      <c r="N68" s="308">
        <f>(N44+N52+N64)</f>
        <v>60.12</v>
      </c>
      <c r="O68" s="1378" t="e">
        <f>SUM(O44+O52+O64)</f>
        <v>#DIV/0!</v>
      </c>
      <c r="P68" s="309"/>
      <c r="Q68" t="s">
        <v>474</v>
      </c>
    </row>
    <row r="69" spans="1:19" ht="15.75">
      <c r="A69" s="1" t="str">
        <f>"TUOTOT "&amp;F56</f>
        <v>TUOTOT €/eläin</v>
      </c>
      <c r="D69" s="814"/>
      <c r="F69" s="308">
        <f>F23</f>
        <v>0</v>
      </c>
      <c r="G69" s="841"/>
      <c r="H69" s="814"/>
      <c r="J69" s="308">
        <f>J23</f>
        <v>0</v>
      </c>
      <c r="K69" s="841"/>
      <c r="L69" s="814"/>
      <c r="N69" s="308">
        <f>N23</f>
        <v>0</v>
      </c>
      <c r="O69" s="841"/>
      <c r="P69" s="173"/>
    </row>
    <row r="70" spans="1:19" ht="15.75">
      <c r="A70" s="1" t="s">
        <v>731</v>
      </c>
      <c r="D70" s="814"/>
      <c r="F70" s="308">
        <f>SUM(F10,F18:F19,F20)</f>
        <v>0</v>
      </c>
      <c r="G70" s="841"/>
      <c r="H70" s="814"/>
      <c r="J70" s="308">
        <f>SUM(J10,J18:J19,J20)</f>
        <v>0</v>
      </c>
      <c r="K70" s="841"/>
      <c r="L70" s="814"/>
      <c r="N70" s="308">
        <f>SUM(N10,N18:N19,N20)</f>
        <v>0</v>
      </c>
      <c r="O70" s="841"/>
      <c r="P70" s="173"/>
    </row>
    <row r="71" spans="1:19" ht="15.75">
      <c r="A71" s="1" t="s">
        <v>631</v>
      </c>
      <c r="B71" s="1"/>
      <c r="D71" s="814"/>
      <c r="F71" s="308">
        <f>F69-F68</f>
        <v>0</v>
      </c>
      <c r="G71" s="1303"/>
      <c r="H71" s="1314"/>
      <c r="I71" s="189"/>
      <c r="J71" s="308">
        <f>J69-J68</f>
        <v>-45.09</v>
      </c>
      <c r="K71" s="1303"/>
      <c r="L71" s="1314"/>
      <c r="M71" s="189"/>
      <c r="N71" s="308">
        <f>N69-N68</f>
        <v>-60.12</v>
      </c>
      <c r="O71" s="1303"/>
      <c r="P71" s="310"/>
    </row>
    <row r="72" spans="1:19" ht="15.75">
      <c r="A72" s="1" t="s">
        <v>632</v>
      </c>
      <c r="B72" s="1"/>
      <c r="D72" s="814"/>
      <c r="F72" s="308">
        <f>F70-F68</f>
        <v>0</v>
      </c>
      <c r="G72" s="1303"/>
      <c r="H72" s="1314"/>
      <c r="I72" s="189"/>
      <c r="J72" s="308">
        <f>J70-J68</f>
        <v>-45.09</v>
      </c>
      <c r="K72" s="1303"/>
      <c r="L72" s="1314"/>
      <c r="M72" s="189"/>
      <c r="N72" s="308">
        <f>N70-N68</f>
        <v>-60.12</v>
      </c>
      <c r="O72" s="1303"/>
      <c r="P72" s="310"/>
    </row>
    <row r="73" spans="1:19">
      <c r="D73" s="814"/>
      <c r="G73" s="841"/>
      <c r="H73" s="814"/>
      <c r="K73" s="841"/>
      <c r="L73" s="814"/>
      <c r="O73" s="841"/>
    </row>
    <row r="74" spans="1:19" ht="15.75">
      <c r="A74" s="1" t="str">
        <f>"TUOTANTOKUSTANNUS (€/yksikkö)"</f>
        <v>TUOTANTOKUSTANNUS (€/yksikkö)</v>
      </c>
      <c r="B74" s="1"/>
      <c r="D74" s="814"/>
      <c r="G74" s="841"/>
      <c r="H74" s="814"/>
      <c r="K74" s="841"/>
      <c r="L74" s="814"/>
      <c r="O74" s="841"/>
    </row>
    <row r="75" spans="1:19">
      <c r="C75" s="841"/>
      <c r="D75" s="1359" t="s">
        <v>147</v>
      </c>
      <c r="E75" s="1353" t="s">
        <v>240</v>
      </c>
      <c r="F75" s="312" t="s">
        <v>732</v>
      </c>
      <c r="G75" s="841"/>
      <c r="H75" s="1354" t="s">
        <v>147</v>
      </c>
      <c r="I75" s="1353" t="s">
        <v>240</v>
      </c>
      <c r="J75" s="312" t="s">
        <v>732</v>
      </c>
      <c r="K75" s="841"/>
      <c r="L75" s="1354" t="s">
        <v>147</v>
      </c>
      <c r="M75" s="1353" t="s">
        <v>240</v>
      </c>
      <c r="N75" s="312" t="s">
        <v>732</v>
      </c>
      <c r="O75" s="841"/>
    </row>
    <row r="76" spans="1:19" ht="15.75" thickBot="1">
      <c r="A76" s="14" t="s">
        <v>699</v>
      </c>
      <c r="B76" s="14"/>
      <c r="C76" s="841"/>
      <c r="D76" s="1357"/>
      <c r="E76" s="1369">
        <f>F68</f>
        <v>0</v>
      </c>
      <c r="F76" s="313"/>
      <c r="G76" s="841"/>
      <c r="H76" s="1355"/>
      <c r="I76" s="1369">
        <f>J68</f>
        <v>45.09</v>
      </c>
      <c r="J76" s="313"/>
      <c r="K76" s="841"/>
      <c r="L76" s="1355"/>
      <c r="M76" s="1369">
        <f>N68</f>
        <v>60.12</v>
      </c>
      <c r="N76" s="313"/>
      <c r="O76" s="841"/>
    </row>
    <row r="77" spans="1:19" ht="15.75" thickBot="1">
      <c r="A77" s="315" t="s">
        <v>733</v>
      </c>
      <c r="B77" s="315"/>
      <c r="C77" s="841"/>
      <c r="D77" s="1362">
        <f>IF(D24&gt;0,D24,SUM(D11:D12))</f>
        <v>200</v>
      </c>
      <c r="E77" s="317"/>
      <c r="F77" s="313"/>
      <c r="G77" s="841"/>
      <c r="H77" s="1362">
        <f>H24</f>
        <v>220</v>
      </c>
      <c r="I77" s="317"/>
      <c r="J77" s="313"/>
      <c r="K77" s="841"/>
      <c r="L77" s="1362">
        <f>L24</f>
        <v>240</v>
      </c>
      <c r="M77" s="317"/>
      <c r="N77" s="313"/>
      <c r="O77" s="841"/>
    </row>
    <row r="78" spans="1:19" ht="19.5" thickTop="1" thickBot="1">
      <c r="A78" s="2" t="s">
        <v>582</v>
      </c>
      <c r="B78" s="86" t="s">
        <v>485</v>
      </c>
      <c r="C78" s="1360"/>
      <c r="E78" s="1358"/>
      <c r="F78" s="1752">
        <f>E76/D77</f>
        <v>0</v>
      </c>
      <c r="G78" s="841"/>
      <c r="H78" s="1358"/>
      <c r="I78" s="1752">
        <f>I76/H77</f>
        <v>0.20495454545454547</v>
      </c>
      <c r="K78" s="841"/>
      <c r="L78" s="1358"/>
      <c r="M78" s="1752">
        <f>M76/L77</f>
        <v>0.2505</v>
      </c>
      <c r="O78" s="841"/>
      <c r="Q78" t="s">
        <v>637</v>
      </c>
    </row>
    <row r="79" spans="1:19" ht="15.75" thickBot="1">
      <c r="A79" s="315" t="s">
        <v>734</v>
      </c>
      <c r="B79" s="315" t="s">
        <v>488</v>
      </c>
      <c r="C79" s="1361"/>
      <c r="E79" s="1877">
        <f>SUM(F13:F17)</f>
        <v>0</v>
      </c>
      <c r="F79" s="320">
        <f>IFERROR(E79/D10,0)</f>
        <v>0</v>
      </c>
      <c r="G79" s="1322"/>
      <c r="H79" s="1877">
        <f>SUM(J13:J17)</f>
        <v>0</v>
      </c>
      <c r="I79" s="320">
        <f>H79/H10</f>
        <v>0</v>
      </c>
      <c r="J79" s="81"/>
      <c r="K79" s="1322"/>
      <c r="L79" s="1877">
        <f>SUM(N13:N17)</f>
        <v>0</v>
      </c>
      <c r="M79" s="320">
        <f>L79/L10</f>
        <v>0</v>
      </c>
      <c r="N79" s="81"/>
      <c r="O79" s="1322"/>
      <c r="P79" s="81"/>
      <c r="Q79" t="s">
        <v>489</v>
      </c>
    </row>
    <row r="80" spans="1:19" ht="19.5" thickTop="1" thickBot="1">
      <c r="A80" s="1" t="s">
        <v>584</v>
      </c>
      <c r="B80" s="1"/>
      <c r="C80" s="1360"/>
      <c r="E80" s="1323"/>
      <c r="F80" s="1752">
        <f>F78-F79</f>
        <v>0</v>
      </c>
      <c r="G80" s="1322"/>
      <c r="H80" s="1323"/>
      <c r="I80" s="1752">
        <f>I78-I79</f>
        <v>0.20495454545454547</v>
      </c>
      <c r="J80" s="81"/>
      <c r="K80" s="1322"/>
      <c r="L80" s="1323"/>
      <c r="M80" s="1752">
        <f>M78-M79</f>
        <v>0.2505</v>
      </c>
      <c r="N80" s="81"/>
      <c r="O80" s="1322"/>
      <c r="P80" s="81"/>
      <c r="Q80" t="s">
        <v>638</v>
      </c>
    </row>
    <row r="81" spans="1:15">
      <c r="A81" s="12"/>
      <c r="D81" s="814"/>
      <c r="G81" s="841"/>
      <c r="H81" s="814"/>
      <c r="K81" s="841"/>
      <c r="L81" s="814"/>
      <c r="O81" s="841"/>
    </row>
    <row r="82" spans="1:15" ht="13.5" thickBot="1">
      <c r="D82" s="814"/>
      <c r="G82" s="841"/>
      <c r="H82" s="814"/>
      <c r="K82" s="841"/>
      <c r="L82" s="814"/>
      <c r="O82" s="841"/>
    </row>
    <row r="83" spans="1:15">
      <c r="A83" s="845" t="s">
        <v>97</v>
      </c>
      <c r="B83" s="813"/>
      <c r="C83" s="813"/>
      <c r="D83" s="838"/>
      <c r="E83" s="839"/>
      <c r="G83" s="841"/>
      <c r="H83" s="838"/>
      <c r="I83" s="839"/>
      <c r="K83" s="841"/>
      <c r="L83" s="838"/>
      <c r="M83" s="839"/>
      <c r="O83" s="841"/>
    </row>
    <row r="84" spans="1:15" ht="13.5" thickBot="1">
      <c r="A84" s="814" t="s">
        <v>670</v>
      </c>
      <c r="D84" s="814"/>
      <c r="E84" s="841"/>
      <c r="G84" s="841"/>
      <c r="H84" s="814"/>
      <c r="I84" s="841"/>
      <c r="K84" s="841"/>
      <c r="L84" s="814"/>
      <c r="M84" s="841"/>
      <c r="O84" s="841"/>
    </row>
    <row r="85" spans="1:15">
      <c r="A85" s="814"/>
      <c r="B85" s="838" t="s">
        <v>493</v>
      </c>
      <c r="C85" s="813"/>
      <c r="D85" s="838"/>
      <c r="E85" s="1117">
        <f>F44</f>
        <v>0</v>
      </c>
      <c r="F85" s="1370" t="e">
        <f>E85/$E$88</f>
        <v>#DIV/0!</v>
      </c>
      <c r="G85" s="841"/>
      <c r="H85" s="838"/>
      <c r="I85" s="1117">
        <f>J44</f>
        <v>0.09</v>
      </c>
      <c r="J85" s="1370">
        <f>I85/$I$88</f>
        <v>1.996007984031936E-3</v>
      </c>
      <c r="K85" s="841"/>
      <c r="L85" s="838"/>
      <c r="M85" s="1117">
        <f>N44</f>
        <v>0.12</v>
      </c>
      <c r="N85" s="1370">
        <f>M85/$M$88</f>
        <v>1.996007984031936E-3</v>
      </c>
      <c r="O85" s="841"/>
    </row>
    <row r="86" spans="1:15">
      <c r="A86" s="814"/>
      <c r="B86" s="814" t="str">
        <f>A52</f>
        <v>Työkustannus (ihmistyö €/eläin)</v>
      </c>
      <c r="D86" s="814"/>
      <c r="E86" s="846">
        <f>F52</f>
        <v>0</v>
      </c>
      <c r="F86" s="1370" t="e">
        <f>E86/$E$88</f>
        <v>#DIV/0!</v>
      </c>
      <c r="G86" s="841"/>
      <c r="H86" s="814"/>
      <c r="I86" s="846">
        <f>J52</f>
        <v>45</v>
      </c>
      <c r="J86" s="1370">
        <f>I86/$I$88</f>
        <v>0.99800399201596801</v>
      </c>
      <c r="K86" s="841"/>
      <c r="L86" s="814"/>
      <c r="M86" s="846">
        <f>N52</f>
        <v>60</v>
      </c>
      <c r="N86" s="1370">
        <f>M86/$M$88</f>
        <v>0.99800399201596812</v>
      </c>
      <c r="O86" s="841"/>
    </row>
    <row r="87" spans="1:15">
      <c r="A87" s="814"/>
      <c r="B87" s="814" t="s">
        <v>470</v>
      </c>
      <c r="D87" s="814"/>
      <c r="E87" s="846">
        <f>F64</f>
        <v>0</v>
      </c>
      <c r="F87" s="1370" t="e">
        <f>E87/$E$88</f>
        <v>#DIV/0!</v>
      </c>
      <c r="G87" s="841"/>
      <c r="H87" s="814"/>
      <c r="I87" s="846">
        <f>J64</f>
        <v>0</v>
      </c>
      <c r="J87" s="1370">
        <f>I87/$I$88</f>
        <v>0</v>
      </c>
      <c r="K87" s="841"/>
      <c r="L87" s="814"/>
      <c r="M87" s="846">
        <f>N64</f>
        <v>0</v>
      </c>
      <c r="N87" s="1370">
        <f>M87/$M$88</f>
        <v>0</v>
      </c>
      <c r="O87" s="841"/>
    </row>
    <row r="88" spans="1:15">
      <c r="A88" s="814"/>
      <c r="B88" s="842" t="s">
        <v>494</v>
      </c>
      <c r="D88" s="814"/>
      <c r="E88" s="847">
        <f>SUM(E85:E87)</f>
        <v>0</v>
      </c>
      <c r="F88" s="1370" t="e">
        <f>E88/$E$88</f>
        <v>#DIV/0!</v>
      </c>
      <c r="G88" s="841"/>
      <c r="H88" s="814"/>
      <c r="I88" s="847">
        <f>SUM(I85:I87)</f>
        <v>45.09</v>
      </c>
      <c r="J88" s="1370">
        <f>I88/$I$88</f>
        <v>1</v>
      </c>
      <c r="K88" s="841"/>
      <c r="L88" s="814"/>
      <c r="M88" s="847">
        <f>SUM(M85:M87)</f>
        <v>60.12</v>
      </c>
      <c r="N88" s="1370">
        <f>M88/$M$88</f>
        <v>1</v>
      </c>
      <c r="O88" s="841"/>
    </row>
    <row r="89" spans="1:15" ht="13.5" thickBot="1">
      <c r="A89" s="814"/>
      <c r="B89" s="814" t="s">
        <v>735</v>
      </c>
      <c r="C89" t="s">
        <v>736</v>
      </c>
      <c r="D89" s="814"/>
      <c r="E89" s="848">
        <f>D77</f>
        <v>200</v>
      </c>
      <c r="G89" s="841"/>
      <c r="H89" s="814"/>
      <c r="I89" s="848">
        <f>H77</f>
        <v>220</v>
      </c>
      <c r="K89" s="841"/>
      <c r="L89" s="814"/>
      <c r="M89" s="848">
        <f>L77</f>
        <v>240</v>
      </c>
      <c r="O89" s="841"/>
    </row>
    <row r="90" spans="1:15" ht="13.5" thickBot="1">
      <c r="A90" s="815"/>
      <c r="B90" s="815" t="s">
        <v>737</v>
      </c>
      <c r="C90" s="818" t="s">
        <v>497</v>
      </c>
      <c r="D90" s="815"/>
      <c r="E90" s="1878">
        <f>E88/E89</f>
        <v>0</v>
      </c>
      <c r="F90" s="818"/>
      <c r="G90" s="843"/>
      <c r="H90" s="815"/>
      <c r="I90" s="1878">
        <f>I88/I89</f>
        <v>0.20495454545454547</v>
      </c>
      <c r="J90" s="818"/>
      <c r="K90" s="843"/>
      <c r="L90" s="815"/>
      <c r="M90" s="1878">
        <f>M88/M89</f>
        <v>0.2505</v>
      </c>
      <c r="N90" s="818"/>
      <c r="O90" s="843"/>
    </row>
    <row r="92" spans="1:15">
      <c r="B92" s="1879"/>
      <c r="C92" s="1879"/>
      <c r="D92" s="997"/>
      <c r="F92" s="1181"/>
    </row>
    <row r="93" spans="1:15">
      <c r="B93" s="1879"/>
      <c r="C93" s="1879"/>
      <c r="D93" s="997"/>
      <c r="F93" s="1181"/>
    </row>
    <row r="94" spans="1:15">
      <c r="B94" s="1879"/>
      <c r="C94" s="1879"/>
      <c r="D94" s="997"/>
      <c r="F94" s="1181"/>
      <c r="I94" s="396"/>
      <c r="J94" s="396"/>
      <c r="K94" s="396"/>
      <c r="L94" s="396"/>
      <c r="M94" s="396"/>
      <c r="N94" s="396"/>
      <c r="O94" s="396"/>
    </row>
    <row r="95" spans="1:15">
      <c r="B95" s="1879"/>
      <c r="C95" s="1879"/>
      <c r="D95" s="997"/>
      <c r="F95" s="1181"/>
      <c r="I95" s="396"/>
      <c r="J95" s="396"/>
      <c r="K95" s="396"/>
      <c r="L95" s="396"/>
      <c r="M95" s="396"/>
      <c r="N95" s="396"/>
      <c r="O95" s="396"/>
    </row>
    <row r="96" spans="1:15">
      <c r="B96" s="1879"/>
      <c r="C96" s="1879"/>
      <c r="D96" s="997"/>
      <c r="F96" s="1181"/>
      <c r="I96" s="396"/>
      <c r="J96" s="396"/>
      <c r="K96" s="396"/>
      <c r="L96" s="396"/>
      <c r="M96" s="396"/>
      <c r="N96" s="396"/>
      <c r="O96" s="396"/>
    </row>
    <row r="97" spans="2:16">
      <c r="B97" s="1879"/>
      <c r="C97" s="1879"/>
      <c r="D97" s="997"/>
      <c r="F97" s="1181"/>
      <c r="I97" s="396"/>
      <c r="J97" s="396"/>
      <c r="K97" s="396"/>
      <c r="L97" s="396"/>
      <c r="M97" s="396"/>
      <c r="N97" s="396"/>
      <c r="O97" s="396"/>
    </row>
    <row r="98" spans="2:16">
      <c r="B98" s="1879"/>
      <c r="C98" s="1879"/>
      <c r="D98" s="997"/>
      <c r="F98" s="1181"/>
      <c r="I98" s="396"/>
      <c r="J98" s="396"/>
      <c r="K98" s="396"/>
      <c r="L98" s="396"/>
      <c r="M98" s="396"/>
      <c r="N98" s="396"/>
      <c r="O98" s="396"/>
    </row>
    <row r="99" spans="2:16">
      <c r="B99" s="1879"/>
      <c r="C99" s="1879"/>
      <c r="D99" s="997"/>
      <c r="F99" s="1181"/>
      <c r="I99" s="396"/>
      <c r="J99" s="396"/>
      <c r="K99" s="396"/>
      <c r="L99" s="396"/>
      <c r="M99" s="396"/>
      <c r="N99" s="396"/>
      <c r="O99" s="396"/>
    </row>
    <row r="100" spans="2:16">
      <c r="B100" s="1879"/>
      <c r="C100" s="1879"/>
      <c r="D100" s="997"/>
      <c r="F100" s="1181"/>
      <c r="I100" s="396"/>
      <c r="J100" s="396"/>
      <c r="K100" s="396"/>
      <c r="L100" s="396"/>
      <c r="M100" s="396"/>
      <c r="N100" s="396"/>
      <c r="O100" s="396"/>
    </row>
    <row r="101" spans="2:16">
      <c r="B101" s="1879"/>
      <c r="C101" s="1879"/>
      <c r="D101" s="997"/>
      <c r="F101" s="1181"/>
      <c r="I101" s="396"/>
      <c r="J101" s="396"/>
      <c r="K101" s="396"/>
      <c r="L101" s="396"/>
      <c r="M101" s="396"/>
      <c r="N101" s="396"/>
      <c r="O101" s="396"/>
    </row>
    <row r="102" spans="2:16">
      <c r="B102" s="1879"/>
      <c r="C102" s="1879"/>
      <c r="D102" s="997"/>
      <c r="F102" s="1181"/>
      <c r="I102" s="396"/>
      <c r="J102" s="396"/>
      <c r="K102" s="396"/>
      <c r="L102" s="396"/>
      <c r="M102" s="396"/>
      <c r="N102" s="396"/>
      <c r="O102" s="396"/>
    </row>
    <row r="103" spans="2:16">
      <c r="B103" s="1879"/>
      <c r="C103" s="1879"/>
      <c r="D103" s="997"/>
      <c r="F103" s="1181"/>
      <c r="I103" s="396"/>
      <c r="J103" s="396"/>
      <c r="K103" s="396"/>
      <c r="L103" s="396"/>
      <c r="M103" s="396"/>
      <c r="N103" s="396"/>
      <c r="O103" s="396"/>
    </row>
    <row r="104" spans="2:16">
      <c r="B104" s="1879"/>
      <c r="C104" s="1879"/>
      <c r="D104" s="997"/>
      <c r="F104" s="1181"/>
      <c r="I104" s="396"/>
      <c r="J104" s="396"/>
      <c r="K104" s="396"/>
      <c r="L104" s="396"/>
      <c r="M104" s="396"/>
      <c r="N104" s="396"/>
      <c r="O104" s="396"/>
    </row>
    <row r="105" spans="2:16">
      <c r="B105" s="1879"/>
      <c r="C105" s="1879"/>
      <c r="D105" s="997"/>
      <c r="F105" s="1181"/>
      <c r="I105" s="396"/>
      <c r="J105" s="396"/>
      <c r="K105" s="396"/>
      <c r="L105" s="396"/>
      <c r="M105" s="396"/>
      <c r="N105" s="396"/>
      <c r="O105" s="396"/>
    </row>
    <row r="106" spans="2:16">
      <c r="B106" s="1879"/>
      <c r="C106" s="1879"/>
      <c r="D106" s="997"/>
      <c r="F106" s="1181"/>
      <c r="I106" s="396"/>
      <c r="J106" s="396"/>
      <c r="K106" s="396"/>
      <c r="L106" s="396"/>
      <c r="M106" s="396"/>
      <c r="N106" s="396"/>
      <c r="O106" s="396"/>
    </row>
    <row r="107" spans="2:16" hidden="1">
      <c r="B107" s="1879"/>
      <c r="C107" s="1879"/>
      <c r="D107" s="997"/>
      <c r="F107" s="1181"/>
      <c r="I107" s="58"/>
      <c r="J107" s="58"/>
      <c r="K107" s="58"/>
      <c r="L107" s="58"/>
      <c r="M107" s="58"/>
      <c r="N107" s="58"/>
      <c r="O107" s="58"/>
      <c r="P107" t="s">
        <v>649</v>
      </c>
    </row>
    <row r="108" spans="2:16" hidden="1">
      <c r="B108" s="1879"/>
      <c r="C108" s="1879"/>
      <c r="D108" s="997"/>
      <c r="F108" s="1181"/>
      <c r="I108" s="58"/>
      <c r="J108" s="58"/>
      <c r="K108" s="58"/>
      <c r="L108" s="58"/>
      <c r="M108" s="58"/>
      <c r="N108" s="58"/>
      <c r="O108" s="58"/>
    </row>
    <row r="109" spans="2:16" hidden="1">
      <c r="B109" s="1879"/>
      <c r="C109" s="1879"/>
      <c r="D109" s="997"/>
      <c r="F109" s="1181"/>
    </row>
    <row r="110" spans="2:16" hidden="1">
      <c r="B110" s="1879"/>
      <c r="C110" s="1879"/>
      <c r="D110" s="997"/>
      <c r="F110" s="1181"/>
    </row>
    <row r="111" spans="2:16" hidden="1">
      <c r="B111" s="1879"/>
      <c r="C111" s="1879"/>
      <c r="D111" s="997"/>
      <c r="F111" s="1181"/>
    </row>
    <row r="112" spans="2:16" hidden="1">
      <c r="B112" s="1879"/>
      <c r="C112" s="1879"/>
      <c r="D112" s="997"/>
      <c r="F112" s="1181"/>
    </row>
    <row r="113" spans="2:21" hidden="1">
      <c r="B113" s="1879"/>
      <c r="C113" s="1879"/>
      <c r="D113" s="997"/>
      <c r="F113" s="1181"/>
      <c r="I113" s="52"/>
      <c r="J113" s="52"/>
      <c r="K113" s="52"/>
      <c r="L113" s="52"/>
      <c r="M113" s="52"/>
      <c r="N113" s="52"/>
      <c r="O113" s="52"/>
      <c r="P113" s="52" t="s">
        <v>509</v>
      </c>
      <c r="Q113" s="52" t="s">
        <v>658</v>
      </c>
      <c r="R113" s="23" t="s">
        <v>659</v>
      </c>
      <c r="S113" s="52" t="s">
        <v>512</v>
      </c>
      <c r="T113" s="52" t="s">
        <v>513</v>
      </c>
      <c r="U113" s="52" t="s">
        <v>514</v>
      </c>
    </row>
    <row r="114" spans="2:21" hidden="1">
      <c r="B114" s="1879"/>
      <c r="C114" s="1879"/>
      <c r="D114" s="997"/>
      <c r="F114" s="1181"/>
      <c r="I114" s="805"/>
      <c r="J114" s="805"/>
      <c r="K114" s="805"/>
      <c r="L114" s="805"/>
      <c r="M114" s="805"/>
      <c r="N114" s="805"/>
      <c r="O114" s="805"/>
      <c r="P114" s="806" t="e">
        <f t="shared" ref="P114:P126" si="24">G114/A114</f>
        <v>#DIV/0!</v>
      </c>
      <c r="Q114" s="7">
        <f t="shared" ref="Q114:Q126" si="25">B114-G114</f>
        <v>0</v>
      </c>
      <c r="R114" s="339" t="e">
        <f t="shared" ref="R114:R126" si="26">Q114/A114</f>
        <v>#DIV/0!</v>
      </c>
      <c r="S114" s="334"/>
    </row>
    <row r="115" spans="2:21" hidden="1">
      <c r="B115" s="1879"/>
      <c r="C115" s="1879"/>
      <c r="D115" s="997"/>
      <c r="F115" s="1181"/>
      <c r="I115" s="805"/>
      <c r="J115" s="805"/>
      <c r="K115" s="805"/>
      <c r="L115" s="805"/>
      <c r="M115" s="805"/>
      <c r="N115" s="805"/>
      <c r="O115" s="805"/>
      <c r="P115" s="806" t="e">
        <f t="shared" si="24"/>
        <v>#DIV/0!</v>
      </c>
      <c r="Q115" s="7">
        <f t="shared" si="25"/>
        <v>0</v>
      </c>
      <c r="R115" s="339" t="e">
        <f t="shared" si="26"/>
        <v>#DIV/0!</v>
      </c>
      <c r="S115" s="334" t="e">
        <f t="shared" ref="S115:S126" si="27">(G115-G114)/(A115-A114)</f>
        <v>#DIV/0!</v>
      </c>
      <c r="T115" s="341" t="e">
        <f>(B115-B116)/B116</f>
        <v>#DIV/0!</v>
      </c>
      <c r="U115" s="341">
        <v>0</v>
      </c>
    </row>
    <row r="116" spans="2:21" hidden="1">
      <c r="B116" s="1879"/>
      <c r="C116" s="1879"/>
      <c r="D116" s="997"/>
      <c r="F116" s="1181"/>
      <c r="I116" s="805"/>
      <c r="J116" s="805"/>
      <c r="K116" s="805"/>
      <c r="L116" s="805"/>
      <c r="M116" s="805"/>
      <c r="N116" s="805"/>
      <c r="O116" s="805"/>
      <c r="P116" s="806" t="e">
        <f t="shared" si="24"/>
        <v>#DIV/0!</v>
      </c>
      <c r="Q116" s="7">
        <f t="shared" si="25"/>
        <v>0</v>
      </c>
      <c r="R116" s="339" t="e">
        <f t="shared" si="26"/>
        <v>#DIV/0!</v>
      </c>
      <c r="S116" s="400" t="e">
        <f t="shared" si="27"/>
        <v>#DIV/0!</v>
      </c>
      <c r="T116" s="341" t="e">
        <f>(B116-B117)/B117</f>
        <v>#DIV/0!</v>
      </c>
      <c r="U116" s="341">
        <v>0</v>
      </c>
    </row>
    <row r="117" spans="2:21" hidden="1">
      <c r="B117" s="1879"/>
      <c r="C117" s="1879"/>
      <c r="D117" s="997"/>
      <c r="F117" s="1181"/>
      <c r="I117" s="805"/>
      <c r="J117" s="805"/>
      <c r="K117" s="805"/>
      <c r="L117" s="805"/>
      <c r="M117" s="805"/>
      <c r="N117" s="805"/>
      <c r="O117" s="805"/>
      <c r="P117" s="806" t="e">
        <f t="shared" si="24"/>
        <v>#DIV/0!</v>
      </c>
      <c r="Q117" s="401">
        <f t="shared" si="25"/>
        <v>0</v>
      </c>
      <c r="R117" s="333" t="e">
        <f t="shared" si="26"/>
        <v>#DIV/0!</v>
      </c>
      <c r="S117" s="334" t="e">
        <f t="shared" si="27"/>
        <v>#DIV/0!</v>
      </c>
      <c r="T117" s="341">
        <v>0</v>
      </c>
      <c r="U117" s="341" t="e">
        <f t="shared" ref="U117:U126" si="28">(G117-G116)/G116</f>
        <v>#DIV/0!</v>
      </c>
    </row>
    <row r="118" spans="2:21" hidden="1">
      <c r="B118" s="1879"/>
      <c r="C118" s="1879"/>
      <c r="D118" s="997"/>
      <c r="F118" s="1181"/>
      <c r="I118" s="805"/>
      <c r="J118" s="805"/>
      <c r="K118" s="805"/>
      <c r="L118" s="805"/>
      <c r="M118" s="805"/>
      <c r="N118" s="805"/>
      <c r="O118" s="805"/>
      <c r="P118" s="806" t="e">
        <f t="shared" si="24"/>
        <v>#DIV/0!</v>
      </c>
      <c r="Q118" s="7">
        <f t="shared" si="25"/>
        <v>0</v>
      </c>
      <c r="R118" s="339" t="e">
        <f t="shared" si="26"/>
        <v>#DIV/0!</v>
      </c>
      <c r="S118" s="402" t="e">
        <f t="shared" si="27"/>
        <v>#DIV/0!</v>
      </c>
      <c r="T118" s="341" t="e">
        <f>(B118-B117)/B117</f>
        <v>#DIV/0!</v>
      </c>
      <c r="U118" s="341" t="e">
        <f t="shared" si="28"/>
        <v>#DIV/0!</v>
      </c>
    </row>
    <row r="119" spans="2:21" hidden="1">
      <c r="B119" s="1879"/>
      <c r="C119" s="1879"/>
      <c r="D119" s="997"/>
      <c r="F119" s="1181"/>
      <c r="I119" s="805"/>
      <c r="J119" s="805"/>
      <c r="K119" s="805"/>
      <c r="L119" s="805"/>
      <c r="M119" s="805"/>
      <c r="N119" s="805"/>
      <c r="O119" s="805"/>
      <c r="P119" s="806" t="e">
        <f t="shared" si="24"/>
        <v>#DIV/0!</v>
      </c>
      <c r="Q119" s="7">
        <f t="shared" si="25"/>
        <v>0</v>
      </c>
      <c r="R119" s="339" t="e">
        <f t="shared" si="26"/>
        <v>#DIV/0!</v>
      </c>
      <c r="S119" s="334" t="e">
        <f t="shared" si="27"/>
        <v>#DIV/0!</v>
      </c>
      <c r="T119" s="341" t="e">
        <f t="shared" ref="T119:T126" si="29">(B119-B118)/B118</f>
        <v>#DIV/0!</v>
      </c>
      <c r="U119" s="341" t="e">
        <f>(G119-G118)/G118</f>
        <v>#DIV/0!</v>
      </c>
    </row>
    <row r="120" spans="2:21" hidden="1">
      <c r="B120" s="1879"/>
      <c r="C120" s="1879"/>
      <c r="D120" s="997"/>
      <c r="F120" s="1181"/>
      <c r="I120" s="805"/>
      <c r="J120" s="805"/>
      <c r="K120" s="805"/>
      <c r="L120" s="805"/>
      <c r="M120" s="805"/>
      <c r="N120" s="805"/>
      <c r="O120" s="805"/>
      <c r="P120" s="806" t="e">
        <f t="shared" si="24"/>
        <v>#DIV/0!</v>
      </c>
      <c r="Q120" s="7">
        <f t="shared" si="25"/>
        <v>0</v>
      </c>
      <c r="R120" s="339" t="e">
        <f t="shared" si="26"/>
        <v>#DIV/0!</v>
      </c>
      <c r="S120" s="334" t="e">
        <f t="shared" si="27"/>
        <v>#DIV/0!</v>
      </c>
      <c r="T120" s="341" t="e">
        <f t="shared" si="29"/>
        <v>#DIV/0!</v>
      </c>
      <c r="U120" s="341" t="e">
        <f t="shared" si="28"/>
        <v>#DIV/0!</v>
      </c>
    </row>
    <row r="121" spans="2:21" hidden="1">
      <c r="B121" s="1879"/>
      <c r="C121" s="1879"/>
      <c r="D121" s="997"/>
      <c r="F121" s="1181"/>
      <c r="I121" s="805"/>
      <c r="J121" s="805"/>
      <c r="K121" s="805"/>
      <c r="L121" s="805"/>
      <c r="M121" s="805"/>
      <c r="N121" s="805"/>
      <c r="O121" s="805"/>
      <c r="P121" s="806" t="e">
        <f t="shared" si="24"/>
        <v>#DIV/0!</v>
      </c>
      <c r="Q121" s="7">
        <f t="shared" si="25"/>
        <v>0</v>
      </c>
      <c r="R121" s="339" t="e">
        <f t="shared" si="26"/>
        <v>#DIV/0!</v>
      </c>
      <c r="S121" s="334" t="e">
        <f t="shared" si="27"/>
        <v>#DIV/0!</v>
      </c>
      <c r="T121" s="341" t="e">
        <f t="shared" si="29"/>
        <v>#DIV/0!</v>
      </c>
      <c r="U121" s="341" t="e">
        <f t="shared" si="28"/>
        <v>#DIV/0!</v>
      </c>
    </row>
    <row r="122" spans="2:21" hidden="1">
      <c r="B122" s="1879"/>
      <c r="C122" s="1879"/>
      <c r="D122" s="997"/>
      <c r="F122" s="1181"/>
      <c r="I122" s="805"/>
      <c r="J122" s="805"/>
      <c r="K122" s="805"/>
      <c r="L122" s="805"/>
      <c r="M122" s="805"/>
      <c r="N122" s="805"/>
      <c r="O122" s="805"/>
      <c r="P122" s="806" t="e">
        <f t="shared" si="24"/>
        <v>#DIV/0!</v>
      </c>
      <c r="Q122" s="7">
        <f t="shared" si="25"/>
        <v>0</v>
      </c>
      <c r="R122" s="339" t="e">
        <f t="shared" si="26"/>
        <v>#DIV/0!</v>
      </c>
      <c r="S122" s="334" t="e">
        <f t="shared" si="27"/>
        <v>#DIV/0!</v>
      </c>
      <c r="T122" s="341" t="e">
        <f t="shared" si="29"/>
        <v>#DIV/0!</v>
      </c>
      <c r="U122" s="341" t="e">
        <f t="shared" si="28"/>
        <v>#DIV/0!</v>
      </c>
    </row>
    <row r="123" spans="2:21" hidden="1">
      <c r="B123" s="1879"/>
      <c r="C123" s="1879"/>
      <c r="D123" s="997"/>
      <c r="F123" s="1181"/>
      <c r="I123" s="805"/>
      <c r="J123" s="805"/>
      <c r="K123" s="805"/>
      <c r="L123" s="805"/>
      <c r="M123" s="805"/>
      <c r="N123" s="805"/>
      <c r="O123" s="805"/>
      <c r="P123" s="806" t="e">
        <f t="shared" si="24"/>
        <v>#DIV/0!</v>
      </c>
      <c r="Q123" s="7">
        <f t="shared" si="25"/>
        <v>0</v>
      </c>
      <c r="R123" s="339" t="e">
        <f t="shared" si="26"/>
        <v>#DIV/0!</v>
      </c>
      <c r="S123" s="334" t="e">
        <f t="shared" si="27"/>
        <v>#DIV/0!</v>
      </c>
      <c r="T123" s="341" t="e">
        <f t="shared" si="29"/>
        <v>#DIV/0!</v>
      </c>
      <c r="U123" s="341" t="e">
        <f t="shared" si="28"/>
        <v>#DIV/0!</v>
      </c>
    </row>
    <row r="124" spans="2:21" hidden="1">
      <c r="B124" s="1879"/>
      <c r="C124" s="1879"/>
      <c r="D124" s="997"/>
      <c r="F124" s="1181"/>
      <c r="I124" s="805"/>
      <c r="J124" s="805"/>
      <c r="K124" s="805"/>
      <c r="L124" s="805"/>
      <c r="M124" s="805"/>
      <c r="N124" s="805"/>
      <c r="O124" s="805"/>
      <c r="P124" s="806" t="e">
        <f t="shared" si="24"/>
        <v>#DIV/0!</v>
      </c>
      <c r="Q124" s="7">
        <f t="shared" si="25"/>
        <v>0</v>
      </c>
      <c r="R124" s="339" t="e">
        <f t="shared" si="26"/>
        <v>#DIV/0!</v>
      </c>
      <c r="S124" s="334" t="e">
        <f t="shared" si="27"/>
        <v>#DIV/0!</v>
      </c>
      <c r="T124" s="341" t="e">
        <f t="shared" si="29"/>
        <v>#DIV/0!</v>
      </c>
      <c r="U124" s="341" t="e">
        <f t="shared" si="28"/>
        <v>#DIV/0!</v>
      </c>
    </row>
    <row r="125" spans="2:21" hidden="1">
      <c r="B125" s="1879"/>
      <c r="C125" s="1879"/>
      <c r="D125" s="997"/>
      <c r="F125" s="1181"/>
      <c r="I125" s="805"/>
      <c r="J125" s="805"/>
      <c r="K125" s="805"/>
      <c r="L125" s="805"/>
      <c r="M125" s="805"/>
      <c r="N125" s="805"/>
      <c r="O125" s="805"/>
      <c r="P125" s="806" t="e">
        <f t="shared" si="24"/>
        <v>#DIV/0!</v>
      </c>
      <c r="Q125" s="7">
        <f t="shared" si="25"/>
        <v>0</v>
      </c>
      <c r="R125" s="339" t="e">
        <f t="shared" si="26"/>
        <v>#DIV/0!</v>
      </c>
      <c r="S125" s="334" t="e">
        <f t="shared" si="27"/>
        <v>#DIV/0!</v>
      </c>
      <c r="T125" s="341" t="e">
        <f t="shared" si="29"/>
        <v>#DIV/0!</v>
      </c>
      <c r="U125" s="341" t="e">
        <f t="shared" si="28"/>
        <v>#DIV/0!</v>
      </c>
    </row>
    <row r="126" spans="2:21" hidden="1">
      <c r="B126" s="1879"/>
      <c r="C126" s="1879"/>
      <c r="D126" s="997"/>
      <c r="F126" s="1181"/>
      <c r="I126" s="805"/>
      <c r="J126" s="805"/>
      <c r="K126" s="805"/>
      <c r="L126" s="805"/>
      <c r="M126" s="805"/>
      <c r="N126" s="805"/>
      <c r="O126" s="805"/>
      <c r="P126" s="806" t="e">
        <f t="shared" si="24"/>
        <v>#DIV/0!</v>
      </c>
      <c r="Q126" s="7">
        <f t="shared" si="25"/>
        <v>0</v>
      </c>
      <c r="R126" s="339" t="e">
        <f t="shared" si="26"/>
        <v>#DIV/0!</v>
      </c>
      <c r="S126" s="334" t="e">
        <f t="shared" si="27"/>
        <v>#DIV/0!</v>
      </c>
      <c r="T126" s="341" t="e">
        <f t="shared" si="29"/>
        <v>#DIV/0!</v>
      </c>
      <c r="U126" s="341" t="e">
        <f t="shared" si="28"/>
        <v>#DIV/0!</v>
      </c>
    </row>
    <row r="127" spans="2:21" hidden="1">
      <c r="B127" s="1879"/>
      <c r="C127" s="1879"/>
      <c r="D127" s="997"/>
      <c r="F127" s="1181"/>
    </row>
    <row r="128" spans="2:21">
      <c r="B128" s="1879"/>
      <c r="C128" s="1879"/>
      <c r="D128" s="997"/>
      <c r="F128" s="1181"/>
    </row>
    <row r="129" customFormat="1" ht="12.75" customHeight="1"/>
  </sheetData>
  <sheetProtection sheet="1" formatCells="0" formatColumns="0" formatRows="0"/>
  <mergeCells count="24">
    <mergeCell ref="L8:L9"/>
    <mergeCell ref="A41:C41"/>
    <mergeCell ref="D56:E56"/>
    <mergeCell ref="B4:D4"/>
    <mergeCell ref="D8:D9"/>
    <mergeCell ref="H8:H9"/>
    <mergeCell ref="Q64:R64"/>
    <mergeCell ref="Q62:R62"/>
    <mergeCell ref="Q60:R60"/>
    <mergeCell ref="Q61:R61"/>
    <mergeCell ref="R13:S17"/>
    <mergeCell ref="R18:S22"/>
    <mergeCell ref="A60:A62"/>
    <mergeCell ref="R10:S12"/>
    <mergeCell ref="B58:C59"/>
    <mergeCell ref="D58:D59"/>
    <mergeCell ref="H58:H59"/>
    <mergeCell ref="L58:L59"/>
    <mergeCell ref="E58:E59"/>
    <mergeCell ref="N58:N59"/>
    <mergeCell ref="I58:I59"/>
    <mergeCell ref="F58:F59"/>
    <mergeCell ref="J58:J59"/>
    <mergeCell ref="M58:M59"/>
  </mergeCell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4" max="16383" man="1"/>
    <brk id="108" max="7" man="1"/>
  </rowBreaks>
  <colBreaks count="1" manualBreakCount="1">
    <brk id="16"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11"/>
  <sheetViews>
    <sheetView zoomScale="70" zoomScaleNormal="70" workbookViewId="0">
      <selection activeCell="A7" sqref="A7"/>
    </sheetView>
  </sheetViews>
  <sheetFormatPr defaultColWidth="8.85546875" defaultRowHeight="12.75"/>
  <cols>
    <col min="1" max="1" width="49.140625"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
        <v>739</v>
      </c>
      <c r="B2" s="1049" t="s">
        <v>410</v>
      </c>
      <c r="C2" s="368" t="s">
        <v>740</v>
      </c>
      <c r="D2" s="367"/>
      <c r="E2" s="368"/>
      <c r="F2" s="369" t="s">
        <v>741</v>
      </c>
    </row>
    <row r="3" spans="1:8" ht="18">
      <c r="A3" s="247"/>
      <c r="B3" s="247" t="s">
        <v>188</v>
      </c>
      <c r="C3" s="247"/>
      <c r="D3" s="247"/>
      <c r="E3" s="1091">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744</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c r="F9" s="1052">
        <f t="shared" si="0"/>
        <v>0</v>
      </c>
      <c r="G9" s="1053">
        <f t="shared" si="1"/>
        <v>0</v>
      </c>
      <c r="H9" s="1054">
        <f t="shared" si="2"/>
        <v>0</v>
      </c>
    </row>
    <row r="10" spans="1:8" ht="15.75" thickBot="1">
      <c r="A10" s="253" t="s">
        <v>747</v>
      </c>
      <c r="B10" s="254"/>
      <c r="C10" s="255" t="s">
        <v>744</v>
      </c>
      <c r="D10" s="1050">
        <v>0</v>
      </c>
      <c r="E10" s="1051"/>
      <c r="F10" s="1052">
        <f t="shared" si="0"/>
        <v>0</v>
      </c>
      <c r="G10" s="1053">
        <f t="shared" si="1"/>
        <v>0</v>
      </c>
      <c r="H10" s="1054">
        <f t="shared" si="2"/>
        <v>0</v>
      </c>
    </row>
    <row r="11" spans="1:8" ht="15.75" thickBot="1">
      <c r="A11" s="253" t="s">
        <v>748</v>
      </c>
      <c r="B11" s="254"/>
      <c r="C11" s="255" t="s">
        <v>744</v>
      </c>
      <c r="D11" s="1050">
        <v>0</v>
      </c>
      <c r="E11" s="1051"/>
      <c r="F11" s="1052">
        <f t="shared" si="0"/>
        <v>0</v>
      </c>
      <c r="G11" s="1053">
        <f t="shared" si="1"/>
        <v>0</v>
      </c>
      <c r="H11" s="1054">
        <f t="shared" si="2"/>
        <v>0</v>
      </c>
    </row>
    <row r="12" spans="1:8" ht="15.75" thickBot="1">
      <c r="A12" s="1005" t="s">
        <v>425</v>
      </c>
      <c r="B12" s="1020"/>
      <c r="C12" s="274" t="s">
        <v>259</v>
      </c>
      <c r="D12" s="1050">
        <v>0</v>
      </c>
      <c r="E12" s="1055">
        <v>0</v>
      </c>
      <c r="F12" s="1056">
        <f t="shared" si="0"/>
        <v>0</v>
      </c>
      <c r="G12" s="1053">
        <f t="shared" si="1"/>
        <v>0</v>
      </c>
      <c r="H12" s="1054">
        <f t="shared" si="2"/>
        <v>0</v>
      </c>
    </row>
    <row r="13" spans="1:8" ht="15.75" thickBot="1">
      <c r="A13" s="1005" t="s">
        <v>425</v>
      </c>
      <c r="B13" s="277"/>
      <c r="C13" s="274" t="s">
        <v>259</v>
      </c>
      <c r="D13" s="1050">
        <v>0</v>
      </c>
      <c r="E13" s="1057">
        <v>0</v>
      </c>
      <c r="F13" s="1056">
        <f t="shared" si="0"/>
        <v>0</v>
      </c>
      <c r="G13" s="1053">
        <f t="shared" si="1"/>
        <v>0</v>
      </c>
      <c r="H13" s="1054">
        <f t="shared" si="2"/>
        <v>0</v>
      </c>
    </row>
    <row r="14" spans="1:8" ht="15.75" thickBot="1">
      <c r="A14" s="1005" t="s">
        <v>425</v>
      </c>
      <c r="B14" s="277"/>
      <c r="C14" s="274" t="s">
        <v>259</v>
      </c>
      <c r="D14" s="1050">
        <v>0</v>
      </c>
      <c r="E14" s="1057">
        <v>0</v>
      </c>
      <c r="F14" s="1056">
        <f t="shared" si="0"/>
        <v>0</v>
      </c>
      <c r="G14" s="1053">
        <f t="shared" si="1"/>
        <v>0</v>
      </c>
      <c r="H14" s="1054">
        <f t="shared" si="2"/>
        <v>0</v>
      </c>
    </row>
    <row r="15" spans="1:8" ht="15.75">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751</v>
      </c>
      <c r="B18" s="277"/>
      <c r="C18" s="165" t="s">
        <v>150</v>
      </c>
      <c r="D18" s="282">
        <v>1</v>
      </c>
      <c r="E18" s="1060">
        <v>0</v>
      </c>
      <c r="F18" s="1056">
        <f t="shared" ref="F18:F31" si="3">D18*E18</f>
        <v>0</v>
      </c>
      <c r="G18" s="1053">
        <f t="shared" ref="G18:G32" si="4">IFERROR(F18/$F$56,0)</f>
        <v>0</v>
      </c>
      <c r="H18" s="1054">
        <f>F18</f>
        <v>0</v>
      </c>
      <c r="I18" s="247"/>
      <c r="J18" s="247"/>
      <c r="K18" s="247"/>
    </row>
    <row r="19" spans="1:11" s="14" customFormat="1" ht="18">
      <c r="A19" s="277" t="s">
        <v>752</v>
      </c>
      <c r="B19" s="277"/>
      <c r="C19" s="165" t="s">
        <v>150</v>
      </c>
      <c r="D19" s="282">
        <v>0</v>
      </c>
      <c r="E19" s="1060">
        <v>0</v>
      </c>
      <c r="F19" s="1056">
        <f t="shared" si="3"/>
        <v>0</v>
      </c>
      <c r="G19" s="1053">
        <f t="shared" si="4"/>
        <v>0</v>
      </c>
      <c r="H19" s="1054">
        <f t="shared" ref="H19:H32" si="5">F19</f>
        <v>0</v>
      </c>
      <c r="I19" s="247"/>
      <c r="J19" s="247"/>
      <c r="K19" s="247"/>
    </row>
    <row r="20" spans="1:11" s="14" customFormat="1" ht="15">
      <c r="A20" s="277" t="s">
        <v>753</v>
      </c>
      <c r="B20" s="277"/>
      <c r="C20" s="165" t="s">
        <v>150</v>
      </c>
      <c r="D20" s="282">
        <v>0</v>
      </c>
      <c r="E20" s="1060">
        <v>0</v>
      </c>
      <c r="F20" s="1056">
        <f t="shared" si="3"/>
        <v>0</v>
      </c>
      <c r="G20" s="1053">
        <f t="shared" si="4"/>
        <v>0</v>
      </c>
      <c r="H20" s="1054">
        <f t="shared" si="5"/>
        <v>0</v>
      </c>
      <c r="I20"/>
    </row>
    <row r="21" spans="1:11" s="14" customFormat="1" ht="15">
      <c r="A21" s="277" t="s">
        <v>754</v>
      </c>
      <c r="B21" s="277"/>
      <c r="C21" s="165" t="s">
        <v>150</v>
      </c>
      <c r="D21" s="282">
        <v>0</v>
      </c>
      <c r="E21" s="1060">
        <v>0</v>
      </c>
      <c r="F21" s="1056">
        <f t="shared" si="3"/>
        <v>0</v>
      </c>
      <c r="G21" s="1053">
        <f t="shared" si="4"/>
        <v>0</v>
      </c>
      <c r="H21" s="1054">
        <f t="shared" si="5"/>
        <v>0</v>
      </c>
      <c r="I21"/>
    </row>
    <row r="22" spans="1:11" s="14" customFormat="1" ht="15">
      <c r="A22" s="277" t="s">
        <v>755</v>
      </c>
      <c r="B22" s="277"/>
      <c r="C22" s="165" t="s">
        <v>150</v>
      </c>
      <c r="D22" s="282">
        <v>0</v>
      </c>
      <c r="E22" s="1060">
        <v>0</v>
      </c>
      <c r="F22" s="1056">
        <f t="shared" si="3"/>
        <v>0</v>
      </c>
      <c r="G22" s="1053">
        <f t="shared" si="4"/>
        <v>0</v>
      </c>
      <c r="H22" s="1054">
        <f t="shared" si="5"/>
        <v>0</v>
      </c>
      <c r="I22"/>
    </row>
    <row r="23" spans="1:11" s="14" customFormat="1" ht="15">
      <c r="A23" s="277" t="s">
        <v>756</v>
      </c>
      <c r="B23" s="277"/>
      <c r="C23" s="165" t="s">
        <v>150</v>
      </c>
      <c r="D23" s="282">
        <v>0</v>
      </c>
      <c r="E23" s="1060">
        <v>0</v>
      </c>
      <c r="F23" s="1056">
        <f t="shared" si="3"/>
        <v>0</v>
      </c>
      <c r="G23" s="1053">
        <f t="shared" si="4"/>
        <v>0</v>
      </c>
      <c r="H23" s="1054">
        <f t="shared" si="5"/>
        <v>0</v>
      </c>
      <c r="I23"/>
    </row>
    <row r="24" spans="1:11" s="14" customFormat="1" ht="15">
      <c r="A24" s="277" t="s">
        <v>757</v>
      </c>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1539" t="s">
        <v>444</v>
      </c>
      <c r="B30" s="277"/>
      <c r="C30" s="1548" t="s">
        <v>235</v>
      </c>
      <c r="D30" s="1152">
        <v>1</v>
      </c>
      <c r="E30" s="1298">
        <f>SUMIF('Muut kustannustiedot'!H38:H48,"EVL",'Muut kustannustiedot'!V38:V48)</f>
        <v>0</v>
      </c>
      <c r="F30" s="1056">
        <f t="shared" si="3"/>
        <v>0</v>
      </c>
      <c r="G30" s="1053">
        <f t="shared" si="4"/>
        <v>0</v>
      </c>
      <c r="H30" s="1054">
        <f t="shared" si="5"/>
        <v>0</v>
      </c>
    </row>
    <row r="31" spans="1:11" ht="15">
      <c r="A31" s="277" t="s">
        <v>758</v>
      </c>
      <c r="B31" t="s">
        <v>446</v>
      </c>
      <c r="C31" s="165" t="s">
        <v>15</v>
      </c>
      <c r="D31" s="282">
        <v>0</v>
      </c>
      <c r="E31" s="1060">
        <v>15</v>
      </c>
      <c r="F31" s="1056">
        <f t="shared" si="3"/>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751</v>
      </c>
      <c r="B36" s="277"/>
      <c r="C36" s="165" t="s">
        <v>150</v>
      </c>
      <c r="D36" s="282">
        <v>0</v>
      </c>
      <c r="E36" s="1060">
        <v>0</v>
      </c>
      <c r="F36" s="1056">
        <f t="shared" ref="F36" si="6">D36*E36</f>
        <v>0</v>
      </c>
      <c r="G36" s="52"/>
      <c r="H36" s="1054">
        <f t="shared" ref="H36:H42" si="7">F36</f>
        <v>0</v>
      </c>
    </row>
    <row r="37" spans="1:8" ht="15">
      <c r="A37" s="277" t="s">
        <v>752</v>
      </c>
      <c r="B37" s="277"/>
      <c r="C37" s="165" t="s">
        <v>150</v>
      </c>
      <c r="D37" s="282">
        <v>0</v>
      </c>
      <c r="E37" s="1060">
        <v>0</v>
      </c>
      <c r="F37" s="1056">
        <f t="shared" ref="F37:F41" si="8">D37*E37</f>
        <v>0</v>
      </c>
      <c r="G37" s="52"/>
      <c r="H37" s="1054">
        <f t="shared" si="7"/>
        <v>0</v>
      </c>
    </row>
    <row r="38" spans="1:8" ht="15">
      <c r="A38" s="277" t="s">
        <v>762</v>
      </c>
      <c r="B38" s="277"/>
      <c r="C38" s="165" t="s">
        <v>150</v>
      </c>
      <c r="D38" s="282">
        <v>0</v>
      </c>
      <c r="E38" s="1060">
        <v>0</v>
      </c>
      <c r="F38" s="1056">
        <f t="shared" si="8"/>
        <v>0</v>
      </c>
      <c r="G38" s="52"/>
      <c r="H38" s="1054">
        <f t="shared" si="7"/>
        <v>0</v>
      </c>
    </row>
    <row r="39" spans="1:8" ht="15">
      <c r="A39" s="277" t="s">
        <v>763</v>
      </c>
      <c r="B39" s="277"/>
      <c r="C39" s="165" t="s">
        <v>150</v>
      </c>
      <c r="D39" s="282">
        <v>0</v>
      </c>
      <c r="E39" s="1060">
        <v>0</v>
      </c>
      <c r="F39" s="1056">
        <f t="shared" si="8"/>
        <v>0</v>
      </c>
      <c r="G39" s="52"/>
      <c r="H39" s="1054">
        <f t="shared" si="7"/>
        <v>0</v>
      </c>
    </row>
    <row r="40" spans="1:8" ht="15">
      <c r="A40" s="277"/>
      <c r="B40" s="277"/>
      <c r="C40" s="165" t="s">
        <v>150</v>
      </c>
      <c r="D40" s="282">
        <v>0</v>
      </c>
      <c r="E40" s="1060">
        <v>0</v>
      </c>
      <c r="F40" s="1056">
        <f t="shared" si="8"/>
        <v>0</v>
      </c>
      <c r="G40" s="52"/>
      <c r="H40" s="1054">
        <f t="shared" si="7"/>
        <v>0</v>
      </c>
    </row>
    <row r="41" spans="1:8" ht="15">
      <c r="A41" s="277"/>
      <c r="B41" s="277"/>
      <c r="C41" s="165" t="s">
        <v>150</v>
      </c>
      <c r="D41" s="282">
        <v>0</v>
      </c>
      <c r="E41" s="1060">
        <v>0</v>
      </c>
      <c r="F41" s="1056">
        <f t="shared" si="8"/>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0" t="s">
        <v>768</v>
      </c>
      <c r="E47" s="1533"/>
      <c r="F47" s="171" t="s">
        <v>259</v>
      </c>
      <c r="G47" s="52"/>
      <c r="H47" s="252" t="s">
        <v>259</v>
      </c>
    </row>
    <row r="48" spans="1:8" ht="16.5" thickBot="1">
      <c r="A48" s="2677" t="s">
        <v>467</v>
      </c>
      <c r="B48" s="878" t="s">
        <v>231</v>
      </c>
      <c r="C48" s="305"/>
      <c r="D48" s="1500">
        <f>SUMIF(Lähtötiedot!$A$60:$A$70,A2,Lähtötiedot!$D$60:$D$70)</f>
        <v>0</v>
      </c>
      <c r="E48" s="1534">
        <v>1</v>
      </c>
      <c r="F48" s="1052">
        <f>D48*E48</f>
        <v>0</v>
      </c>
      <c r="G48" s="1053">
        <f>IFERROR(F48/$F$56,0)</f>
        <v>0</v>
      </c>
      <c r="H48" s="1054">
        <f>F48</f>
        <v>0</v>
      </c>
    </row>
    <row r="49" spans="1:9" ht="16.5" thickBot="1">
      <c r="A49" s="2678"/>
      <c r="B49" s="878" t="s">
        <v>232</v>
      </c>
      <c r="C49" s="305"/>
      <c r="D49" s="1500">
        <f>SUMIF(Lähtötiedot!$A$60:$A$70,A2,Lähtötiedot!$E$60:$E$70)</f>
        <v>0</v>
      </c>
      <c r="E49" s="1534">
        <v>1</v>
      </c>
      <c r="F49" s="1052">
        <f t="shared" ref="F49:F50" si="9">D49*E49</f>
        <v>0</v>
      </c>
      <c r="G49" s="1053">
        <f t="shared" ref="G49:G50" si="10">IFERROR(F49/$F$56,0)</f>
        <v>0</v>
      </c>
      <c r="H49" s="1054">
        <f t="shared" ref="H49:H50" si="11">F49</f>
        <v>0</v>
      </c>
    </row>
    <row r="50" spans="1:9" ht="16.5" thickBot="1">
      <c r="A50" s="2679"/>
      <c r="B50" s="874" t="s">
        <v>769</v>
      </c>
      <c r="C50" s="1065"/>
      <c r="D50" s="1500">
        <f>SUMIF(Lähtötiedot!$A$60:$A$70,A3,Lähtötiedot!$F$60:$F$70)+SUMIF(Lähtötiedot!$A$60:$A$70,A3,Lähtötiedot!$G$60:$G$70)</f>
        <v>0</v>
      </c>
      <c r="E50" s="1534">
        <v>1</v>
      </c>
      <c r="F50" s="1052">
        <f t="shared" si="9"/>
        <v>0</v>
      </c>
      <c r="G50" s="1053">
        <f t="shared" si="10"/>
        <v>0</v>
      </c>
      <c r="H50" s="1054">
        <f t="shared" si="11"/>
        <v>0</v>
      </c>
    </row>
    <row r="51" spans="1:9" ht="15.75" thickBot="1">
      <c r="A51" s="356"/>
      <c r="B51" s="174"/>
      <c r="C51" s="175"/>
      <c r="D51" s="1067"/>
      <c r="E51" s="177"/>
      <c r="F51" s="1056"/>
      <c r="G51" s="1053"/>
      <c r="H51" s="1054"/>
    </row>
    <row r="52" spans="1:9" ht="16.5" thickTop="1">
      <c r="A52" s="1" t="s">
        <v>470</v>
      </c>
      <c r="B52" s="1"/>
      <c r="C52" s="14"/>
      <c r="D52" s="14"/>
      <c r="E52" s="14"/>
      <c r="F52" s="1058">
        <f>SUM(F48:F51)</f>
        <v>0</v>
      </c>
      <c r="H52" s="1058">
        <f>SUM(H48:H51)</f>
        <v>0</v>
      </c>
      <c r="I52" s="10"/>
    </row>
    <row r="53" spans="1:9" ht="15.75">
      <c r="A53" s="1"/>
      <c r="B53" s="1"/>
      <c r="C53" s="14"/>
      <c r="D53" s="14"/>
      <c r="E53" s="14"/>
      <c r="F53" s="1063"/>
    </row>
    <row r="54" spans="1:9" ht="18">
      <c r="A54" s="1" t="s">
        <v>770</v>
      </c>
      <c r="B54" s="52" t="s">
        <v>771</v>
      </c>
      <c r="C54" s="14"/>
      <c r="D54" s="14"/>
      <c r="E54" s="14"/>
      <c r="F54" s="1061">
        <f>F43-F52</f>
        <v>0</v>
      </c>
      <c r="H54" s="1105">
        <f>IFERROR(F54/$F$15,0)</f>
        <v>0</v>
      </c>
      <c r="I54" s="10"/>
    </row>
    <row r="111" ht="12.75" customHeight="1"/>
  </sheetData>
  <sheetProtection sheet="1" formatCells="0" formatColumns="0" formatRows="0"/>
  <mergeCells count="1">
    <mergeCell ref="A48:A50"/>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2"/>
  <dimension ref="A1:H58"/>
  <sheetViews>
    <sheetView zoomScale="80" zoomScaleNormal="80" workbookViewId="0">
      <selection activeCell="C88" sqref="C88:D88"/>
    </sheetView>
  </sheetViews>
  <sheetFormatPr defaultColWidth="8.85546875" defaultRowHeight="12.75"/>
  <cols>
    <col min="1" max="1" width="7.5703125" customWidth="1"/>
    <col min="2" max="2" width="83.7109375" customWidth="1"/>
    <col min="3" max="3" width="19.140625" customWidth="1"/>
    <col min="4" max="4" width="21.7109375" customWidth="1"/>
    <col min="5" max="5" width="19" customWidth="1"/>
    <col min="6" max="6" width="15.28515625" customWidth="1"/>
    <col min="7" max="7" width="11.85546875" customWidth="1"/>
    <col min="8" max="8" width="14.28515625" customWidth="1"/>
    <col min="9" max="9" width="11.42578125" customWidth="1"/>
    <col min="20" max="20" width="15" customWidth="1"/>
    <col min="21" max="21" width="3.7109375" customWidth="1"/>
    <col min="22" max="22" width="3.85546875" customWidth="1"/>
    <col min="23" max="23" width="8.28515625" customWidth="1"/>
    <col min="24" max="24" width="10.28515625" customWidth="1"/>
  </cols>
  <sheetData>
    <row r="1" spans="1:6" ht="15.75">
      <c r="A1" s="1" t="s">
        <v>44</v>
      </c>
    </row>
    <row r="2" spans="1:6" ht="15.75">
      <c r="A2" s="1"/>
      <c r="B2" t="s">
        <v>45</v>
      </c>
      <c r="C2" s="28">
        <v>25000</v>
      </c>
    </row>
    <row r="3" spans="1:6" ht="15.75">
      <c r="A3" s="1"/>
      <c r="B3" t="s">
        <v>46</v>
      </c>
      <c r="C3" s="29">
        <v>0.27</v>
      </c>
    </row>
    <row r="4" spans="1:6" ht="15.75">
      <c r="A4" s="1"/>
      <c r="B4" t="s">
        <v>47</v>
      </c>
      <c r="C4" s="30">
        <f>C2*C3</f>
        <v>6750</v>
      </c>
    </row>
    <row r="5" spans="1:6" ht="15.75">
      <c r="A5" s="1"/>
      <c r="B5" t="s">
        <v>48</v>
      </c>
      <c r="C5" s="31">
        <v>680</v>
      </c>
      <c r="D5" s="19">
        <f>C4*C5/1000</f>
        <v>4590</v>
      </c>
      <c r="E5" t="s">
        <v>49</v>
      </c>
    </row>
    <row r="6" spans="1:6" ht="15.75">
      <c r="A6" s="1"/>
      <c r="B6" t="s">
        <v>50</v>
      </c>
      <c r="C6" s="32">
        <f>0.016*C5*C4</f>
        <v>73440</v>
      </c>
      <c r="D6" s="19"/>
    </row>
    <row r="7" spans="1:6" ht="15.75">
      <c r="A7" s="1"/>
      <c r="C7" s="4"/>
    </row>
    <row r="8" spans="1:6">
      <c r="A8" t="s">
        <v>51</v>
      </c>
      <c r="C8" s="4"/>
      <c r="D8" t="s">
        <v>52</v>
      </c>
      <c r="E8" s="4" t="s">
        <v>53</v>
      </c>
      <c r="F8" s="4" t="s">
        <v>54</v>
      </c>
    </row>
    <row r="9" spans="1:6" ht="15">
      <c r="A9" s="33">
        <v>1</v>
      </c>
      <c r="B9" s="34" t="s">
        <v>55</v>
      </c>
      <c r="C9" s="20">
        <v>60</v>
      </c>
      <c r="D9" s="35">
        <v>79000</v>
      </c>
      <c r="E9" s="36">
        <f t="shared" ref="E9:E22" si="0">D9/11.7</f>
        <v>6752.1367521367529</v>
      </c>
      <c r="F9" s="4">
        <f>C9*A9</f>
        <v>60</v>
      </c>
    </row>
    <row r="10" spans="1:6">
      <c r="B10" s="25" t="s">
        <v>56</v>
      </c>
      <c r="C10" s="37">
        <v>0.6</v>
      </c>
      <c r="D10" s="38">
        <f>C9*D9*C10</f>
        <v>2844000</v>
      </c>
      <c r="E10" s="36">
        <f t="shared" si="0"/>
        <v>243076.92307692309</v>
      </c>
      <c r="F10" s="4"/>
    </row>
    <row r="11" spans="1:6">
      <c r="A11" s="33">
        <v>0.8</v>
      </c>
      <c r="B11" s="25" t="s">
        <v>57</v>
      </c>
      <c r="C11" s="37">
        <v>0.33</v>
      </c>
      <c r="D11" s="39">
        <v>25000</v>
      </c>
      <c r="E11" s="36">
        <f t="shared" si="0"/>
        <v>2136.7521367521367</v>
      </c>
      <c r="F11" s="4">
        <f>C11*A11*C9</f>
        <v>15.84</v>
      </c>
    </row>
    <row r="12" spans="1:6">
      <c r="B12" s="25" t="s">
        <v>58</v>
      </c>
      <c r="C12" s="37">
        <v>0.8</v>
      </c>
      <c r="D12" s="40">
        <f>D11*C12</f>
        <v>20000</v>
      </c>
      <c r="E12" s="36">
        <f t="shared" si="0"/>
        <v>1709.4017094017095</v>
      </c>
      <c r="F12" s="4"/>
    </row>
    <row r="13" spans="1:6">
      <c r="B13" s="25" t="s">
        <v>59</v>
      </c>
      <c r="C13" s="37" t="s">
        <v>863</v>
      </c>
      <c r="D13" s="40"/>
      <c r="E13" s="36"/>
      <c r="F13" s="4"/>
    </row>
    <row r="14" spans="1:6">
      <c r="B14" s="25" t="s">
        <v>61</v>
      </c>
      <c r="C14" s="41">
        <v>107</v>
      </c>
      <c r="D14" s="40">
        <f>11.7*E14</f>
        <v>5007.5999999999995</v>
      </c>
      <c r="E14" s="36">
        <f>C14*4</f>
        <v>428</v>
      </c>
      <c r="F14" s="4"/>
    </row>
    <row r="15" spans="1:6" s="42" customFormat="1" hidden="1">
      <c r="B15" s="43"/>
      <c r="C15" s="44"/>
      <c r="D15" s="44"/>
      <c r="E15" s="44"/>
      <c r="F15" s="45"/>
    </row>
    <row r="16" spans="1:6">
      <c r="B16" s="25" t="s">
        <v>62</v>
      </c>
      <c r="C16" s="41" t="s">
        <v>60</v>
      </c>
      <c r="D16" s="36"/>
      <c r="E16" s="36"/>
      <c r="F16" s="4"/>
    </row>
    <row r="17" spans="1:8" s="42" customFormat="1" hidden="1">
      <c r="B17" s="43"/>
      <c r="C17" s="46"/>
      <c r="D17" s="44"/>
      <c r="E17" s="44"/>
      <c r="F17" s="45"/>
    </row>
    <row r="18" spans="1:8" ht="15">
      <c r="A18" s="33">
        <v>0.6</v>
      </c>
      <c r="B18" s="34" t="s">
        <v>63</v>
      </c>
      <c r="C18" s="20">
        <v>0</v>
      </c>
      <c r="D18" s="35">
        <v>44000</v>
      </c>
      <c r="E18" s="36">
        <f t="shared" si="0"/>
        <v>3760.6837606837607</v>
      </c>
      <c r="F18" s="4">
        <f>C18*A18</f>
        <v>0</v>
      </c>
    </row>
    <row r="19" spans="1:8">
      <c r="B19" s="25" t="s">
        <v>64</v>
      </c>
      <c r="C19" s="37">
        <v>0.6</v>
      </c>
      <c r="D19" s="38">
        <f>C18*D18*C19</f>
        <v>0</v>
      </c>
      <c r="E19" s="36">
        <f t="shared" si="0"/>
        <v>0</v>
      </c>
      <c r="F19" s="4"/>
    </row>
    <row r="20" spans="1:8" s="42" customFormat="1" hidden="1">
      <c r="B20" s="43"/>
      <c r="C20" s="47"/>
      <c r="D20" s="47"/>
      <c r="E20" s="44"/>
      <c r="F20" s="45"/>
    </row>
    <row r="21" spans="1:8" ht="15" hidden="1">
      <c r="A21" s="48">
        <v>0.15</v>
      </c>
      <c r="B21" s="34" t="s">
        <v>65</v>
      </c>
      <c r="C21" s="20">
        <v>0</v>
      </c>
      <c r="D21" s="38">
        <f>600*11.7</f>
        <v>7020</v>
      </c>
      <c r="E21" s="36">
        <f t="shared" si="0"/>
        <v>600</v>
      </c>
      <c r="F21" s="4">
        <f>C21*A21</f>
        <v>0</v>
      </c>
    </row>
    <row r="22" spans="1:8" hidden="1">
      <c r="B22" s="25" t="s">
        <v>64</v>
      </c>
      <c r="C22" s="37">
        <v>0.6</v>
      </c>
      <c r="D22" s="38">
        <f>C21*D21*C22</f>
        <v>0</v>
      </c>
      <c r="E22" s="36">
        <f t="shared" si="0"/>
        <v>0</v>
      </c>
      <c r="F22" s="49">
        <f>SUM(F9:F21)</f>
        <v>75.84</v>
      </c>
      <c r="G22" t="s">
        <v>66</v>
      </c>
    </row>
    <row r="23" spans="1:8" hidden="1">
      <c r="B23" s="25" t="s">
        <v>67</v>
      </c>
      <c r="C23" s="37" t="s">
        <v>60</v>
      </c>
      <c r="D23" s="40"/>
      <c r="E23" s="36"/>
      <c r="F23" s="4"/>
    </row>
    <row r="24" spans="1:8">
      <c r="G24" s="4" t="s">
        <v>68</v>
      </c>
      <c r="H24" s="4" t="s">
        <v>69</v>
      </c>
    </row>
    <row r="25" spans="1:8">
      <c r="B25" s="11" t="s">
        <v>70</v>
      </c>
      <c r="C25" s="50">
        <f>SUM(D10,D19,D22)+((C11*C9)*D12)</f>
        <v>3240000</v>
      </c>
      <c r="D25" s="51" t="s">
        <v>71</v>
      </c>
      <c r="E25" s="52" t="s">
        <v>72</v>
      </c>
    </row>
    <row r="26" spans="1:8">
      <c r="B26" s="53" t="s">
        <v>73</v>
      </c>
      <c r="C26" s="50">
        <f>C25/C6</f>
        <v>44.117647058823529</v>
      </c>
      <c r="D26" s="51" t="s">
        <v>74</v>
      </c>
      <c r="G26" s="54">
        <f>C26/$F$22</f>
        <v>0.58172002978406545</v>
      </c>
      <c r="H26" s="54">
        <f>F22/C26</f>
        <v>1.7190400000000001</v>
      </c>
    </row>
    <row r="27" spans="1:8">
      <c r="B27" s="53" t="s">
        <v>75</v>
      </c>
      <c r="C27" s="50">
        <f>(C25-(C9*D14))/C6</f>
        <v>40.026470588235291</v>
      </c>
      <c r="D27" s="51" t="s">
        <v>74</v>
      </c>
      <c r="E27" s="3" t="s">
        <v>76</v>
      </c>
      <c r="H27" s="16"/>
    </row>
    <row r="28" spans="1:8" ht="12.75" customHeight="1">
      <c r="A28" s="2578" t="s">
        <v>77</v>
      </c>
      <c r="B28" s="53" t="s">
        <v>78</v>
      </c>
      <c r="C28" s="50">
        <v>0.2</v>
      </c>
      <c r="D28" s="51" t="s">
        <v>74</v>
      </c>
      <c r="E28" s="55">
        <v>0.4</v>
      </c>
    </row>
    <row r="29" spans="1:8" ht="18" customHeight="1">
      <c r="A29" s="2578"/>
      <c r="B29" s="53" t="s">
        <v>79</v>
      </c>
      <c r="C29" s="50">
        <f>C28*(C9)</f>
        <v>12</v>
      </c>
      <c r="D29" s="51" t="s">
        <v>74</v>
      </c>
    </row>
    <row r="30" spans="1:8" ht="12.75" customHeight="1">
      <c r="A30" s="2578"/>
      <c r="B30" s="53" t="s">
        <v>80</v>
      </c>
      <c r="C30" s="50">
        <v>0.4</v>
      </c>
      <c r="D30" s="51" t="s">
        <v>74</v>
      </c>
      <c r="E30" s="55" t="s">
        <v>81</v>
      </c>
    </row>
    <row r="31" spans="1:8">
      <c r="A31" s="2578"/>
      <c r="B31" s="53" t="s">
        <v>79</v>
      </c>
      <c r="C31" s="50">
        <f>C30*(C9)</f>
        <v>24</v>
      </c>
      <c r="D31" s="51" t="s">
        <v>74</v>
      </c>
    </row>
    <row r="32" spans="1:8" ht="14.25">
      <c r="A32" s="2578"/>
      <c r="B32" s="53" t="s">
        <v>82</v>
      </c>
      <c r="C32" s="50">
        <f>C27+C29</f>
        <v>52.026470588235291</v>
      </c>
      <c r="D32" s="56">
        <f>C27+C31</f>
        <v>64.026470588235298</v>
      </c>
      <c r="E32" t="s">
        <v>83</v>
      </c>
      <c r="G32" s="54">
        <f>C32/$F$22</f>
        <v>0.68600304045668892</v>
      </c>
      <c r="H32" s="54">
        <f>F22/C32</f>
        <v>1.4577194866866416</v>
      </c>
    </row>
    <row r="33" spans="2:8">
      <c r="B33" s="3" t="s">
        <v>84</v>
      </c>
    </row>
    <row r="34" spans="2:8">
      <c r="D34" t="s">
        <v>85</v>
      </c>
    </row>
    <row r="35" spans="2:8">
      <c r="B35" t="s">
        <v>86</v>
      </c>
    </row>
    <row r="36" spans="2:8">
      <c r="B36" t="s">
        <v>87</v>
      </c>
      <c r="C36" s="6">
        <v>0.4</v>
      </c>
      <c r="E36" t="s">
        <v>88</v>
      </c>
      <c r="F36" s="4" t="s">
        <v>89</v>
      </c>
    </row>
    <row r="37" spans="2:8">
      <c r="B37" t="s">
        <v>90</v>
      </c>
      <c r="C37" s="5">
        <v>4000</v>
      </c>
      <c r="D37" s="450">
        <v>12.3</v>
      </c>
      <c r="E37" s="57">
        <f>C37*D37</f>
        <v>49200</v>
      </c>
      <c r="F37" s="58">
        <f>E37/11.7</f>
        <v>4205.1282051282051</v>
      </c>
    </row>
    <row r="38" spans="2:8" hidden="1">
      <c r="B38" s="25" t="s">
        <v>91</v>
      </c>
      <c r="C38" s="1388">
        <f>(D9*C36)/E37*C9</f>
        <v>38.536585365853661</v>
      </c>
      <c r="G38" s="60">
        <f>C38/F22</f>
        <v>0.50813008130081305</v>
      </c>
      <c r="H38" s="54">
        <f>F22/C38</f>
        <v>1.968</v>
      </c>
    </row>
    <row r="39" spans="2:8">
      <c r="B39" t="s">
        <v>92</v>
      </c>
      <c r="C39" s="6">
        <v>0.4</v>
      </c>
    </row>
    <row r="40" spans="2:8">
      <c r="B40" s="25" t="s">
        <v>93</v>
      </c>
      <c r="C40" s="59">
        <f>(D18*C39)/E37*C18</f>
        <v>0</v>
      </c>
    </row>
    <row r="41" spans="2:8" hidden="1">
      <c r="B41" t="s">
        <v>94</v>
      </c>
      <c r="C41" s="6">
        <v>0.4</v>
      </c>
    </row>
    <row r="42" spans="2:8" hidden="1">
      <c r="B42" t="s">
        <v>95</v>
      </c>
      <c r="C42" s="59">
        <f>(D21*C41)/E37*C21</f>
        <v>0</v>
      </c>
    </row>
    <row r="43" spans="2:8" hidden="1">
      <c r="B43" s="25" t="s">
        <v>96</v>
      </c>
      <c r="C43" s="50">
        <f>SUM(C38,C40,C42)</f>
        <v>38.536585365853661</v>
      </c>
      <c r="D43" s="51" t="s">
        <v>74</v>
      </c>
    </row>
    <row r="44" spans="2:8">
      <c r="B44" s="61" t="s">
        <v>97</v>
      </c>
      <c r="C44" s="62"/>
      <c r="D44" s="62"/>
      <c r="E44" s="63"/>
    </row>
    <row r="45" spans="2:8">
      <c r="B45" s="64" t="s">
        <v>98</v>
      </c>
      <c r="C45" s="65">
        <f>IF(C13="ei",C26,C27)</f>
        <v>44.117647058823529</v>
      </c>
      <c r="D45" s="42" t="s">
        <v>99</v>
      </c>
      <c r="E45" s="66"/>
    </row>
    <row r="46" spans="2:8">
      <c r="B46" s="64" t="s">
        <v>100</v>
      </c>
      <c r="C46" s="65">
        <f>IF(C13="kyllä",C28*C9,0)</f>
        <v>0</v>
      </c>
      <c r="D46" s="67">
        <f>IF(C13="kyllä",C30*C9,0)</f>
        <v>0</v>
      </c>
      <c r="E46" s="66" t="s">
        <v>99</v>
      </c>
    </row>
    <row r="47" spans="2:8" hidden="1">
      <c r="B47" s="64" t="s">
        <v>101</v>
      </c>
      <c r="C47" s="65">
        <f>IF(C23="kyllä",1/10*C21,0)</f>
        <v>0</v>
      </c>
      <c r="D47" s="67">
        <f>IF(C23="kyllä",1/6*C21,0)</f>
        <v>0</v>
      </c>
      <c r="E47" s="66"/>
    </row>
    <row r="48" spans="2:8">
      <c r="B48" s="64" t="s">
        <v>102</v>
      </c>
      <c r="C48" s="65">
        <f>IF(C16="kyllä",C43,0)</f>
        <v>38.536585365853661</v>
      </c>
      <c r="D48" s="42"/>
      <c r="E48" s="66"/>
    </row>
    <row r="49" spans="2:5" ht="18">
      <c r="B49" s="68" t="s">
        <v>103</v>
      </c>
      <c r="C49" s="69">
        <f>SUM(C45:C48)</f>
        <v>82.65423242467719</v>
      </c>
      <c r="D49" s="70">
        <f>C45+D46+C48+D47</f>
        <v>82.65423242467719</v>
      </c>
      <c r="E49" s="71" t="s">
        <v>99</v>
      </c>
    </row>
    <row r="50" spans="2:5" s="17" customFormat="1" ht="6.75" customHeight="1"/>
    <row r="52" spans="2:5">
      <c r="B52" s="3" t="s">
        <v>104</v>
      </c>
    </row>
    <row r="53" spans="2:5" ht="14.25">
      <c r="B53" s="25" t="s">
        <v>105</v>
      </c>
      <c r="C53" s="5">
        <v>24</v>
      </c>
      <c r="D53" t="s">
        <v>106</v>
      </c>
    </row>
    <row r="54" spans="2:5" ht="14.25">
      <c r="B54" s="25" t="s">
        <v>107</v>
      </c>
      <c r="C54" s="5">
        <v>15</v>
      </c>
      <c r="D54" t="s">
        <v>106</v>
      </c>
    </row>
    <row r="55" spans="2:5" ht="14.25">
      <c r="B55" s="25" t="s">
        <v>108</v>
      </c>
      <c r="C55" s="72">
        <v>30</v>
      </c>
      <c r="D55" t="s">
        <v>106</v>
      </c>
    </row>
    <row r="56" spans="2:5">
      <c r="B56" s="73" t="s">
        <v>109</v>
      </c>
      <c r="C56" s="74">
        <f>((C9*C53)+(C54*C18))/C55</f>
        <v>48</v>
      </c>
      <c r="D56" s="75" t="s">
        <v>99</v>
      </c>
    </row>
    <row r="57" spans="2:5">
      <c r="B57" s="76" t="s">
        <v>110</v>
      </c>
      <c r="C57" s="77">
        <f>C49</f>
        <v>82.65423242467719</v>
      </c>
      <c r="D57" s="78" t="s">
        <v>99</v>
      </c>
    </row>
    <row r="58" spans="2:5">
      <c r="B58" s="25"/>
    </row>
  </sheetData>
  <sheetProtection sheet="1" formatCells="0" formatColumns="0" formatRows="0" insertColumns="0" insertRows="0"/>
  <mergeCells count="1">
    <mergeCell ref="A28:A32"/>
  </mergeCells>
  <pageMargins left="0.7" right="0.7" top="0.75" bottom="0.75" header="0.51180555555555551" footer="0.51180555555555551"/>
  <pageSetup paperSize="9" scale="42" firstPageNumber="0" orientation="landscape" horizontalDpi="300" verticalDpi="300" r:id="rId1"/>
  <headerFooter alignWithMargins="0"/>
  <colBreaks count="1" manualBreakCount="1">
    <brk id="10" max="1048575"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3"/>
  <sheetViews>
    <sheetView zoomScale="70" zoomScaleNormal="70" workbookViewId="0">
      <selection activeCell="A7" sqref="A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tr">
        <f>'EVL yrityksen 1 katelaskenta'!A2</f>
        <v>EVL</v>
      </c>
      <c r="B2" s="1049" t="s">
        <v>772</v>
      </c>
      <c r="C2" s="368" t="s">
        <v>740</v>
      </c>
      <c r="D2" s="367"/>
      <c r="E2" s="368"/>
      <c r="F2" s="1100" t="str">
        <f>'EVL yrityksen 1 katelaskenta'!F2</f>
        <v>KYLLÄ</v>
      </c>
    </row>
    <row r="3" spans="1:8" ht="18">
      <c r="A3" s="247"/>
      <c r="B3" s="247" t="s">
        <v>188</v>
      </c>
      <c r="C3" s="247"/>
      <c r="D3" s="247"/>
      <c r="E3" s="1091">
        <f>'EVL yrityksen 1 katelaskenta'!E3</f>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v>0</v>
      </c>
      <c r="F9" s="1052">
        <f t="shared" si="0"/>
        <v>0</v>
      </c>
      <c r="G9" s="1053">
        <f t="shared" si="1"/>
        <v>0</v>
      </c>
      <c r="H9" s="1054">
        <f t="shared" si="2"/>
        <v>0</v>
      </c>
    </row>
    <row r="10" spans="1:8" ht="15.75" thickBot="1">
      <c r="A10" s="253" t="s">
        <v>747</v>
      </c>
      <c r="B10" s="254"/>
      <c r="C10" s="255" t="s">
        <v>744</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
      <c r="A12" s="1005" t="s">
        <v>425</v>
      </c>
      <c r="B12" s="1020"/>
      <c r="C12" s="274" t="s">
        <v>259</v>
      </c>
      <c r="D12" s="273">
        <v>1</v>
      </c>
      <c r="E12" s="1055">
        <v>0</v>
      </c>
      <c r="F12" s="1056">
        <f t="shared" si="0"/>
        <v>0</v>
      </c>
      <c r="G12" s="1053">
        <f t="shared" si="1"/>
        <v>0</v>
      </c>
      <c r="H12" s="1054">
        <f t="shared" si="2"/>
        <v>0</v>
      </c>
    </row>
    <row r="13" spans="1:8" ht="15">
      <c r="A13" s="1005" t="s">
        <v>425</v>
      </c>
      <c r="B13" s="277"/>
      <c r="C13" s="274" t="s">
        <v>259</v>
      </c>
      <c r="D13" s="277">
        <v>1</v>
      </c>
      <c r="E13" s="1057">
        <v>0</v>
      </c>
      <c r="F13" s="1056">
        <f t="shared" si="0"/>
        <v>0</v>
      </c>
      <c r="G13" s="1053">
        <f t="shared" si="1"/>
        <v>0</v>
      </c>
      <c r="H13" s="1054">
        <f t="shared" si="2"/>
        <v>0</v>
      </c>
    </row>
    <row r="14" spans="1:8" ht="15.75" thickBot="1">
      <c r="A14" s="1005" t="s">
        <v>425</v>
      </c>
      <c r="B14" s="277"/>
      <c r="C14" s="274" t="s">
        <v>259</v>
      </c>
      <c r="D14" s="279">
        <v>1</v>
      </c>
      <c r="E14" s="1057">
        <v>0</v>
      </c>
      <c r="F14" s="1056">
        <f t="shared" si="0"/>
        <v>0</v>
      </c>
      <c r="G14" s="1053">
        <f t="shared" si="1"/>
        <v>0</v>
      </c>
      <c r="H14" s="1054">
        <f t="shared" si="2"/>
        <v>0</v>
      </c>
    </row>
    <row r="15" spans="1:8" ht="16.5" thickTop="1">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c r="B18" s="277"/>
      <c r="C18" s="165" t="s">
        <v>150</v>
      </c>
      <c r="D18" s="282">
        <v>0</v>
      </c>
      <c r="E18" s="1060">
        <v>0</v>
      </c>
      <c r="F18" s="1056">
        <f t="shared" ref="F18:F31" si="3">D18*E18</f>
        <v>0</v>
      </c>
      <c r="G18" s="1053">
        <f>IFERROR(F18/#REF!,0)</f>
        <v>0</v>
      </c>
      <c r="H18" s="1054">
        <f>F18</f>
        <v>0</v>
      </c>
      <c r="I18" s="247"/>
      <c r="J18" s="247"/>
      <c r="K18" s="247"/>
    </row>
    <row r="19" spans="1:11" s="14" customFormat="1" ht="18">
      <c r="A19" s="277"/>
      <c r="B19" s="277"/>
      <c r="C19" s="165" t="s">
        <v>137</v>
      </c>
      <c r="D19" s="282">
        <v>0</v>
      </c>
      <c r="E19" s="1060">
        <v>0</v>
      </c>
      <c r="F19" s="1056">
        <f t="shared" si="3"/>
        <v>0</v>
      </c>
      <c r="G19" s="1053">
        <f>IFERROR(F19/#REF!,0)</f>
        <v>0</v>
      </c>
      <c r="H19" s="1054">
        <f t="shared" ref="H19:H32" si="4">F19</f>
        <v>0</v>
      </c>
      <c r="I19" s="247"/>
      <c r="J19" s="247"/>
      <c r="K19" s="247"/>
    </row>
    <row r="20" spans="1:11" s="14" customFormat="1" ht="15">
      <c r="A20" s="277"/>
      <c r="B20" s="277"/>
      <c r="C20" s="165" t="s">
        <v>150</v>
      </c>
      <c r="D20" s="282">
        <v>0</v>
      </c>
      <c r="E20" s="1060">
        <v>0</v>
      </c>
      <c r="F20" s="1056">
        <f t="shared" si="3"/>
        <v>0</v>
      </c>
      <c r="G20" s="1053">
        <f>IFERROR(F20/#REF!,0)</f>
        <v>0</v>
      </c>
      <c r="H20" s="1054">
        <f t="shared" si="4"/>
        <v>0</v>
      </c>
      <c r="I20"/>
    </row>
    <row r="21" spans="1:11" s="14" customFormat="1" ht="15">
      <c r="A21" s="277"/>
      <c r="B21" s="277"/>
      <c r="C21" s="165" t="s">
        <v>150</v>
      </c>
      <c r="D21" s="282">
        <v>0</v>
      </c>
      <c r="E21" s="1060">
        <v>0</v>
      </c>
      <c r="F21" s="1056">
        <f t="shared" si="3"/>
        <v>0</v>
      </c>
      <c r="G21" s="1053">
        <f>IFERROR(F21/#REF!,0)</f>
        <v>0</v>
      </c>
      <c r="H21" s="1054">
        <f t="shared" si="4"/>
        <v>0</v>
      </c>
      <c r="I21"/>
    </row>
    <row r="22" spans="1:11" s="14" customFormat="1" ht="15">
      <c r="A22" s="277"/>
      <c r="B22" s="277"/>
      <c r="C22" s="165" t="s">
        <v>442</v>
      </c>
      <c r="D22" s="282">
        <v>0</v>
      </c>
      <c r="E22" s="1060">
        <v>0</v>
      </c>
      <c r="F22" s="1056">
        <f t="shared" si="3"/>
        <v>0</v>
      </c>
      <c r="G22" s="1053">
        <f>IFERROR(F22/#REF!,0)</f>
        <v>0</v>
      </c>
      <c r="H22" s="1054">
        <f t="shared" si="4"/>
        <v>0</v>
      </c>
      <c r="I22"/>
    </row>
    <row r="23" spans="1:11" s="14" customFormat="1" ht="15">
      <c r="A23" s="277"/>
      <c r="B23" s="277"/>
      <c r="C23" s="165" t="s">
        <v>442</v>
      </c>
      <c r="D23" s="282">
        <v>0</v>
      </c>
      <c r="E23" s="1060">
        <v>0</v>
      </c>
      <c r="F23" s="1056">
        <f t="shared" si="3"/>
        <v>0</v>
      </c>
      <c r="G23" s="1053">
        <f>IFERROR(F23/#REF!,0)</f>
        <v>0</v>
      </c>
      <c r="H23" s="1054">
        <f t="shared" si="4"/>
        <v>0</v>
      </c>
      <c r="I23"/>
    </row>
    <row r="24" spans="1:11" s="14" customFormat="1" ht="15">
      <c r="A24" s="277"/>
      <c r="B24" s="277"/>
      <c r="C24" s="165" t="s">
        <v>773</v>
      </c>
      <c r="D24" s="282">
        <v>0</v>
      </c>
      <c r="E24" s="1060">
        <v>0</v>
      </c>
      <c r="F24" s="1056">
        <f t="shared" si="3"/>
        <v>0</v>
      </c>
      <c r="G24" s="1053">
        <f>IFERROR(F24/#REF!,0)</f>
        <v>0</v>
      </c>
      <c r="H24" s="1054">
        <f t="shared" si="4"/>
        <v>0</v>
      </c>
      <c r="I24"/>
    </row>
    <row r="25" spans="1:11" s="14" customFormat="1" ht="15">
      <c r="A25" s="277"/>
      <c r="B25" s="277"/>
      <c r="C25" s="165" t="s">
        <v>150</v>
      </c>
      <c r="D25" s="282">
        <v>1</v>
      </c>
      <c r="E25" s="1060">
        <v>0</v>
      </c>
      <c r="F25" s="1056">
        <f t="shared" si="3"/>
        <v>0</v>
      </c>
      <c r="G25" s="1053">
        <f>IFERROR(F25/#REF!,0)</f>
        <v>0</v>
      </c>
      <c r="H25" s="1054">
        <f t="shared" si="4"/>
        <v>0</v>
      </c>
      <c r="I25"/>
    </row>
    <row r="26" spans="1:11" s="14" customFormat="1" ht="15">
      <c r="A26" s="277"/>
      <c r="B26" s="277"/>
      <c r="C26" s="165" t="s">
        <v>150</v>
      </c>
      <c r="D26" s="282">
        <v>0</v>
      </c>
      <c r="E26" s="1060">
        <v>0</v>
      </c>
      <c r="F26" s="1056">
        <f t="shared" si="3"/>
        <v>0</v>
      </c>
      <c r="G26" s="1053">
        <f>IFERROR(F26/#REF!,0)</f>
        <v>0</v>
      </c>
      <c r="H26" s="1054">
        <f t="shared" si="4"/>
        <v>0</v>
      </c>
      <c r="I26"/>
    </row>
    <row r="27" spans="1:11" ht="15">
      <c r="A27" s="277"/>
      <c r="B27" s="277"/>
      <c r="C27" s="165" t="s">
        <v>137</v>
      </c>
      <c r="D27" s="282">
        <v>0</v>
      </c>
      <c r="E27" s="1060">
        <v>0</v>
      </c>
      <c r="F27" s="1056">
        <f t="shared" si="3"/>
        <v>0</v>
      </c>
      <c r="G27" s="1053">
        <f>IFERROR(F27/#REF!,0)</f>
        <v>0</v>
      </c>
      <c r="H27" s="1054">
        <f t="shared" si="4"/>
        <v>0</v>
      </c>
      <c r="J27" s="14"/>
      <c r="K27" s="14"/>
    </row>
    <row r="28" spans="1:11" ht="15">
      <c r="A28" s="277"/>
      <c r="B28" s="277"/>
      <c r="C28" s="165" t="s">
        <v>442</v>
      </c>
      <c r="D28" s="282">
        <v>0</v>
      </c>
      <c r="E28" s="1060">
        <v>0</v>
      </c>
      <c r="F28" s="1056">
        <f t="shared" si="3"/>
        <v>0</v>
      </c>
      <c r="G28" s="1053">
        <f>IFERROR(F28/#REF!,0)</f>
        <v>0</v>
      </c>
      <c r="H28" s="1054">
        <f t="shared" si="4"/>
        <v>0</v>
      </c>
    </row>
    <row r="29" spans="1:11" ht="15">
      <c r="A29" s="277"/>
      <c r="B29" s="277"/>
      <c r="C29" s="165" t="s">
        <v>99</v>
      </c>
      <c r="D29" s="282">
        <v>0</v>
      </c>
      <c r="E29" s="1060">
        <v>0</v>
      </c>
      <c r="F29" s="1056">
        <f t="shared" si="3"/>
        <v>0</v>
      </c>
      <c r="G29" s="1053">
        <f>IFERROR(F29/#REF!,0)</f>
        <v>0</v>
      </c>
      <c r="H29" s="1054">
        <f t="shared" si="4"/>
        <v>0</v>
      </c>
    </row>
    <row r="30" spans="1:11" ht="15">
      <c r="A30" s="1539" t="s">
        <v>444</v>
      </c>
      <c r="B30" s="277"/>
      <c r="C30" s="1548" t="s">
        <v>235</v>
      </c>
      <c r="D30" s="1152">
        <f>100%-'EVL yrityksen 1 katelaskenta'!D30</f>
        <v>0</v>
      </c>
      <c r="E30" s="1298">
        <f>SUMIF('Muut kustannustiedot'!H38:H48,"EVL",'Muut kustannustiedot'!V38:V48)</f>
        <v>0</v>
      </c>
      <c r="F30" s="1056">
        <f t="shared" si="3"/>
        <v>0</v>
      </c>
      <c r="G30" s="1053">
        <f>IFERROR(F30/#REF!,0)</f>
        <v>0</v>
      </c>
      <c r="H30" s="1054">
        <f t="shared" si="4"/>
        <v>0</v>
      </c>
    </row>
    <row r="31" spans="1:11" ht="15">
      <c r="A31" s="277" t="s">
        <v>758</v>
      </c>
      <c r="B31" t="s">
        <v>446</v>
      </c>
      <c r="C31" s="165" t="s">
        <v>15</v>
      </c>
      <c r="D31" s="282">
        <v>0</v>
      </c>
      <c r="E31" s="1060">
        <v>15</v>
      </c>
      <c r="F31" s="1056">
        <f t="shared" si="3"/>
        <v>0</v>
      </c>
      <c r="G31" s="1053">
        <f>IFERROR(F31/#REF!,0)</f>
        <v>0</v>
      </c>
      <c r="H31" s="1054">
        <f t="shared" si="4"/>
        <v>0</v>
      </c>
    </row>
    <row r="32" spans="1:11" ht="15.75">
      <c r="A32" s="86" t="s">
        <v>448</v>
      </c>
      <c r="B32" s="1"/>
      <c r="D32" s="14"/>
      <c r="E32" s="14"/>
      <c r="F32" s="1058">
        <f>SUM(F18:F31)</f>
        <v>0</v>
      </c>
      <c r="G32" s="1053">
        <f>IFERROR(F32/#REF!,0)</f>
        <v>0</v>
      </c>
      <c r="H32" s="1054">
        <f t="shared" si="4"/>
        <v>0</v>
      </c>
    </row>
    <row r="33" spans="1:8" ht="18">
      <c r="A33" s="1" t="s">
        <v>759</v>
      </c>
      <c r="B33" s="52" t="s">
        <v>760</v>
      </c>
      <c r="D33" s="14"/>
      <c r="E33" s="14"/>
      <c r="F33" s="1061">
        <f>F15-F32</f>
        <v>0</v>
      </c>
      <c r="G33" s="1053"/>
      <c r="H33" s="1105">
        <f>IFERROR(F33/$F$15,0)</f>
        <v>0</v>
      </c>
    </row>
    <row r="34" spans="1:8" ht="18">
      <c r="A34" s="1"/>
      <c r="B34" s="52"/>
      <c r="D34" s="14"/>
      <c r="E34" s="14"/>
      <c r="F34" s="1061"/>
      <c r="G34" s="1061"/>
      <c r="H34" s="1061"/>
    </row>
    <row r="35" spans="1:8" ht="18">
      <c r="A35" s="86" t="s">
        <v>761</v>
      </c>
      <c r="B35" s="52"/>
      <c r="D35" s="14"/>
      <c r="E35" s="14"/>
      <c r="F35" s="1061"/>
      <c r="G35" s="1053"/>
      <c r="H35" s="1061"/>
    </row>
    <row r="36" spans="1:8" ht="15">
      <c r="A36" s="277" t="s">
        <v>751</v>
      </c>
      <c r="B36" s="277"/>
      <c r="C36" s="165" t="s">
        <v>150</v>
      </c>
      <c r="D36" s="282">
        <v>0</v>
      </c>
      <c r="E36" s="1060">
        <v>0</v>
      </c>
      <c r="F36" s="1056">
        <f t="shared" ref="F36:F41" si="5">D36*E36</f>
        <v>0</v>
      </c>
      <c r="G36" s="1053"/>
      <c r="H36" s="1106">
        <f>F36</f>
        <v>0</v>
      </c>
    </row>
    <row r="37" spans="1:8" ht="15">
      <c r="A37" s="277" t="s">
        <v>752</v>
      </c>
      <c r="B37" s="277"/>
      <c r="C37" s="165" t="s">
        <v>150</v>
      </c>
      <c r="D37" s="282">
        <v>0</v>
      </c>
      <c r="E37" s="1060">
        <v>0</v>
      </c>
      <c r="F37" s="1056">
        <f t="shared" si="5"/>
        <v>0</v>
      </c>
      <c r="G37" s="1053"/>
      <c r="H37" s="1106">
        <f t="shared" ref="H37:H41" si="6">F37</f>
        <v>0</v>
      </c>
    </row>
    <row r="38" spans="1:8" ht="15">
      <c r="A38" s="277" t="s">
        <v>762</v>
      </c>
      <c r="B38" s="277"/>
      <c r="C38" s="165" t="s">
        <v>150</v>
      </c>
      <c r="D38" s="282">
        <v>0</v>
      </c>
      <c r="E38" s="1060">
        <v>0</v>
      </c>
      <c r="F38" s="1056">
        <f t="shared" si="5"/>
        <v>0</v>
      </c>
      <c r="G38" s="1053"/>
      <c r="H38" s="1106">
        <f t="shared" si="6"/>
        <v>0</v>
      </c>
    </row>
    <row r="39" spans="1:8" ht="15">
      <c r="A39" s="277" t="s">
        <v>763</v>
      </c>
      <c r="B39" s="277"/>
      <c r="C39" s="165" t="s">
        <v>150</v>
      </c>
      <c r="D39" s="282">
        <v>0</v>
      </c>
      <c r="E39" s="1060">
        <v>0</v>
      </c>
      <c r="F39" s="1056">
        <f t="shared" si="5"/>
        <v>0</v>
      </c>
      <c r="G39" s="1053"/>
      <c r="H39" s="1106">
        <f t="shared" si="6"/>
        <v>0</v>
      </c>
    </row>
    <row r="40" spans="1:8" ht="15">
      <c r="A40" s="277"/>
      <c r="B40" s="277"/>
      <c r="C40" s="165" t="s">
        <v>150</v>
      </c>
      <c r="D40" s="282">
        <v>0</v>
      </c>
      <c r="E40" s="1060">
        <v>0</v>
      </c>
      <c r="F40" s="1056">
        <f t="shared" si="5"/>
        <v>0</v>
      </c>
      <c r="G40" s="1053"/>
      <c r="H40" s="1106">
        <f t="shared" si="6"/>
        <v>0</v>
      </c>
    </row>
    <row r="41" spans="1:8" ht="15">
      <c r="A41" s="277"/>
      <c r="B41" s="277"/>
      <c r="C41" s="165" t="s">
        <v>150</v>
      </c>
      <c r="D41" s="282">
        <v>0</v>
      </c>
      <c r="E41" s="1060">
        <v>0</v>
      </c>
      <c r="F41" s="1056">
        <f t="shared" si="5"/>
        <v>0</v>
      </c>
      <c r="G41" s="1053"/>
      <c r="H41" s="1106">
        <f t="shared" si="6"/>
        <v>0</v>
      </c>
    </row>
    <row r="42" spans="1:8" ht="15">
      <c r="A42" s="86" t="s">
        <v>764</v>
      </c>
      <c r="F42" s="897">
        <f>SUM(F36:F41)</f>
        <v>0</v>
      </c>
      <c r="G42" s="52"/>
      <c r="H42" s="897">
        <f>F42</f>
        <v>0</v>
      </c>
    </row>
    <row r="43" spans="1:8" ht="18" hidden="1">
      <c r="A43" s="1" t="s">
        <v>765</v>
      </c>
      <c r="B43" s="52" t="s">
        <v>766</v>
      </c>
      <c r="C43" s="1063"/>
      <c r="D43" s="1063"/>
      <c r="E43" s="1063"/>
      <c r="F43" s="1061">
        <f>F33-F42</f>
        <v>0</v>
      </c>
      <c r="G43" s="52"/>
      <c r="H43" s="52"/>
    </row>
    <row r="44" spans="1:8" ht="18">
      <c r="A44" s="1" t="s">
        <v>765</v>
      </c>
      <c r="B44" s="52" t="s">
        <v>766</v>
      </c>
      <c r="C44" s="1063"/>
      <c r="D44" s="1063"/>
      <c r="E44" s="1063"/>
      <c r="F44" s="1061">
        <f>F33-F42</f>
        <v>0</v>
      </c>
      <c r="G44" s="1053"/>
      <c r="H44" s="1105">
        <f>IFERROR(F44/$F$15,0)</f>
        <v>0</v>
      </c>
    </row>
    <row r="45" spans="1:8" ht="15.75">
      <c r="A45" s="1" t="s">
        <v>767</v>
      </c>
      <c r="B45" s="303"/>
      <c r="G45" s="52"/>
      <c r="H45" s="52"/>
    </row>
    <row r="46" spans="1:8" ht="16.5" thickBot="1">
      <c r="A46" s="168"/>
      <c r="B46" s="168"/>
      <c r="C46" s="169"/>
      <c r="D46" s="170" t="s">
        <v>768</v>
      </c>
      <c r="E46" s="169"/>
      <c r="F46" s="171" t="s">
        <v>259</v>
      </c>
      <c r="G46" s="52"/>
      <c r="H46" s="252" t="s">
        <v>259</v>
      </c>
    </row>
    <row r="47" spans="1:8" ht="16.5" thickBot="1">
      <c r="A47" s="2677" t="s">
        <v>467</v>
      </c>
      <c r="B47" s="878" t="s">
        <v>231</v>
      </c>
      <c r="C47" s="305"/>
      <c r="D47" s="1500">
        <f>SUMIF(Lähtötiedot!$A$60:$A$70,A2,Lähtötiedot!$D$60:$D$70)</f>
        <v>0</v>
      </c>
      <c r="E47" s="1534">
        <v>1</v>
      </c>
      <c r="F47" s="1056">
        <f>D47*E47</f>
        <v>0</v>
      </c>
      <c r="G47" s="1053">
        <f>IFERROR(F47/#REF!,0)</f>
        <v>0</v>
      </c>
      <c r="H47" s="1054">
        <f>F47</f>
        <v>0</v>
      </c>
    </row>
    <row r="48" spans="1:8" ht="16.5" thickBot="1">
      <c r="A48" s="2678"/>
      <c r="B48" s="878" t="s">
        <v>232</v>
      </c>
      <c r="C48" s="305"/>
      <c r="D48" s="1500">
        <f>SUMIF(Lähtötiedot!$A$60:$A$70,A2,Lähtötiedot!$E$60:$E$70)</f>
        <v>0</v>
      </c>
      <c r="E48" s="1534">
        <v>1</v>
      </c>
      <c r="F48" s="1056">
        <f t="shared" ref="F48:F49" si="7">D48*E48</f>
        <v>0</v>
      </c>
      <c r="G48" s="1053">
        <f>IFERROR(F48/#REF!,0)</f>
        <v>0</v>
      </c>
      <c r="H48" s="1054">
        <f t="shared" ref="H48:H49" si="8">F48</f>
        <v>0</v>
      </c>
    </row>
    <row r="49" spans="1:9" ht="16.5" thickBot="1">
      <c r="A49" s="2679"/>
      <c r="B49" s="874" t="s">
        <v>769</v>
      </c>
      <c r="C49" s="1065"/>
      <c r="D49" s="1500">
        <f>SUMIF(Lähtötiedot!$A$60:$A$70,A2,Lähtötiedot!$F$60:$F$70)+SUMIF(Lähtötiedot!$A$60:$A$70,A2,Lähtötiedot!$G$60:$G$70)</f>
        <v>0</v>
      </c>
      <c r="E49" s="1534">
        <v>1</v>
      </c>
      <c r="F49" s="1056">
        <f t="shared" si="7"/>
        <v>0</v>
      </c>
      <c r="G49" s="1053">
        <f>IFERROR(F49/#REF!,0)</f>
        <v>0</v>
      </c>
      <c r="H49" s="1054">
        <f t="shared" si="8"/>
        <v>0</v>
      </c>
    </row>
    <row r="50" spans="1:9" ht="15.75" thickBot="1">
      <c r="A50" s="356"/>
      <c r="B50" s="174"/>
      <c r="C50" s="175"/>
      <c r="D50" s="1067"/>
      <c r="E50" s="177"/>
      <c r="F50" s="1056"/>
      <c r="G50" s="1053"/>
      <c r="H50" s="1054"/>
    </row>
    <row r="51" spans="1:9" ht="16.5" thickTop="1">
      <c r="A51" s="1" t="s">
        <v>470</v>
      </c>
      <c r="B51" s="1"/>
      <c r="C51" s="14"/>
      <c r="D51" s="14"/>
      <c r="E51" s="14"/>
      <c r="F51" s="1058">
        <f>SUM(F47:F50)</f>
        <v>0</v>
      </c>
      <c r="H51" s="897">
        <f>SUM(H47:H50)</f>
        <v>0</v>
      </c>
      <c r="I51" s="10"/>
    </row>
    <row r="52" spans="1:9" ht="15.75">
      <c r="A52" s="1"/>
      <c r="B52" s="1"/>
      <c r="C52" s="14"/>
      <c r="D52" s="14"/>
      <c r="E52" s="14"/>
      <c r="F52" s="1063"/>
    </row>
    <row r="53" spans="1:9" ht="18">
      <c r="A53" s="1" t="s">
        <v>770</v>
      </c>
      <c r="B53" s="52" t="s">
        <v>771</v>
      </c>
      <c r="C53" s="14"/>
      <c r="D53" s="14"/>
      <c r="E53" s="14"/>
      <c r="F53" s="1061">
        <f>F44-F51</f>
        <v>0</v>
      </c>
      <c r="H53" s="1105">
        <f>IFERROR(F53/$F$15,0)</f>
        <v>0</v>
      </c>
      <c r="I53" s="10"/>
    </row>
    <row r="57" spans="1:9">
      <c r="E57" s="15"/>
    </row>
    <row r="58" spans="1:9">
      <c r="C58" s="339"/>
    </row>
    <row r="63" spans="1:9" ht="12.75" customHeight="1"/>
  </sheetData>
  <sheetProtection sheet="1" formatCells="0" formatColumns="0" formatRows="0"/>
  <mergeCells count="1">
    <mergeCell ref="A47:A49"/>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1" max="16383" man="1"/>
  </rowBreaks>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16"/>
  <sheetViews>
    <sheetView workbookViewId="0">
      <selection activeCell="D7" sqref="D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9" ht="18">
      <c r="A1" s="79" t="s">
        <v>774</v>
      </c>
    </row>
    <row r="2" spans="1:9" ht="18">
      <c r="A2" s="79"/>
      <c r="B2" s="1012" t="str">
        <f>Lähtötiedot!A53</f>
        <v>Metsä  - Piilossa, aktivoi (hiiren oikea, näytä)</v>
      </c>
      <c r="C2" s="246"/>
      <c r="D2" s="1992"/>
      <c r="E2" s="884"/>
    </row>
    <row r="3" spans="1:9" ht="18">
      <c r="A3" s="247"/>
      <c r="B3" s="247" t="s">
        <v>188</v>
      </c>
      <c r="C3" s="247"/>
      <c r="D3" s="247"/>
      <c r="E3" s="248">
        <f>Lähtötiedot!C4</f>
        <v>2027</v>
      </c>
      <c r="F3" s="247"/>
    </row>
    <row r="4" spans="1:9" ht="18">
      <c r="B4" s="249" t="s">
        <v>775</v>
      </c>
      <c r="D4" s="250"/>
      <c r="E4" s="251">
        <f>Lähtötiedot!C53</f>
        <v>0</v>
      </c>
      <c r="F4" s="247" t="s">
        <v>99</v>
      </c>
    </row>
    <row r="5" spans="1:9" ht="18">
      <c r="A5" s="1" t="s">
        <v>776</v>
      </c>
      <c r="B5" s="249"/>
      <c r="D5" s="250"/>
      <c r="E5" s="247"/>
      <c r="F5" s="247" t="s">
        <v>777</v>
      </c>
    </row>
    <row r="6" spans="1:9" ht="16.5" thickBot="1">
      <c r="A6" s="1" t="s">
        <v>417</v>
      </c>
      <c r="B6" s="1" t="s">
        <v>418</v>
      </c>
      <c r="C6" s="252" t="s">
        <v>146</v>
      </c>
      <c r="D6" s="252" t="s">
        <v>147</v>
      </c>
      <c r="E6" s="252" t="s">
        <v>419</v>
      </c>
      <c r="F6" s="252" t="s">
        <v>235</v>
      </c>
      <c r="G6" s="521" t="s">
        <v>159</v>
      </c>
      <c r="H6" s="252" t="s">
        <v>692</v>
      </c>
    </row>
    <row r="7" spans="1:9" ht="18.75" thickBot="1">
      <c r="A7" s="253" t="s">
        <v>778</v>
      </c>
      <c r="B7" s="254"/>
      <c r="C7" s="255" t="s">
        <v>779</v>
      </c>
      <c r="D7" s="256">
        <v>0</v>
      </c>
      <c r="E7" s="257"/>
      <c r="F7" s="258">
        <f t="shared" ref="F7:F17" si="0">D7*E7</f>
        <v>0</v>
      </c>
      <c r="G7" s="189">
        <f>IFERROR(F7/$F$18,0%)</f>
        <v>0</v>
      </c>
      <c r="H7" s="259">
        <f>F7</f>
        <v>0</v>
      </c>
      <c r="I7" t="s">
        <v>423</v>
      </c>
    </row>
    <row r="8" spans="1:9" ht="18.75" thickBot="1">
      <c r="A8" s="253" t="s">
        <v>780</v>
      </c>
      <c r="B8" s="254"/>
      <c r="C8" s="255" t="s">
        <v>779</v>
      </c>
      <c r="D8" s="256">
        <v>0</v>
      </c>
      <c r="E8" s="257"/>
      <c r="F8" s="258">
        <f t="shared" si="0"/>
        <v>0</v>
      </c>
      <c r="G8" s="189">
        <f t="shared" ref="G8:G18" si="1">IFERROR(F8/$F$18,0%)</f>
        <v>0</v>
      </c>
      <c r="H8" s="259">
        <f t="shared" ref="H8:H17" si="2">F8</f>
        <v>0</v>
      </c>
    </row>
    <row r="9" spans="1:9" ht="18.75" thickBot="1">
      <c r="A9" s="253" t="s">
        <v>781</v>
      </c>
      <c r="B9" s="254"/>
      <c r="C9" s="255" t="s">
        <v>779</v>
      </c>
      <c r="D9" s="256">
        <v>0</v>
      </c>
      <c r="E9" s="257"/>
      <c r="F9" s="258">
        <f t="shared" si="0"/>
        <v>0</v>
      </c>
      <c r="G9" s="189">
        <f t="shared" si="1"/>
        <v>0</v>
      </c>
      <c r="H9" s="259">
        <f t="shared" si="2"/>
        <v>0</v>
      </c>
    </row>
    <row r="10" spans="1:9" ht="18.75" thickBot="1">
      <c r="A10" s="253" t="s">
        <v>782</v>
      </c>
      <c r="B10" s="254"/>
      <c r="C10" s="255" t="s">
        <v>779</v>
      </c>
      <c r="D10" s="256">
        <v>0</v>
      </c>
      <c r="E10" s="257"/>
      <c r="F10" s="258">
        <f t="shared" si="0"/>
        <v>0</v>
      </c>
      <c r="G10" s="189">
        <f t="shared" si="1"/>
        <v>0</v>
      </c>
      <c r="H10" s="259">
        <f t="shared" si="2"/>
        <v>0</v>
      </c>
    </row>
    <row r="11" spans="1:9" ht="18.75" thickBot="1">
      <c r="A11" s="253" t="s">
        <v>783</v>
      </c>
      <c r="B11" s="254"/>
      <c r="C11" s="255" t="s">
        <v>779</v>
      </c>
      <c r="D11" s="256">
        <v>0</v>
      </c>
      <c r="E11" s="257"/>
      <c r="F11" s="258">
        <f t="shared" si="0"/>
        <v>0</v>
      </c>
      <c r="G11" s="189">
        <f t="shared" si="1"/>
        <v>0</v>
      </c>
      <c r="H11" s="259">
        <f t="shared" si="2"/>
        <v>0</v>
      </c>
    </row>
    <row r="12" spans="1:9" ht="15">
      <c r="A12" s="260" t="s">
        <v>424</v>
      </c>
      <c r="B12" s="261"/>
      <c r="C12" s="262" t="s">
        <v>235</v>
      </c>
      <c r="D12" s="261">
        <v>1</v>
      </c>
      <c r="E12" s="263">
        <v>0</v>
      </c>
      <c r="F12" s="258">
        <f t="shared" si="0"/>
        <v>0</v>
      </c>
      <c r="G12" s="189">
        <f t="shared" si="1"/>
        <v>0</v>
      </c>
      <c r="H12" s="259">
        <f t="shared" si="2"/>
        <v>0</v>
      </c>
    </row>
    <row r="13" spans="1:9" ht="15">
      <c r="A13" s="264" t="s">
        <v>424</v>
      </c>
      <c r="B13" s="265"/>
      <c r="C13" s="266" t="s">
        <v>235</v>
      </c>
      <c r="D13" s="265">
        <v>1</v>
      </c>
      <c r="E13" s="267">
        <v>0</v>
      </c>
      <c r="F13" s="258">
        <f t="shared" si="0"/>
        <v>0</v>
      </c>
      <c r="G13" s="189">
        <f t="shared" si="1"/>
        <v>0</v>
      </c>
      <c r="H13" s="259">
        <f t="shared" si="2"/>
        <v>0</v>
      </c>
    </row>
    <row r="14" spans="1:9" ht="15">
      <c r="A14" s="1021" t="s">
        <v>424</v>
      </c>
      <c r="B14" s="265"/>
      <c r="C14" s="266" t="s">
        <v>235</v>
      </c>
      <c r="D14" s="265">
        <v>1</v>
      </c>
      <c r="E14" s="267">
        <v>0</v>
      </c>
      <c r="F14" s="258">
        <f t="shared" si="0"/>
        <v>0</v>
      </c>
      <c r="G14" s="189">
        <f t="shared" si="1"/>
        <v>0</v>
      </c>
      <c r="H14" s="259">
        <f t="shared" si="2"/>
        <v>0</v>
      </c>
    </row>
    <row r="15" spans="1:9" ht="15">
      <c r="A15" s="1005" t="s">
        <v>425</v>
      </c>
      <c r="B15" s="1020"/>
      <c r="C15" s="274" t="s">
        <v>259</v>
      </c>
      <c r="D15" s="273">
        <v>1</v>
      </c>
      <c r="E15" s="275">
        <v>0</v>
      </c>
      <c r="F15" s="172">
        <f t="shared" si="0"/>
        <v>0</v>
      </c>
      <c r="G15" s="189">
        <f t="shared" si="1"/>
        <v>0</v>
      </c>
      <c r="H15" s="259">
        <f t="shared" si="2"/>
        <v>0</v>
      </c>
    </row>
    <row r="16" spans="1:9" ht="15">
      <c r="A16" s="1005" t="s">
        <v>425</v>
      </c>
      <c r="B16" s="277"/>
      <c r="C16" s="274" t="s">
        <v>259</v>
      </c>
      <c r="D16" s="277">
        <v>1</v>
      </c>
      <c r="E16" s="278">
        <v>0</v>
      </c>
      <c r="F16" s="172">
        <f t="shared" si="0"/>
        <v>0</v>
      </c>
      <c r="G16" s="189">
        <f t="shared" si="1"/>
        <v>0</v>
      </c>
      <c r="H16" s="259">
        <f t="shared" si="2"/>
        <v>0</v>
      </c>
    </row>
    <row r="17" spans="1:11" ht="15.75" thickBot="1">
      <c r="A17" s="1005" t="s">
        <v>425</v>
      </c>
      <c r="B17" s="277"/>
      <c r="C17" s="274" t="s">
        <v>259</v>
      </c>
      <c r="D17" s="279">
        <v>1</v>
      </c>
      <c r="E17" s="278">
        <v>0</v>
      </c>
      <c r="F17" s="172">
        <f t="shared" si="0"/>
        <v>0</v>
      </c>
      <c r="G17" s="189">
        <f t="shared" si="1"/>
        <v>0</v>
      </c>
      <c r="H17" s="259">
        <f t="shared" si="2"/>
        <v>0</v>
      </c>
    </row>
    <row r="18" spans="1:11" ht="16.5" thickTop="1">
      <c r="A18" s="1" t="s">
        <v>426</v>
      </c>
      <c r="B18" s="1"/>
      <c r="C18" s="14"/>
      <c r="D18" s="14"/>
      <c r="E18" s="14"/>
      <c r="F18" s="178">
        <f>SUM(F7:F17)</f>
        <v>0</v>
      </c>
      <c r="G18" s="189">
        <f t="shared" si="1"/>
        <v>0</v>
      </c>
      <c r="H18" s="281">
        <f>SUM(H7:H17)</f>
        <v>0</v>
      </c>
    </row>
    <row r="19" spans="1:11">
      <c r="G19" s="52"/>
      <c r="H19" s="52"/>
    </row>
    <row r="20" spans="1:11">
      <c r="G20" s="52"/>
      <c r="H20" s="52"/>
    </row>
    <row r="21" spans="1:11" s="247" customFormat="1" ht="18">
      <c r="A21" s="86" t="s">
        <v>784</v>
      </c>
      <c r="B21" s="1" t="s">
        <v>427</v>
      </c>
      <c r="C21" s="252" t="s">
        <v>146</v>
      </c>
      <c r="D21" s="252" t="s">
        <v>147</v>
      </c>
      <c r="E21" s="252" t="s">
        <v>428</v>
      </c>
      <c r="F21" s="252" t="s">
        <v>235</v>
      </c>
      <c r="G21" s="521" t="s">
        <v>159</v>
      </c>
      <c r="H21" s="252" t="s">
        <v>785</v>
      </c>
    </row>
    <row r="22" spans="1:11" s="14" customFormat="1" ht="18">
      <c r="A22" s="277" t="s">
        <v>786</v>
      </c>
      <c r="B22" s="277"/>
      <c r="C22" s="165" t="s">
        <v>150</v>
      </c>
      <c r="D22" s="282">
        <v>0</v>
      </c>
      <c r="E22" s="176">
        <v>0.45</v>
      </c>
      <c r="F22" s="172">
        <f t="shared" ref="F22:F36" si="3">D22*E22</f>
        <v>0</v>
      </c>
      <c r="G22" s="189" t="e">
        <f t="shared" ref="G22:G37" si="4">F22/$F$61</f>
        <v>#DIV/0!</v>
      </c>
      <c r="H22" s="259">
        <f>F22</f>
        <v>0</v>
      </c>
      <c r="I22" s="247"/>
      <c r="J22" s="247"/>
      <c r="K22" s="247"/>
    </row>
    <row r="23" spans="1:11" s="14" customFormat="1" ht="18">
      <c r="A23" s="277" t="s">
        <v>787</v>
      </c>
      <c r="B23" s="277"/>
      <c r="C23" s="165" t="s">
        <v>137</v>
      </c>
      <c r="D23" s="282">
        <v>0</v>
      </c>
      <c r="E23" s="176"/>
      <c r="F23" s="172">
        <f t="shared" si="3"/>
        <v>0</v>
      </c>
      <c r="G23" s="189" t="e">
        <f t="shared" si="4"/>
        <v>#DIV/0!</v>
      </c>
      <c r="H23" s="259">
        <f t="shared" ref="H23:H37" si="5">F23</f>
        <v>0</v>
      </c>
      <c r="I23" s="247"/>
      <c r="J23" s="247"/>
      <c r="K23" s="247"/>
    </row>
    <row r="24" spans="1:11" s="14" customFormat="1" ht="15">
      <c r="A24" s="277" t="s">
        <v>788</v>
      </c>
      <c r="B24" s="277"/>
      <c r="C24" s="165" t="s">
        <v>150</v>
      </c>
      <c r="D24" s="282">
        <v>1</v>
      </c>
      <c r="E24" s="176"/>
      <c r="F24" s="172">
        <f t="shared" si="3"/>
        <v>0</v>
      </c>
      <c r="G24" s="189" t="e">
        <f t="shared" si="4"/>
        <v>#DIV/0!</v>
      </c>
      <c r="H24" s="259">
        <f t="shared" si="5"/>
        <v>0</v>
      </c>
      <c r="I24"/>
    </row>
    <row r="25" spans="1:11" s="14" customFormat="1" ht="15">
      <c r="A25" s="277" t="s">
        <v>789</v>
      </c>
      <c r="B25" s="277"/>
      <c r="C25" s="165" t="s">
        <v>150</v>
      </c>
      <c r="D25" s="282">
        <v>1</v>
      </c>
      <c r="E25" s="176">
        <v>0</v>
      </c>
      <c r="F25" s="172">
        <f t="shared" si="3"/>
        <v>0</v>
      </c>
      <c r="G25" s="189" t="e">
        <f t="shared" si="4"/>
        <v>#DIV/0!</v>
      </c>
      <c r="H25" s="259">
        <f t="shared" si="5"/>
        <v>0</v>
      </c>
      <c r="I25"/>
    </row>
    <row r="26" spans="1:11" s="14" customFormat="1" ht="15">
      <c r="A26" s="277" t="s">
        <v>790</v>
      </c>
      <c r="B26" s="277"/>
      <c r="C26" s="165" t="s">
        <v>442</v>
      </c>
      <c r="D26" s="282">
        <v>20</v>
      </c>
      <c r="E26" s="176">
        <v>0</v>
      </c>
      <c r="F26" s="172">
        <f t="shared" si="3"/>
        <v>0</v>
      </c>
      <c r="G26" s="189" t="e">
        <f t="shared" si="4"/>
        <v>#DIV/0!</v>
      </c>
      <c r="H26" s="259">
        <f t="shared" si="5"/>
        <v>0</v>
      </c>
      <c r="I26"/>
    </row>
    <row r="27" spans="1:11" s="14" customFormat="1" ht="15">
      <c r="A27" s="277" t="s">
        <v>791</v>
      </c>
      <c r="B27" s="277"/>
      <c r="C27" s="165" t="s">
        <v>442</v>
      </c>
      <c r="D27" s="282">
        <v>0</v>
      </c>
      <c r="E27" s="176">
        <v>3</v>
      </c>
      <c r="F27" s="172">
        <f t="shared" si="3"/>
        <v>0</v>
      </c>
      <c r="G27" s="189" t="e">
        <f t="shared" si="4"/>
        <v>#DIV/0!</v>
      </c>
      <c r="H27" s="259">
        <f t="shared" si="5"/>
        <v>0</v>
      </c>
      <c r="I27"/>
    </row>
    <row r="28" spans="1:11" s="14" customFormat="1" ht="15">
      <c r="A28" s="277" t="s">
        <v>792</v>
      </c>
      <c r="B28" s="277"/>
      <c r="C28" s="165" t="s">
        <v>773</v>
      </c>
      <c r="D28" s="282">
        <v>0</v>
      </c>
      <c r="E28" s="176"/>
      <c r="F28" s="172">
        <f t="shared" si="3"/>
        <v>0</v>
      </c>
      <c r="G28" s="189" t="e">
        <f t="shared" si="4"/>
        <v>#DIV/0!</v>
      </c>
      <c r="H28" s="259">
        <f t="shared" si="5"/>
        <v>0</v>
      </c>
      <c r="I28"/>
    </row>
    <row r="29" spans="1:11" s="14" customFormat="1" ht="15">
      <c r="A29" s="277" t="s">
        <v>793</v>
      </c>
      <c r="B29" s="277"/>
      <c r="C29" s="165" t="s">
        <v>150</v>
      </c>
      <c r="D29" s="282">
        <v>1</v>
      </c>
      <c r="E29" s="176">
        <v>0</v>
      </c>
      <c r="F29" s="172">
        <f t="shared" si="3"/>
        <v>0</v>
      </c>
      <c r="G29" s="189" t="e">
        <f t="shared" si="4"/>
        <v>#DIV/0!</v>
      </c>
      <c r="H29" s="259">
        <f t="shared" si="5"/>
        <v>0</v>
      </c>
      <c r="I29"/>
    </row>
    <row r="30" spans="1:11" s="14" customFormat="1" ht="15">
      <c r="A30" s="277"/>
      <c r="B30" s="277"/>
      <c r="C30" s="165" t="s">
        <v>150</v>
      </c>
      <c r="D30" s="282">
        <v>0</v>
      </c>
      <c r="E30" s="176"/>
      <c r="F30" s="172">
        <f t="shared" si="3"/>
        <v>0</v>
      </c>
      <c r="G30" s="189" t="e">
        <f t="shared" si="4"/>
        <v>#DIV/0!</v>
      </c>
      <c r="H30" s="259">
        <f t="shared" si="5"/>
        <v>0</v>
      </c>
      <c r="I30"/>
    </row>
    <row r="31" spans="1:11" ht="15">
      <c r="A31" s="277"/>
      <c r="B31" s="277"/>
      <c r="C31" s="165" t="s">
        <v>137</v>
      </c>
      <c r="D31" s="282">
        <v>0</v>
      </c>
      <c r="E31" s="176"/>
      <c r="F31" s="172">
        <f t="shared" si="3"/>
        <v>0</v>
      </c>
      <c r="G31" s="189" t="e">
        <f t="shared" si="4"/>
        <v>#DIV/0!</v>
      </c>
      <c r="H31" s="259">
        <f t="shared" si="5"/>
        <v>0</v>
      </c>
      <c r="J31" s="14"/>
      <c r="K31" s="14"/>
    </row>
    <row r="32" spans="1:11" ht="15">
      <c r="A32" s="277"/>
      <c r="B32" s="277"/>
      <c r="C32" s="165" t="s">
        <v>442</v>
      </c>
      <c r="D32" s="282">
        <v>0</v>
      </c>
      <c r="E32" s="176"/>
      <c r="F32" s="172">
        <f t="shared" si="3"/>
        <v>0</v>
      </c>
      <c r="G32" s="189" t="e">
        <f t="shared" si="4"/>
        <v>#DIV/0!</v>
      </c>
      <c r="H32" s="259">
        <f t="shared" si="5"/>
        <v>0</v>
      </c>
    </row>
    <row r="33" spans="1:9" ht="15">
      <c r="A33" s="277"/>
      <c r="B33" s="277"/>
      <c r="C33" s="165" t="s">
        <v>99</v>
      </c>
      <c r="D33" s="282">
        <v>0</v>
      </c>
      <c r="E33" s="176"/>
      <c r="F33" s="172">
        <f t="shared" si="3"/>
        <v>0</v>
      </c>
      <c r="G33" s="189" t="e">
        <f t="shared" si="4"/>
        <v>#DIV/0!</v>
      </c>
      <c r="H33" s="259">
        <f t="shared" si="5"/>
        <v>0</v>
      </c>
    </row>
    <row r="34" spans="1:9" ht="15">
      <c r="A34" s="1545" t="s">
        <v>444</v>
      </c>
      <c r="B34" s="1549">
        <f>IF(E4&gt;0,SUMIF('Muut kustannustiedot'!$H$38:$H$48,"metsä",'Muut kustannustiedot'!$V$38:$V$48),0)</f>
        <v>0</v>
      </c>
      <c r="C34" s="1541" t="s">
        <v>235</v>
      </c>
      <c r="D34" s="1152">
        <v>1</v>
      </c>
      <c r="E34" s="836">
        <f>B34</f>
        <v>0</v>
      </c>
      <c r="F34" s="1551">
        <f>IF(E4&gt;0,D34*E34,0)</f>
        <v>0</v>
      </c>
      <c r="G34" s="189" t="e">
        <f t="shared" si="4"/>
        <v>#DIV/0!</v>
      </c>
      <c r="H34" s="259">
        <f t="shared" si="5"/>
        <v>0</v>
      </c>
    </row>
    <row r="35" spans="1:9" ht="15">
      <c r="A35" s="277" t="s">
        <v>445</v>
      </c>
      <c r="B35" t="s">
        <v>446</v>
      </c>
      <c r="C35" s="165" t="s">
        <v>15</v>
      </c>
      <c r="D35" s="282">
        <v>0</v>
      </c>
      <c r="E35" s="176">
        <v>15</v>
      </c>
      <c r="F35" s="172">
        <f t="shared" si="3"/>
        <v>0</v>
      </c>
      <c r="G35" s="189" t="e">
        <f t="shared" si="4"/>
        <v>#DIV/0!</v>
      </c>
      <c r="H35" s="259">
        <f t="shared" si="5"/>
        <v>0</v>
      </c>
    </row>
    <row r="36" spans="1:9" ht="15.75" thickBot="1">
      <c r="A36" s="284" t="s">
        <v>447</v>
      </c>
      <c r="B36" s="279"/>
      <c r="C36" s="285" t="s">
        <v>159</v>
      </c>
      <c r="D36" s="286">
        <f>C41*D41</f>
        <v>0</v>
      </c>
      <c r="E36" s="287">
        <v>0.01</v>
      </c>
      <c r="F36" s="172">
        <f t="shared" si="3"/>
        <v>0</v>
      </c>
      <c r="G36" s="189" t="e">
        <f t="shared" si="4"/>
        <v>#DIV/0!</v>
      </c>
      <c r="H36" s="259">
        <f t="shared" si="5"/>
        <v>0</v>
      </c>
    </row>
    <row r="37" spans="1:9" ht="16.5" thickTop="1">
      <c r="A37" s="1" t="s">
        <v>448</v>
      </c>
      <c r="B37" s="1"/>
      <c r="D37" s="14"/>
      <c r="E37" s="14"/>
      <c r="F37" s="178">
        <f>SUM(F22:F36)</f>
        <v>0</v>
      </c>
      <c r="G37" s="189" t="e">
        <f t="shared" si="4"/>
        <v>#DIV/0!</v>
      </c>
      <c r="H37" s="259">
        <f t="shared" si="5"/>
        <v>0</v>
      </c>
    </row>
    <row r="38" spans="1:9" ht="18">
      <c r="A38" s="1" t="s">
        <v>449</v>
      </c>
      <c r="B38" s="52" t="s">
        <v>450</v>
      </c>
      <c r="D38" s="14"/>
      <c r="E38" s="14"/>
      <c r="F38" s="289">
        <f>F18-F37</f>
        <v>0</v>
      </c>
      <c r="G38" s="189"/>
      <c r="H38" s="290">
        <f>H18-H37</f>
        <v>0</v>
      </c>
    </row>
    <row r="39" spans="1:9" ht="15.75">
      <c r="A39" s="1"/>
      <c r="B39" s="1"/>
      <c r="D39" s="14"/>
      <c r="E39" s="14"/>
      <c r="F39" s="291"/>
      <c r="G39" s="52"/>
      <c r="H39" s="52"/>
    </row>
    <row r="40" spans="1:9">
      <c r="C40" s="292" t="s">
        <v>451</v>
      </c>
      <c r="D40" s="293" t="s">
        <v>452</v>
      </c>
      <c r="G40" s="52"/>
      <c r="H40" s="52"/>
    </row>
    <row r="41" spans="1:9">
      <c r="A41" s="294" t="s">
        <v>453</v>
      </c>
      <c r="B41" s="295" t="s">
        <v>454</v>
      </c>
      <c r="C41" s="296">
        <f>SUM(F22:F35)+F45</f>
        <v>0</v>
      </c>
      <c r="D41" s="297">
        <v>1</v>
      </c>
      <c r="G41" s="52"/>
      <c r="H41" s="52"/>
    </row>
    <row r="42" spans="1:9">
      <c r="A42" s="52"/>
      <c r="B42" s="298"/>
      <c r="C42" s="59"/>
      <c r="G42" s="52"/>
      <c r="H42" s="52"/>
      <c r="I42" t="s">
        <v>455</v>
      </c>
    </row>
    <row r="43" spans="1:9">
      <c r="A43" s="52"/>
      <c r="B43" s="298"/>
      <c r="C43" s="59"/>
      <c r="G43" s="52"/>
      <c r="H43" s="52"/>
      <c r="I43" t="s">
        <v>456</v>
      </c>
    </row>
    <row r="44" spans="1:9">
      <c r="G44" s="52"/>
      <c r="H44" s="52"/>
      <c r="I44" t="s">
        <v>457</v>
      </c>
    </row>
    <row r="45" spans="1:9" ht="15">
      <c r="A45" s="168" t="s">
        <v>794</v>
      </c>
      <c r="C45" s="165" t="s">
        <v>15</v>
      </c>
      <c r="D45" s="90">
        <v>0</v>
      </c>
      <c r="E45" s="299">
        <v>15.9</v>
      </c>
      <c r="F45" s="172">
        <f>D45*E45</f>
        <v>0</v>
      </c>
      <c r="G45" s="189" t="e">
        <f>F45/$F$61</f>
        <v>#DIV/0!</v>
      </c>
      <c r="H45" s="300">
        <f>F45</f>
        <v>0</v>
      </c>
    </row>
    <row r="46" spans="1:9" ht="15">
      <c r="A46" s="187"/>
      <c r="B46" s="187"/>
      <c r="C46" s="301"/>
      <c r="D46" s="301"/>
      <c r="E46" s="301"/>
      <c r="F46" s="301"/>
      <c r="G46" s="52"/>
      <c r="H46" s="52"/>
    </row>
    <row r="47" spans="1:9" ht="18">
      <c r="A47" s="1" t="s">
        <v>460</v>
      </c>
      <c r="B47" s="52" t="s">
        <v>461</v>
      </c>
      <c r="C47" s="301"/>
      <c r="D47" s="301"/>
      <c r="E47" s="301"/>
      <c r="F47" s="289">
        <f>F38-F45</f>
        <v>0</v>
      </c>
      <c r="G47" s="189"/>
      <c r="H47" s="302">
        <f>H38-H45</f>
        <v>0</v>
      </c>
    </row>
    <row r="48" spans="1:9" ht="15">
      <c r="A48" s="187"/>
      <c r="B48" s="187"/>
      <c r="C48" s="301"/>
      <c r="D48" s="301"/>
      <c r="E48" s="301"/>
      <c r="F48" s="301"/>
      <c r="G48" s="52"/>
      <c r="H48" s="52"/>
    </row>
    <row r="49" spans="1:9" ht="15.75" hidden="1">
      <c r="B49" s="303"/>
      <c r="D49" s="304"/>
      <c r="G49" s="52"/>
      <c r="H49" s="52"/>
    </row>
    <row r="50" spans="1:9" ht="15.75">
      <c r="A50" s="1" t="s">
        <v>462</v>
      </c>
      <c r="B50" s="303" t="s">
        <v>795</v>
      </c>
      <c r="D50" s="304">
        <f>Lähtötiedot!C53</f>
        <v>0</v>
      </c>
      <c r="E50" t="s">
        <v>99</v>
      </c>
      <c r="G50" s="52"/>
      <c r="H50" s="52"/>
    </row>
    <row r="51" spans="1:9">
      <c r="G51" s="52"/>
      <c r="H51" s="52"/>
    </row>
    <row r="52" spans="1:9" ht="16.5" thickBot="1">
      <c r="A52" s="168"/>
      <c r="B52" s="168"/>
      <c r="C52" s="169"/>
      <c r="D52" s="170" t="s">
        <v>465</v>
      </c>
      <c r="E52" s="169"/>
      <c r="F52" s="171" t="s">
        <v>259</v>
      </c>
      <c r="G52" s="52"/>
      <c r="H52" s="252" t="s">
        <v>420</v>
      </c>
    </row>
    <row r="53" spans="1:9" ht="16.5" thickBot="1">
      <c r="A53" s="2677" t="s">
        <v>467</v>
      </c>
      <c r="B53" s="878" t="s">
        <v>231</v>
      </c>
      <c r="C53" s="305"/>
      <c r="D53" s="1500">
        <f>SUMIF(Lähtötiedot!$A$60:$A$70,"metsä",Lähtötiedot!$D$60:$D$70)</f>
        <v>0</v>
      </c>
      <c r="E53" s="305"/>
      <c r="F53" s="172">
        <f>D53</f>
        <v>0</v>
      </c>
      <c r="G53" s="189" t="e">
        <f>F53/$F$61</f>
        <v>#DIV/0!</v>
      </c>
      <c r="H53" s="259">
        <f>F53</f>
        <v>0</v>
      </c>
    </row>
    <row r="54" spans="1:9" ht="16.5" thickBot="1">
      <c r="A54" s="2678"/>
      <c r="B54" s="878" t="s">
        <v>232</v>
      </c>
      <c r="C54" s="305"/>
      <c r="D54" s="1500">
        <f>SUMIF(Lähtötiedot!$A$60:$A$70,"metsä",Lähtötiedot!$E$60:$E$70)</f>
        <v>0</v>
      </c>
      <c r="E54" s="305"/>
      <c r="F54" s="172">
        <f t="shared" ref="F54:F55" si="6">D54</f>
        <v>0</v>
      </c>
      <c r="G54" s="189" t="e">
        <f>F54/$F$61</f>
        <v>#DIV/0!</v>
      </c>
      <c r="H54" s="259">
        <f t="shared" ref="H54:H55" si="7">F54</f>
        <v>0</v>
      </c>
    </row>
    <row r="55" spans="1:9" ht="16.5" thickBot="1">
      <c r="A55" s="2679"/>
      <c r="B55" s="874" t="s">
        <v>769</v>
      </c>
      <c r="C55" s="307"/>
      <c r="D55" s="1500">
        <f>SUMIF(Lähtötiedot!$A$60:$A$70,"metsä",Lähtötiedot!$F$60:$F$70)+SUMIF(Lähtötiedot!$A$60:$A$70,"metsä",Lähtötiedot!$G$60:$G$70)</f>
        <v>0</v>
      </c>
      <c r="E55" s="173"/>
      <c r="F55" s="172">
        <f t="shared" si="6"/>
        <v>0</v>
      </c>
      <c r="G55" s="189" t="e">
        <f>F55/$F$61</f>
        <v>#DIV/0!</v>
      </c>
      <c r="H55" s="259">
        <f t="shared" si="7"/>
        <v>0</v>
      </c>
    </row>
    <row r="56" spans="1:9" ht="15.75" thickBot="1">
      <c r="A56" s="356"/>
      <c r="B56" s="174"/>
      <c r="C56" s="175"/>
      <c r="D56" s="306"/>
      <c r="E56" s="177"/>
      <c r="F56" s="172"/>
      <c r="G56" s="189"/>
      <c r="H56" s="259"/>
    </row>
    <row r="57" spans="1:9" ht="16.5" thickTop="1">
      <c r="A57" s="1" t="s">
        <v>470</v>
      </c>
      <c r="B57" s="1"/>
      <c r="C57" s="14"/>
      <c r="D57" s="14"/>
      <c r="E57" s="14"/>
      <c r="F57" s="178">
        <f>SUM(F53:F56)</f>
        <v>0</v>
      </c>
      <c r="H57" s="281">
        <f>SUM(H53:H56)</f>
        <v>0</v>
      </c>
      <c r="I57" s="10"/>
    </row>
    <row r="58" spans="1:9" ht="15.75">
      <c r="A58" s="1"/>
      <c r="B58" s="1"/>
      <c r="C58" s="14"/>
      <c r="D58" s="14"/>
      <c r="E58" s="14"/>
      <c r="F58" s="301"/>
    </row>
    <row r="59" spans="1:9" ht="18">
      <c r="A59" s="1" t="s">
        <v>471</v>
      </c>
      <c r="B59" s="52" t="s">
        <v>472</v>
      </c>
      <c r="C59" s="14"/>
      <c r="D59" s="14"/>
      <c r="E59" s="14"/>
      <c r="F59" s="289">
        <f>F47-F57</f>
        <v>0</v>
      </c>
      <c r="H59" s="634">
        <f>H47-H57</f>
        <v>0</v>
      </c>
      <c r="I59" s="10"/>
    </row>
    <row r="60" spans="1:9" ht="15.75">
      <c r="D60" s="14"/>
      <c r="E60" s="14"/>
      <c r="F60" s="308"/>
    </row>
    <row r="61" spans="1:9" ht="15.75">
      <c r="A61" s="1" t="s">
        <v>796</v>
      </c>
      <c r="B61" s="1"/>
      <c r="D61" s="14"/>
      <c r="E61" s="14"/>
      <c r="F61" s="308">
        <f>F37+F45+F57</f>
        <v>0</v>
      </c>
      <c r="G61" s="280" t="e">
        <f>SUM(G53:G56,G45,G37)</f>
        <v>#DIV/0!</v>
      </c>
      <c r="H61" s="309"/>
      <c r="I61" t="s">
        <v>474</v>
      </c>
    </row>
    <row r="62" spans="1:9" ht="15.75">
      <c r="A62" s="1" t="s">
        <v>475</v>
      </c>
      <c r="F62" s="308">
        <f>F18</f>
        <v>0</v>
      </c>
      <c r="H62" s="173"/>
    </row>
    <row r="63" spans="1:9" ht="15.75">
      <c r="A63" s="1"/>
      <c r="F63" s="308"/>
      <c r="H63" s="173"/>
    </row>
    <row r="64" spans="1:9" ht="15.75">
      <c r="A64" s="1" t="s">
        <v>797</v>
      </c>
      <c r="B64" s="1"/>
      <c r="F64" s="308">
        <f>F62-F61</f>
        <v>0</v>
      </c>
      <c r="G64" s="189" t="e">
        <f>F64/F62</f>
        <v>#DIV/0!</v>
      </c>
      <c r="H64" s="310"/>
      <c r="I64" t="s">
        <v>478</v>
      </c>
    </row>
    <row r="65" spans="1:9" ht="15.75">
      <c r="A65" s="1"/>
      <c r="B65" s="1"/>
      <c r="F65" s="308"/>
      <c r="G65" s="189"/>
      <c r="H65" s="310"/>
      <c r="I65" t="s">
        <v>480</v>
      </c>
    </row>
    <row r="67" spans="1:9" ht="15.75">
      <c r="A67" s="1" t="s">
        <v>798</v>
      </c>
      <c r="B67" s="1"/>
    </row>
    <row r="68" spans="1:9">
      <c r="C68" s="311" t="s">
        <v>147</v>
      </c>
      <c r="D68" s="311" t="s">
        <v>259</v>
      </c>
      <c r="E68" s="312" t="s">
        <v>799</v>
      </c>
    </row>
    <row r="69" spans="1:9" ht="15">
      <c r="A69" s="14" t="s">
        <v>800</v>
      </c>
      <c r="B69" s="14"/>
      <c r="C69" s="14"/>
      <c r="D69" s="172">
        <f>F61</f>
        <v>0</v>
      </c>
      <c r="E69" s="313"/>
    </row>
    <row r="70" spans="1:9" ht="14.25" hidden="1" customHeight="1">
      <c r="A70" s="14"/>
      <c r="B70" s="14"/>
      <c r="C70" s="14"/>
      <c r="D70" s="313"/>
      <c r="E70" s="313"/>
    </row>
    <row r="71" spans="1:9" ht="15">
      <c r="A71" s="14"/>
      <c r="B71" s="14"/>
      <c r="C71" s="14"/>
      <c r="D71" s="172">
        <f>D69-D70</f>
        <v>0</v>
      </c>
      <c r="E71" s="313"/>
    </row>
    <row r="72" spans="1:9" ht="18.75" thickBot="1">
      <c r="A72" s="315" t="s">
        <v>801</v>
      </c>
      <c r="B72" s="315"/>
      <c r="C72" s="316">
        <f>SUM(D7:D11)</f>
        <v>0</v>
      </c>
      <c r="D72" s="317"/>
      <c r="E72" s="313"/>
    </row>
    <row r="73" spans="1:9" ht="20.25" thickTop="1" thickBot="1">
      <c r="A73" s="1" t="s">
        <v>802</v>
      </c>
      <c r="B73" s="86"/>
      <c r="C73" s="14"/>
      <c r="D73" s="313"/>
      <c r="E73" s="318">
        <f>IFERROR(D71/C72,0)</f>
        <v>0</v>
      </c>
      <c r="I73" t="s">
        <v>486</v>
      </c>
    </row>
    <row r="74" spans="1:9" ht="15.75" hidden="1" thickBot="1">
      <c r="A74" s="315"/>
      <c r="B74" s="315"/>
      <c r="C74" s="315"/>
      <c r="D74" s="319"/>
      <c r="E74" s="320"/>
      <c r="G74" s="81"/>
      <c r="H74" s="81"/>
    </row>
    <row r="75" spans="1:9" ht="17.25" hidden="1" thickTop="1" thickBot="1">
      <c r="A75" s="1"/>
      <c r="B75" s="1"/>
      <c r="C75" s="14"/>
      <c r="D75" s="301"/>
      <c r="E75" s="318"/>
      <c r="G75" s="81"/>
      <c r="H75" s="81"/>
    </row>
    <row r="76" spans="1:9" ht="15" hidden="1">
      <c r="C76" s="14"/>
      <c r="D76" s="14"/>
      <c r="E76" s="14"/>
    </row>
    <row r="77" spans="1:9" hidden="1"/>
    <row r="78" spans="1:9">
      <c r="A78" s="3" t="s">
        <v>97</v>
      </c>
    </row>
    <row r="79" spans="1:9" ht="13.5" thickBot="1">
      <c r="A79" t="s">
        <v>492</v>
      </c>
    </row>
    <row r="80" spans="1:9">
      <c r="B80" s="180" t="s">
        <v>493</v>
      </c>
      <c r="C80" s="193"/>
      <c r="D80" s="193"/>
      <c r="E80" s="321">
        <f>F37</f>
        <v>0</v>
      </c>
    </row>
    <row r="81" spans="1:13">
      <c r="B81" s="183" t="str">
        <f>A45</f>
        <v>Työkustannus (ihmistyö) koko metsäala h/v</v>
      </c>
      <c r="E81" s="322">
        <f>F45</f>
        <v>0</v>
      </c>
    </row>
    <row r="82" spans="1:13">
      <c r="B82" s="183" t="s">
        <v>470</v>
      </c>
      <c r="E82" s="322">
        <f>F57</f>
        <v>0</v>
      </c>
    </row>
    <row r="83" spans="1:13">
      <c r="B83" s="323" t="s">
        <v>494</v>
      </c>
      <c r="E83" s="324">
        <f>SUM(E80:E82)</f>
        <v>0</v>
      </c>
    </row>
    <row r="84" spans="1:13" ht="14.25">
      <c r="B84" s="183" t="s">
        <v>495</v>
      </c>
      <c r="D84" t="s">
        <v>106</v>
      </c>
      <c r="E84" s="325">
        <f>C72</f>
        <v>0</v>
      </c>
    </row>
    <row r="85" spans="1:13" ht="13.5" thickBot="1">
      <c r="B85" s="326" t="s">
        <v>496</v>
      </c>
      <c r="C85" s="163"/>
      <c r="D85" s="163"/>
      <c r="E85" s="327">
        <f>IFERROR(E83/E84,0)</f>
        <v>0</v>
      </c>
    </row>
    <row r="87" spans="1:13">
      <c r="A87" s="3" t="s">
        <v>498</v>
      </c>
    </row>
    <row r="88" spans="1:13" ht="14.25">
      <c r="A88" t="s">
        <v>803</v>
      </c>
      <c r="B88" s="8">
        <v>500</v>
      </c>
    </row>
    <row r="89" spans="1:13">
      <c r="A89" t="s">
        <v>500</v>
      </c>
      <c r="B89" s="37">
        <v>0.05</v>
      </c>
    </row>
    <row r="91" spans="1:13">
      <c r="A91" t="s">
        <v>501</v>
      </c>
      <c r="B91" t="s">
        <v>502</v>
      </c>
    </row>
    <row r="92" spans="1:13" ht="14.25">
      <c r="A92" t="s">
        <v>804</v>
      </c>
      <c r="B92" t="s">
        <v>434</v>
      </c>
      <c r="C92" t="s">
        <v>504</v>
      </c>
      <c r="D92" s="52" t="s">
        <v>805</v>
      </c>
      <c r="E92" t="s">
        <v>806</v>
      </c>
      <c r="F92" s="52" t="s">
        <v>807</v>
      </c>
      <c r="G92" s="52" t="s">
        <v>808</v>
      </c>
      <c r="H92" s="52" t="s">
        <v>509</v>
      </c>
      <c r="I92" t="s">
        <v>809</v>
      </c>
      <c r="J92" t="s">
        <v>810</v>
      </c>
      <c r="K92" t="s">
        <v>570</v>
      </c>
      <c r="L92" s="52" t="s">
        <v>513</v>
      </c>
      <c r="M92" s="52" t="s">
        <v>514</v>
      </c>
    </row>
    <row r="93" spans="1:13">
      <c r="A93" s="15">
        <f>A94-$B$88</f>
        <v>-1500</v>
      </c>
      <c r="B93" s="15">
        <f t="shared" ref="B93:B105" si="8">(A93*$E$7)+SUM($F$12:$F$17)</f>
        <v>0</v>
      </c>
      <c r="C93" s="11"/>
      <c r="D93" s="328">
        <f>$E$80</f>
        <v>0</v>
      </c>
      <c r="E93" s="329">
        <f t="shared" ref="E93:E105" si="9">$E$81</f>
        <v>0</v>
      </c>
      <c r="F93" s="330">
        <f t="shared" ref="F93:F105" si="10">$E$82</f>
        <v>0</v>
      </c>
      <c r="G93" s="805">
        <f t="shared" ref="G93:G105" si="11">SUM(D93:F93)</f>
        <v>0</v>
      </c>
      <c r="H93" s="331">
        <f t="shared" ref="H93:H105" si="12">G93/A93</f>
        <v>0</v>
      </c>
      <c r="I93" s="332">
        <f t="shared" ref="I93:I105" si="13">B93-G93</f>
        <v>0</v>
      </c>
      <c r="J93" s="333">
        <f t="shared" ref="J93:J105" si="14">I93/A93</f>
        <v>0</v>
      </c>
      <c r="K93" s="334"/>
      <c r="L93" s="11"/>
      <c r="M93" s="11"/>
    </row>
    <row r="94" spans="1:13">
      <c r="A94" s="15">
        <f>A95-$B$88</f>
        <v>-1000</v>
      </c>
      <c r="B94" s="15">
        <f t="shared" si="8"/>
        <v>0</v>
      </c>
      <c r="C94" s="328">
        <f>(B94-B93)/(A94-A93)</f>
        <v>0</v>
      </c>
      <c r="D94" s="328">
        <f>$E$80</f>
        <v>0</v>
      </c>
      <c r="E94" s="329">
        <f t="shared" si="9"/>
        <v>0</v>
      </c>
      <c r="F94" s="330">
        <f t="shared" si="10"/>
        <v>0</v>
      </c>
      <c r="G94" s="805">
        <f t="shared" si="11"/>
        <v>0</v>
      </c>
      <c r="H94" s="331">
        <f t="shared" si="12"/>
        <v>0</v>
      </c>
      <c r="I94" s="332">
        <f t="shared" si="13"/>
        <v>0</v>
      </c>
      <c r="J94" s="333">
        <f t="shared" si="14"/>
        <v>0</v>
      </c>
      <c r="K94" s="334">
        <f t="shared" ref="K94:K105" si="15">(G94-G93)/(A94-A93)</f>
        <v>0</v>
      </c>
      <c r="L94" s="335" t="e">
        <f>(B94-B95)/B95</f>
        <v>#DIV/0!</v>
      </c>
      <c r="M94" s="335">
        <v>0</v>
      </c>
    </row>
    <row r="95" spans="1:13">
      <c r="A95" s="15">
        <f>A96-$B$88</f>
        <v>-500</v>
      </c>
      <c r="B95" s="15">
        <f t="shared" si="8"/>
        <v>0</v>
      </c>
      <c r="C95" s="328">
        <f>(B95-B94)/(A95-A94)</f>
        <v>0</v>
      </c>
      <c r="D95" s="328">
        <f>$E$80</f>
        <v>0</v>
      </c>
      <c r="E95" s="329">
        <f t="shared" si="9"/>
        <v>0</v>
      </c>
      <c r="F95" s="330">
        <f t="shared" si="10"/>
        <v>0</v>
      </c>
      <c r="G95" s="805">
        <f t="shared" si="11"/>
        <v>0</v>
      </c>
      <c r="H95" s="331">
        <f t="shared" si="12"/>
        <v>0</v>
      </c>
      <c r="I95" s="332">
        <f t="shared" si="13"/>
        <v>0</v>
      </c>
      <c r="J95" s="333">
        <f t="shared" si="14"/>
        <v>0</v>
      </c>
      <c r="K95" s="334">
        <f t="shared" si="15"/>
        <v>0</v>
      </c>
      <c r="L95" s="335" t="e">
        <f>(B95-B96)/B96</f>
        <v>#DIV/0!</v>
      </c>
      <c r="M95" s="335">
        <v>0</v>
      </c>
    </row>
    <row r="96" spans="1:13">
      <c r="A96" s="336">
        <f>D7</f>
        <v>0</v>
      </c>
      <c r="B96" s="337">
        <f t="shared" si="8"/>
        <v>0</v>
      </c>
      <c r="C96" s="338">
        <f>(B96-B95)/(A96-A95)</f>
        <v>0</v>
      </c>
      <c r="D96" s="328">
        <f>$E$80</f>
        <v>0</v>
      </c>
      <c r="E96" s="329">
        <f t="shared" si="9"/>
        <v>0</v>
      </c>
      <c r="F96" s="330">
        <f t="shared" si="10"/>
        <v>0</v>
      </c>
      <c r="G96" s="805">
        <f t="shared" si="11"/>
        <v>0</v>
      </c>
      <c r="H96" s="331" t="e">
        <f t="shared" si="12"/>
        <v>#DIV/0!</v>
      </c>
      <c r="I96" s="332">
        <f t="shared" si="13"/>
        <v>0</v>
      </c>
      <c r="J96" s="333" t="e">
        <f t="shared" si="14"/>
        <v>#DIV/0!</v>
      </c>
      <c r="K96" s="334">
        <f t="shared" si="15"/>
        <v>0</v>
      </c>
      <c r="L96" s="335">
        <v>0</v>
      </c>
      <c r="M96" s="335" t="e">
        <f t="shared" ref="M96:M105" si="16">(G96-G95)/G95</f>
        <v>#DIV/0!</v>
      </c>
    </row>
    <row r="97" spans="1:13">
      <c r="A97" s="15">
        <f t="shared" ref="A97:A105" si="17">A96+$B$88</f>
        <v>500</v>
      </c>
      <c r="B97" s="15">
        <f t="shared" si="8"/>
        <v>0</v>
      </c>
      <c r="C97" s="328">
        <f t="shared" ref="C97:C105" si="18">(B97-B96)/(A97-A96)</f>
        <v>0</v>
      </c>
      <c r="D97" s="328">
        <f>($B$89*D96)+D96</f>
        <v>0</v>
      </c>
      <c r="E97" s="329">
        <f t="shared" si="9"/>
        <v>0</v>
      </c>
      <c r="F97" s="330">
        <f t="shared" si="10"/>
        <v>0</v>
      </c>
      <c r="G97" s="805">
        <f t="shared" si="11"/>
        <v>0</v>
      </c>
      <c r="H97" s="331">
        <f t="shared" si="12"/>
        <v>0</v>
      </c>
      <c r="I97" s="332">
        <f t="shared" si="13"/>
        <v>0</v>
      </c>
      <c r="J97" s="333">
        <f t="shared" si="14"/>
        <v>0</v>
      </c>
      <c r="K97" s="334">
        <f t="shared" si="15"/>
        <v>0</v>
      </c>
      <c r="L97" s="335" t="e">
        <f t="shared" ref="L97:L105" si="19">(B97-B96)/B96</f>
        <v>#DIV/0!</v>
      </c>
      <c r="M97" s="335" t="e">
        <f t="shared" si="16"/>
        <v>#DIV/0!</v>
      </c>
    </row>
    <row r="98" spans="1:13">
      <c r="A98" s="15">
        <f t="shared" si="17"/>
        <v>1000</v>
      </c>
      <c r="B98" s="15">
        <f t="shared" si="8"/>
        <v>0</v>
      </c>
      <c r="C98" s="328">
        <f t="shared" si="18"/>
        <v>0</v>
      </c>
      <c r="D98" s="328">
        <f t="shared" ref="D98:D105" si="20">($B$89*D97)+D97</f>
        <v>0</v>
      </c>
      <c r="E98" s="329">
        <f t="shared" si="9"/>
        <v>0</v>
      </c>
      <c r="F98" s="330">
        <f t="shared" si="10"/>
        <v>0</v>
      </c>
      <c r="G98" s="805">
        <f t="shared" si="11"/>
        <v>0</v>
      </c>
      <c r="H98" s="331">
        <f t="shared" si="12"/>
        <v>0</v>
      </c>
      <c r="I98" s="332">
        <f t="shared" si="13"/>
        <v>0</v>
      </c>
      <c r="J98" s="333">
        <f t="shared" si="14"/>
        <v>0</v>
      </c>
      <c r="K98" s="334">
        <f t="shared" si="15"/>
        <v>0</v>
      </c>
      <c r="L98" s="335" t="e">
        <f t="shared" si="19"/>
        <v>#DIV/0!</v>
      </c>
      <c r="M98" s="335" t="e">
        <f t="shared" si="16"/>
        <v>#DIV/0!</v>
      </c>
    </row>
    <row r="99" spans="1:13">
      <c r="A99" s="15">
        <f t="shared" si="17"/>
        <v>1500</v>
      </c>
      <c r="B99" s="15">
        <f t="shared" si="8"/>
        <v>0</v>
      </c>
      <c r="C99" s="328">
        <f t="shared" si="18"/>
        <v>0</v>
      </c>
      <c r="D99" s="328">
        <f>($B$89*D98)+D98</f>
        <v>0</v>
      </c>
      <c r="E99" s="329">
        <f t="shared" si="9"/>
        <v>0</v>
      </c>
      <c r="F99" s="330">
        <f t="shared" si="10"/>
        <v>0</v>
      </c>
      <c r="G99" s="805">
        <f t="shared" si="11"/>
        <v>0</v>
      </c>
      <c r="H99" s="331">
        <f t="shared" si="12"/>
        <v>0</v>
      </c>
      <c r="I99" s="332">
        <f t="shared" si="13"/>
        <v>0</v>
      </c>
      <c r="J99" s="333">
        <f t="shared" si="14"/>
        <v>0</v>
      </c>
      <c r="K99" s="334">
        <f t="shared" si="15"/>
        <v>0</v>
      </c>
      <c r="L99" s="335" t="e">
        <f t="shared" si="19"/>
        <v>#DIV/0!</v>
      </c>
      <c r="M99" s="335" t="e">
        <f t="shared" si="16"/>
        <v>#DIV/0!</v>
      </c>
    </row>
    <row r="100" spans="1:13">
      <c r="A100" s="15">
        <f t="shared" si="17"/>
        <v>2000</v>
      </c>
      <c r="B100" s="15">
        <f t="shared" si="8"/>
        <v>0</v>
      </c>
      <c r="C100" s="328">
        <f t="shared" si="18"/>
        <v>0</v>
      </c>
      <c r="D100" s="328">
        <f>($B$89*D99)+D99</f>
        <v>0</v>
      </c>
      <c r="E100" s="329">
        <f t="shared" si="9"/>
        <v>0</v>
      </c>
      <c r="F100" s="330">
        <f t="shared" si="10"/>
        <v>0</v>
      </c>
      <c r="G100" s="805">
        <f t="shared" si="11"/>
        <v>0</v>
      </c>
      <c r="H100" s="331">
        <f t="shared" si="12"/>
        <v>0</v>
      </c>
      <c r="I100" s="332">
        <f t="shared" si="13"/>
        <v>0</v>
      </c>
      <c r="J100" s="333">
        <f t="shared" si="14"/>
        <v>0</v>
      </c>
      <c r="K100" s="334">
        <f t="shared" si="15"/>
        <v>0</v>
      </c>
      <c r="L100" s="335" t="e">
        <f t="shared" si="19"/>
        <v>#DIV/0!</v>
      </c>
      <c r="M100" s="335" t="e">
        <f t="shared" si="16"/>
        <v>#DIV/0!</v>
      </c>
    </row>
    <row r="101" spans="1:13">
      <c r="A101" s="15">
        <f t="shared" si="17"/>
        <v>2500</v>
      </c>
      <c r="B101" s="15">
        <f t="shared" si="8"/>
        <v>0</v>
      </c>
      <c r="C101" s="328">
        <f t="shared" si="18"/>
        <v>0</v>
      </c>
      <c r="D101" s="328">
        <f t="shared" si="20"/>
        <v>0</v>
      </c>
      <c r="E101" s="329">
        <f t="shared" si="9"/>
        <v>0</v>
      </c>
      <c r="F101" s="330">
        <f t="shared" si="10"/>
        <v>0</v>
      </c>
      <c r="G101" s="805">
        <f t="shared" si="11"/>
        <v>0</v>
      </c>
      <c r="H101" s="331">
        <f t="shared" si="12"/>
        <v>0</v>
      </c>
      <c r="I101" s="332">
        <f t="shared" si="13"/>
        <v>0</v>
      </c>
      <c r="J101" s="333">
        <f t="shared" si="14"/>
        <v>0</v>
      </c>
      <c r="K101" s="334">
        <f t="shared" si="15"/>
        <v>0</v>
      </c>
      <c r="L101" s="335" t="e">
        <f t="shared" si="19"/>
        <v>#DIV/0!</v>
      </c>
      <c r="M101" s="335" t="e">
        <f t="shared" si="16"/>
        <v>#DIV/0!</v>
      </c>
    </row>
    <row r="102" spans="1:13">
      <c r="A102" s="15">
        <f t="shared" si="17"/>
        <v>3000</v>
      </c>
      <c r="B102" s="15">
        <f t="shared" si="8"/>
        <v>0</v>
      </c>
      <c r="C102" s="328">
        <f t="shared" si="18"/>
        <v>0</v>
      </c>
      <c r="D102" s="328">
        <f t="shared" si="20"/>
        <v>0</v>
      </c>
      <c r="E102" s="329">
        <f t="shared" si="9"/>
        <v>0</v>
      </c>
      <c r="F102" s="330">
        <f t="shared" si="10"/>
        <v>0</v>
      </c>
      <c r="G102" s="805">
        <f t="shared" si="11"/>
        <v>0</v>
      </c>
      <c r="H102" s="331">
        <f t="shared" si="12"/>
        <v>0</v>
      </c>
      <c r="I102" s="332">
        <f t="shared" si="13"/>
        <v>0</v>
      </c>
      <c r="J102" s="333">
        <f t="shared" si="14"/>
        <v>0</v>
      </c>
      <c r="K102" s="334">
        <f t="shared" si="15"/>
        <v>0</v>
      </c>
      <c r="L102" s="335" t="e">
        <f t="shared" si="19"/>
        <v>#DIV/0!</v>
      </c>
      <c r="M102" s="335" t="e">
        <f t="shared" si="16"/>
        <v>#DIV/0!</v>
      </c>
    </row>
    <row r="103" spans="1:13">
      <c r="A103" s="15">
        <f t="shared" si="17"/>
        <v>3500</v>
      </c>
      <c r="B103" s="15">
        <f t="shared" si="8"/>
        <v>0</v>
      </c>
      <c r="C103" s="328">
        <f t="shared" si="18"/>
        <v>0</v>
      </c>
      <c r="D103" s="328">
        <f t="shared" si="20"/>
        <v>0</v>
      </c>
      <c r="E103" s="329">
        <f t="shared" si="9"/>
        <v>0</v>
      </c>
      <c r="F103" s="330">
        <f t="shared" si="10"/>
        <v>0</v>
      </c>
      <c r="G103" s="805">
        <f t="shared" si="11"/>
        <v>0</v>
      </c>
      <c r="H103" s="331">
        <f t="shared" si="12"/>
        <v>0</v>
      </c>
      <c r="I103" s="332">
        <f t="shared" si="13"/>
        <v>0</v>
      </c>
      <c r="J103" s="333">
        <f t="shared" si="14"/>
        <v>0</v>
      </c>
      <c r="K103" s="334">
        <f t="shared" si="15"/>
        <v>0</v>
      </c>
      <c r="L103" s="335" t="e">
        <f t="shared" si="19"/>
        <v>#DIV/0!</v>
      </c>
      <c r="M103" s="335" t="e">
        <f t="shared" si="16"/>
        <v>#DIV/0!</v>
      </c>
    </row>
    <row r="104" spans="1:13">
      <c r="A104" s="15">
        <f t="shared" si="17"/>
        <v>4000</v>
      </c>
      <c r="B104" s="15">
        <f t="shared" si="8"/>
        <v>0</v>
      </c>
      <c r="C104" s="328">
        <f t="shared" si="18"/>
        <v>0</v>
      </c>
      <c r="D104" s="328">
        <f t="shared" si="20"/>
        <v>0</v>
      </c>
      <c r="E104" s="329">
        <f t="shared" si="9"/>
        <v>0</v>
      </c>
      <c r="F104" s="330">
        <f t="shared" si="10"/>
        <v>0</v>
      </c>
      <c r="G104" s="805">
        <f t="shared" si="11"/>
        <v>0</v>
      </c>
      <c r="H104" s="331">
        <f t="shared" si="12"/>
        <v>0</v>
      </c>
      <c r="I104" s="332">
        <f t="shared" si="13"/>
        <v>0</v>
      </c>
      <c r="J104" s="333">
        <f t="shared" si="14"/>
        <v>0</v>
      </c>
      <c r="K104" s="334">
        <f t="shared" si="15"/>
        <v>0</v>
      </c>
      <c r="L104" s="335" t="e">
        <f t="shared" si="19"/>
        <v>#DIV/0!</v>
      </c>
      <c r="M104" s="335" t="e">
        <f t="shared" si="16"/>
        <v>#DIV/0!</v>
      </c>
    </row>
    <row r="105" spans="1:13">
      <c r="A105" s="15">
        <f t="shared" si="17"/>
        <v>4500</v>
      </c>
      <c r="B105" s="15">
        <f t="shared" si="8"/>
        <v>0</v>
      </c>
      <c r="C105" s="328">
        <f t="shared" si="18"/>
        <v>0</v>
      </c>
      <c r="D105" s="328">
        <f t="shared" si="20"/>
        <v>0</v>
      </c>
      <c r="E105" s="329">
        <f t="shared" si="9"/>
        <v>0</v>
      </c>
      <c r="F105" s="330">
        <f t="shared" si="10"/>
        <v>0</v>
      </c>
      <c r="G105" s="805">
        <f t="shared" si="11"/>
        <v>0</v>
      </c>
      <c r="H105" s="331">
        <f t="shared" si="12"/>
        <v>0</v>
      </c>
      <c r="I105" s="332">
        <f t="shared" si="13"/>
        <v>0</v>
      </c>
      <c r="J105" s="333">
        <f t="shared" si="14"/>
        <v>0</v>
      </c>
      <c r="K105" s="334">
        <f t="shared" si="15"/>
        <v>0</v>
      </c>
      <c r="L105" s="335" t="e">
        <f t="shared" si="19"/>
        <v>#DIV/0!</v>
      </c>
      <c r="M105" s="335" t="e">
        <f t="shared" si="16"/>
        <v>#DIV/0!</v>
      </c>
    </row>
    <row r="110" spans="1:13">
      <c r="E110" s="15"/>
    </row>
    <row r="111" spans="1:13">
      <c r="C111" s="339"/>
    </row>
    <row r="116" customFormat="1" ht="12.75" customHeight="1"/>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7" max="16383"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5"/>
  <sheetViews>
    <sheetView showWhiteSpace="0" zoomScaleNormal="100" workbookViewId="0">
      <selection activeCell="B21" sqref="B21"/>
    </sheetView>
  </sheetViews>
  <sheetFormatPr defaultRowHeight="12.75"/>
  <cols>
    <col min="1" max="1" width="4.7109375" customWidth="1"/>
    <col min="2" max="2" width="27.42578125" customWidth="1"/>
    <col min="3" max="3" width="12.85546875" customWidth="1"/>
    <col min="4" max="4" width="10.7109375" customWidth="1"/>
    <col min="5" max="5" width="14" customWidth="1"/>
    <col min="6" max="6" width="5.7109375" customWidth="1"/>
    <col min="7" max="7" width="14" customWidth="1"/>
    <col min="8" max="8" width="12.5703125" customWidth="1"/>
    <col min="9" max="9" width="12.85546875" customWidth="1"/>
  </cols>
  <sheetData>
    <row r="1" spans="2:11" ht="18">
      <c r="B1" s="3" t="s">
        <v>811</v>
      </c>
      <c r="E1" s="924" t="s">
        <v>812</v>
      </c>
      <c r="F1" s="924"/>
      <c r="G1" s="924"/>
    </row>
    <row r="2" spans="2:11">
      <c r="B2" s="886" t="s">
        <v>813</v>
      </c>
      <c r="C2" s="925" t="s">
        <v>814</v>
      </c>
      <c r="D2" s="2733"/>
      <c r="E2" s="2734"/>
      <c r="F2" s="2734"/>
      <c r="G2" s="2734"/>
    </row>
    <row r="3" spans="2:11">
      <c r="B3" s="886" t="s">
        <v>815</v>
      </c>
    </row>
    <row r="4" spans="2:11">
      <c r="B4" s="886" t="s">
        <v>816</v>
      </c>
      <c r="C4" s="923"/>
      <c r="D4" s="923"/>
      <c r="E4" s="923"/>
      <c r="F4" s="923"/>
      <c r="G4" s="923"/>
      <c r="H4" s="923"/>
      <c r="I4" s="923"/>
    </row>
    <row r="5" spans="2:11" ht="16.5" thickBot="1">
      <c r="B5" s="926" t="s">
        <v>817</v>
      </c>
      <c r="D5" s="1"/>
    </row>
    <row r="6" spans="2:11">
      <c r="B6" s="927" t="s">
        <v>818</v>
      </c>
      <c r="C6" s="813"/>
      <c r="D6" s="839"/>
      <c r="E6" s="838"/>
      <c r="F6" s="813"/>
      <c r="G6" s="813"/>
      <c r="H6" s="813"/>
      <c r="I6" s="839"/>
      <c r="J6" s="925" t="s">
        <v>191</v>
      </c>
      <c r="K6" s="977">
        <f>Lähtötiedot!F5</f>
        <v>0.255</v>
      </c>
    </row>
    <row r="7" spans="2:11">
      <c r="B7" s="978" t="s">
        <v>819</v>
      </c>
      <c r="C7" s="928" t="s">
        <v>820</v>
      </c>
      <c r="D7" s="980">
        <v>1</v>
      </c>
      <c r="E7" s="928" t="s">
        <v>821</v>
      </c>
      <c r="F7" s="2"/>
      <c r="G7" s="2"/>
      <c r="H7" s="981">
        <f ca="1">TODAY()</f>
        <v>46037</v>
      </c>
      <c r="I7" s="841"/>
      <c r="K7" s="977">
        <f>Lähtötiedot!F6</f>
        <v>0.14000000000000001</v>
      </c>
    </row>
    <row r="8" spans="2:11">
      <c r="B8" s="978" t="s">
        <v>822</v>
      </c>
      <c r="D8" s="841"/>
      <c r="E8" s="928" t="s">
        <v>823</v>
      </c>
      <c r="F8" s="2"/>
      <c r="G8" s="2"/>
      <c r="H8" s="982">
        <v>115</v>
      </c>
      <c r="I8" s="841">
        <f>IF(LEN(H8)&lt;3,H8+100,H8)</f>
        <v>115</v>
      </c>
      <c r="K8" s="977">
        <f>Lähtötiedot!F7</f>
        <v>0.1</v>
      </c>
    </row>
    <row r="9" spans="2:11">
      <c r="B9" s="979" t="s">
        <v>824</v>
      </c>
      <c r="D9" s="841"/>
      <c r="I9" s="841"/>
      <c r="K9" s="977">
        <v>0</v>
      </c>
    </row>
    <row r="10" spans="2:11">
      <c r="B10" s="978"/>
      <c r="D10" s="841"/>
      <c r="E10" s="928"/>
      <c r="F10" s="2"/>
      <c r="G10" s="2"/>
      <c r="H10" s="929"/>
      <c r="I10" s="841"/>
    </row>
    <row r="11" spans="2:11">
      <c r="B11" s="928"/>
      <c r="D11" s="841"/>
      <c r="E11" s="930" t="s">
        <v>825</v>
      </c>
      <c r="F11" s="984"/>
      <c r="G11" s="984"/>
      <c r="H11" s="1048">
        <v>14</v>
      </c>
      <c r="I11" s="841" t="s">
        <v>826</v>
      </c>
    </row>
    <row r="12" spans="2:11">
      <c r="B12" s="931"/>
      <c r="D12" s="841"/>
      <c r="E12" s="928" t="s">
        <v>827</v>
      </c>
      <c r="F12" s="2"/>
      <c r="G12" s="2"/>
      <c r="H12" s="932">
        <f ca="1">SUM(H7+H11)</f>
        <v>46051</v>
      </c>
      <c r="I12" s="841"/>
    </row>
    <row r="13" spans="2:11">
      <c r="B13" s="931"/>
      <c r="D13" s="841"/>
      <c r="E13" s="928" t="s">
        <v>828</v>
      </c>
      <c r="F13" s="2"/>
      <c r="G13" s="2"/>
      <c r="H13" s="1047">
        <v>0.08</v>
      </c>
      <c r="I13" s="841"/>
    </row>
    <row r="14" spans="2:11">
      <c r="B14" s="931"/>
      <c r="D14" s="841"/>
      <c r="E14" s="928" t="s">
        <v>829</v>
      </c>
      <c r="F14" s="2"/>
      <c r="G14" s="2"/>
      <c r="H14" s="1046">
        <v>41723</v>
      </c>
      <c r="I14" s="841"/>
    </row>
    <row r="15" spans="2:11" ht="13.5" thickBot="1">
      <c r="B15" s="933"/>
      <c r="C15" s="818"/>
      <c r="D15" s="843"/>
      <c r="E15" s="934" t="s">
        <v>830</v>
      </c>
      <c r="F15" s="934"/>
      <c r="G15" s="2741" t="s">
        <v>831</v>
      </c>
      <c r="H15" s="2741"/>
      <c r="I15" s="2741"/>
    </row>
    <row r="16" spans="2:11">
      <c r="B16" s="935" t="s">
        <v>832</v>
      </c>
      <c r="E16" s="23"/>
      <c r="F16" s="23"/>
      <c r="G16" s="2741"/>
      <c r="H16" s="2741"/>
      <c r="I16" s="2741"/>
    </row>
    <row r="17" spans="1:11">
      <c r="B17" s="2735" t="s">
        <v>833</v>
      </c>
      <c r="C17" s="2736"/>
      <c r="D17" s="2737"/>
      <c r="E17" s="23"/>
      <c r="F17" s="23"/>
      <c r="G17" s="2741"/>
      <c r="H17" s="2741"/>
      <c r="I17" s="2741"/>
      <c r="K17" s="936"/>
    </row>
    <row r="18" spans="1:11">
      <c r="A18" s="2738" t="s">
        <v>834</v>
      </c>
      <c r="B18" s="23"/>
    </row>
    <row r="19" spans="1:11" ht="13.5" thickBot="1">
      <c r="A19" s="2738"/>
      <c r="B19" s="23"/>
    </row>
    <row r="20" spans="1:11" ht="13.5" thickBot="1">
      <c r="A20" s="2739"/>
      <c r="B20" s="937" t="s">
        <v>835</v>
      </c>
      <c r="C20" s="938" t="s">
        <v>147</v>
      </c>
      <c r="D20" s="939" t="s">
        <v>836</v>
      </c>
      <c r="E20" s="937" t="s">
        <v>191</v>
      </c>
      <c r="F20" s="937" t="s">
        <v>837</v>
      </c>
      <c r="G20" s="937" t="s">
        <v>838</v>
      </c>
      <c r="H20" s="937" t="s">
        <v>839</v>
      </c>
      <c r="I20" s="938" t="s">
        <v>840</v>
      </c>
    </row>
    <row r="21" spans="1:11">
      <c r="A21" s="940">
        <v>1</v>
      </c>
      <c r="B21" s="941" t="str">
        <f>IFERROR(VLOOKUP(A21,'Hinnoittele jatkojalostus'!$B$11:$C$51,2,TRUE),"")</f>
        <v>Tuote 1</v>
      </c>
      <c r="C21" s="975">
        <v>1</v>
      </c>
      <c r="D21" s="974">
        <f>IF($A21&lt;&gt;"",(VLOOKUP($A21,'Hinnoittele jatkojalostus'!$B$11:$V$51,19,TRUE)),"")</f>
        <v>0</v>
      </c>
      <c r="E21" s="983">
        <f>IF($A21&lt;&gt;"",(VLOOKUP($A21,'Hinnoittele jatkojalostus'!$B$11:$Q$51,3,TRUE)),"")</f>
        <v>0.14000000000000001</v>
      </c>
      <c r="F21" s="1044">
        <v>0</v>
      </c>
      <c r="G21" s="942">
        <f>IFERROR(C21*D21*(100%-F21),"")</f>
        <v>0</v>
      </c>
      <c r="H21" s="942">
        <f>IF($A21&lt;&gt;"",SUM(G21*E21),"")</f>
        <v>0</v>
      </c>
      <c r="I21" s="942">
        <f>IF(A21&lt;&gt;"",SUM(G21:H21),"")</f>
        <v>0</v>
      </c>
    </row>
    <row r="22" spans="1:11">
      <c r="A22" s="1251"/>
      <c r="B22" s="941" t="str">
        <f>IFERROR(VLOOKUP(A22,'Hinnoittele jatkojalostus'!$B$11:$C$51,2,TRUE),"")</f>
        <v/>
      </c>
      <c r="C22" s="975"/>
      <c r="D22" s="974" t="str">
        <f>IF($A22&lt;&gt;"",(VLOOKUP($A22,'Hinnoittele jatkojalostus'!$B$11:$V$51,19,TRUE)),"")</f>
        <v/>
      </c>
      <c r="E22" s="983" t="str">
        <f>IF($A22&lt;&gt;"",(VLOOKUP($A22,'Hinnoittele jatkojalostus'!$B$11:$Q$51,3,TRUE)),"")</f>
        <v/>
      </c>
      <c r="F22" s="1044"/>
      <c r="G22" s="942" t="str">
        <f t="shared" ref="G22:G30" si="0">IFERROR(C22*D22*(100%-F22),"")</f>
        <v/>
      </c>
      <c r="H22" s="942" t="str">
        <f t="shared" ref="H22:H30" si="1">IF($A22&lt;&gt;"",SUM(G22*E22),"")</f>
        <v/>
      </c>
      <c r="I22" s="942" t="str">
        <f t="shared" ref="I22:I30" si="2">IF(A22&lt;&gt;"",SUM(G22:H22),"")</f>
        <v/>
      </c>
    </row>
    <row r="23" spans="1:11">
      <c r="A23" s="1251"/>
      <c r="B23" s="941" t="str">
        <f>IFERROR(VLOOKUP(A23,'Hinnoittele jatkojalostus'!$B$11:$C$51,2,TRUE),"")</f>
        <v/>
      </c>
      <c r="C23" s="975"/>
      <c r="D23" s="974" t="str">
        <f>IF($A23&lt;&gt;"",(VLOOKUP($A23,'Hinnoittele jatkojalostus'!$B$11:$V$51,19,TRUE)),"")</f>
        <v/>
      </c>
      <c r="E23" s="983" t="str">
        <f>IF($A23&lt;&gt;"",(VLOOKUP($A23,'Hinnoittele jatkojalostus'!$B$11:$Q$51,3,TRUE)),"")</f>
        <v/>
      </c>
      <c r="F23" s="1044"/>
      <c r="G23" s="942" t="str">
        <f t="shared" si="0"/>
        <v/>
      </c>
      <c r="H23" s="942" t="str">
        <f t="shared" si="1"/>
        <v/>
      </c>
      <c r="I23" s="942" t="str">
        <f t="shared" si="2"/>
        <v/>
      </c>
    </row>
    <row r="24" spans="1:11">
      <c r="A24" s="1251"/>
      <c r="B24" s="941" t="str">
        <f>IFERROR(VLOOKUP(A24,'Hinnoittele jatkojalostus'!$B$11:$C$51,2,TRUE),"")</f>
        <v/>
      </c>
      <c r="C24" s="975"/>
      <c r="D24" s="974" t="str">
        <f>IF($A24&lt;&gt;"",(VLOOKUP($A24,'Hinnoittele jatkojalostus'!$B$11:$V$51,19,TRUE)),"")</f>
        <v/>
      </c>
      <c r="E24" s="983" t="str">
        <f>IF($A24&lt;&gt;"",(VLOOKUP($A24,'Hinnoittele jatkojalostus'!$B$11:$Q$51,3,TRUE)),"")</f>
        <v/>
      </c>
      <c r="F24" s="1044"/>
      <c r="G24" s="942" t="str">
        <f t="shared" si="0"/>
        <v/>
      </c>
      <c r="H24" s="942" t="str">
        <f t="shared" si="1"/>
        <v/>
      </c>
      <c r="I24" s="942" t="str">
        <f t="shared" si="2"/>
        <v/>
      </c>
    </row>
    <row r="25" spans="1:11">
      <c r="A25" s="1251"/>
      <c r="B25" s="941" t="str">
        <f>IFERROR(VLOOKUP(A25,'Hinnoittele jatkojalostus'!$B$11:$C$51,2,TRUE),"")</f>
        <v/>
      </c>
      <c r="C25" s="975"/>
      <c r="D25" s="974" t="str">
        <f>IF($A25&lt;&gt;"",(VLOOKUP($A25,'Hinnoittele jatkojalostus'!$B$11:$V$51,19,TRUE)),"")</f>
        <v/>
      </c>
      <c r="E25" s="983" t="str">
        <f>IF($A25&lt;&gt;"",(VLOOKUP($A25,'Hinnoittele jatkojalostus'!$B$11:$Q$51,3,TRUE)),"")</f>
        <v/>
      </c>
      <c r="F25" s="1044"/>
      <c r="G25" s="942" t="str">
        <f t="shared" si="0"/>
        <v/>
      </c>
      <c r="H25" s="942" t="str">
        <f t="shared" si="1"/>
        <v/>
      </c>
      <c r="I25" s="942" t="str">
        <f t="shared" si="2"/>
        <v/>
      </c>
    </row>
    <row r="26" spans="1:11">
      <c r="A26" s="1251"/>
      <c r="B26" s="941" t="str">
        <f>IFERROR(VLOOKUP(A26,'Hinnoittele jatkojalostus'!$B$11:$C$51,2,TRUE),"")</f>
        <v/>
      </c>
      <c r="C26" s="975"/>
      <c r="D26" s="974" t="str">
        <f>IF($A26&lt;&gt;"",(VLOOKUP($A26,'Hinnoittele jatkojalostus'!$B$11:$V$51,19,TRUE)),"")</f>
        <v/>
      </c>
      <c r="E26" s="983" t="str">
        <f>IF($A26&lt;&gt;"",(VLOOKUP($A26,'Hinnoittele jatkojalostus'!$B$11:$Q$51,3,TRUE)),"")</f>
        <v/>
      </c>
      <c r="F26" s="1044"/>
      <c r="G26" s="942" t="str">
        <f t="shared" si="0"/>
        <v/>
      </c>
      <c r="H26" s="942" t="str">
        <f t="shared" si="1"/>
        <v/>
      </c>
      <c r="I26" s="942" t="str">
        <f t="shared" si="2"/>
        <v/>
      </c>
    </row>
    <row r="27" spans="1:11">
      <c r="A27" s="1251"/>
      <c r="B27" s="941" t="str">
        <f>IFERROR(VLOOKUP(A27,'Hinnoittele jatkojalostus'!$B$11:$C$51,2,TRUE),"")</f>
        <v/>
      </c>
      <c r="C27" s="975"/>
      <c r="D27" s="974" t="str">
        <f>IF($A27&lt;&gt;"",(VLOOKUP($A27,'Hinnoittele jatkojalostus'!$B$11:$V$51,19,TRUE)),"")</f>
        <v/>
      </c>
      <c r="E27" s="983" t="str">
        <f>IF($A27&lt;&gt;"",(VLOOKUP($A27,'Hinnoittele jatkojalostus'!$B$11:$Q$51,3,TRUE)),"")</f>
        <v/>
      </c>
      <c r="F27" s="1044"/>
      <c r="G27" s="942" t="str">
        <f t="shared" si="0"/>
        <v/>
      </c>
      <c r="H27" s="942" t="str">
        <f t="shared" si="1"/>
        <v/>
      </c>
      <c r="I27" s="942" t="str">
        <f t="shared" si="2"/>
        <v/>
      </c>
    </row>
    <row r="28" spans="1:11">
      <c r="A28" s="1251"/>
      <c r="B28" s="941" t="str">
        <f>IFERROR(VLOOKUP(A28,'Hinnoittele jatkojalostus'!$B$11:$C$51,2,TRUE),"")</f>
        <v/>
      </c>
      <c r="C28" s="975"/>
      <c r="D28" s="974" t="str">
        <f>IF($A28&lt;&gt;"",(VLOOKUP($A28,'Hinnoittele jatkojalostus'!$B$11:$V$51,19,TRUE)),"")</f>
        <v/>
      </c>
      <c r="E28" s="983" t="str">
        <f>IF($A28&lt;&gt;"",(VLOOKUP($A28,'Hinnoittele jatkojalostus'!$B$11:$Q$51,3,TRUE)),"")</f>
        <v/>
      </c>
      <c r="F28" s="1044"/>
      <c r="G28" s="942" t="str">
        <f t="shared" si="0"/>
        <v/>
      </c>
      <c r="H28" s="942" t="str">
        <f t="shared" si="1"/>
        <v/>
      </c>
      <c r="I28" s="942" t="str">
        <f t="shared" si="2"/>
        <v/>
      </c>
    </row>
    <row r="29" spans="1:11">
      <c r="A29" s="1251"/>
      <c r="B29" s="941" t="str">
        <f>IFERROR(VLOOKUP(A29,'Hinnoittele jatkojalostus'!$B$11:$C$51,2,TRUE),"")</f>
        <v/>
      </c>
      <c r="C29" s="975"/>
      <c r="D29" s="974" t="str">
        <f>IF($A29&lt;&gt;"",(VLOOKUP($A29,'Hinnoittele jatkojalostus'!$B$11:$V$51,19,TRUE)),"")</f>
        <v/>
      </c>
      <c r="E29" s="983" t="str">
        <f>IF($A29&lt;&gt;"",(VLOOKUP($A29,'Hinnoittele jatkojalostus'!$B$11:$Q$51,3,TRUE)),"")</f>
        <v/>
      </c>
      <c r="F29" s="1044"/>
      <c r="G29" s="942" t="str">
        <f t="shared" si="0"/>
        <v/>
      </c>
      <c r="H29" s="942" t="str">
        <f t="shared" si="1"/>
        <v/>
      </c>
      <c r="I29" s="942" t="str">
        <f t="shared" si="2"/>
        <v/>
      </c>
    </row>
    <row r="30" spans="1:11" ht="13.5" thickBot="1">
      <c r="A30" s="1251"/>
      <c r="B30" s="941" t="str">
        <f>IFERROR(VLOOKUP(A30,'Hinnoittele jatkojalostus'!$B$11:$C$51,2,TRUE),"")</f>
        <v/>
      </c>
      <c r="C30" s="975"/>
      <c r="D30" s="974" t="str">
        <f>IF($A30&lt;&gt;"",(VLOOKUP($A30,'Hinnoittele jatkojalostus'!$B$11:$V$51,19,TRUE)),"")</f>
        <v/>
      </c>
      <c r="E30" s="983" t="str">
        <f>IF($A30&lt;&gt;"",(VLOOKUP($A30,'Hinnoittele jatkojalostus'!$B$11:$Q$51,3,TRUE)),"")</f>
        <v/>
      </c>
      <c r="F30" s="1044"/>
      <c r="G30" s="942" t="str">
        <f t="shared" si="0"/>
        <v/>
      </c>
      <c r="H30" s="942" t="str">
        <f t="shared" si="1"/>
        <v/>
      </c>
      <c r="I30" s="942" t="str">
        <f t="shared" si="2"/>
        <v/>
      </c>
    </row>
    <row r="31" spans="1:11" ht="13.5" thickBot="1">
      <c r="B31" s="937" t="s">
        <v>841</v>
      </c>
      <c r="C31" s="976">
        <f>SUM(C21:C30)</f>
        <v>1</v>
      </c>
      <c r="D31" s="943"/>
      <c r="E31" s="944"/>
      <c r="F31" s="944"/>
      <c r="G31" s="945">
        <f>SUM(G21:G30)</f>
        <v>0</v>
      </c>
      <c r="H31" s="945">
        <f>SUM(H21:H30)</f>
        <v>0</v>
      </c>
      <c r="I31" s="946">
        <f>SUM(I21:I30)</f>
        <v>0</v>
      </c>
    </row>
    <row r="32" spans="1:11" ht="24.75" thickBot="1">
      <c r="B32" s="947" t="s">
        <v>842</v>
      </c>
      <c r="C32" s="948">
        <f>SUM(I31-H31)</f>
        <v>0</v>
      </c>
      <c r="E32" s="52"/>
      <c r="F32" s="52"/>
      <c r="G32" s="52"/>
      <c r="H32" s="52"/>
      <c r="I32" s="186"/>
    </row>
    <row r="33" spans="2:9" ht="13.5" thickBot="1">
      <c r="B33" s="949" t="s">
        <v>843</v>
      </c>
      <c r="C33" s="948">
        <f ca="1">SUMIF(E21:H30,K6,H21:H30)</f>
        <v>0</v>
      </c>
      <c r="E33" s="52"/>
      <c r="F33" s="52"/>
      <c r="G33" s="52"/>
      <c r="H33" s="52"/>
      <c r="I33" s="186"/>
    </row>
    <row r="34" spans="2:9" ht="13.5" thickBot="1">
      <c r="B34" s="928" t="s">
        <v>844</v>
      </c>
      <c r="C34" s="950">
        <f ca="1">SUMIF(E21:H30,K7,H21:H30)</f>
        <v>0</v>
      </c>
      <c r="E34" s="52"/>
      <c r="F34" s="52"/>
      <c r="G34" s="52"/>
      <c r="H34" s="52"/>
      <c r="I34" s="59"/>
    </row>
    <row r="35" spans="2:9" ht="13.5" thickBot="1">
      <c r="B35" s="949" t="s">
        <v>845</v>
      </c>
      <c r="C35" s="951">
        <f ca="1">SUMIF(E21:H30,K8,H21:H30)</f>
        <v>0</v>
      </c>
      <c r="D35" s="23"/>
      <c r="E35" s="952"/>
      <c r="F35" s="952"/>
      <c r="G35" s="952"/>
      <c r="H35" s="952"/>
      <c r="I35" s="59"/>
    </row>
    <row r="36" spans="2:9">
      <c r="C36" s="23"/>
      <c r="D36" s="23"/>
      <c r="E36" s="953"/>
      <c r="F36" s="953"/>
      <c r="G36" s="953"/>
      <c r="H36" s="953"/>
      <c r="I36" s="186"/>
    </row>
    <row r="37" spans="2:9">
      <c r="B37" s="2" t="s">
        <v>846</v>
      </c>
      <c r="C37" s="954">
        <f ca="1">SUM(C33:C36)</f>
        <v>0</v>
      </c>
      <c r="I37" s="186"/>
    </row>
    <row r="38" spans="2:9">
      <c r="B38" s="2" t="s">
        <v>847</v>
      </c>
      <c r="C38" s="955">
        <f ca="1">SUM(C32:C35)</f>
        <v>0</v>
      </c>
      <c r="E38" s="25"/>
      <c r="F38" s="25"/>
      <c r="G38" s="25"/>
      <c r="H38" s="25"/>
      <c r="I38" s="59"/>
    </row>
    <row r="39" spans="2:9" ht="13.5" thickBot="1">
      <c r="B39" s="23"/>
      <c r="I39" s="59"/>
    </row>
    <row r="40" spans="2:9">
      <c r="B40" s="956" t="s">
        <v>848</v>
      </c>
      <c r="C40" s="957" t="s">
        <v>849</v>
      </c>
      <c r="D40" s="813"/>
      <c r="E40" s="2740" t="s">
        <v>850</v>
      </c>
      <c r="F40" s="2740"/>
      <c r="G40" s="2740"/>
      <c r="H40" s="2740"/>
      <c r="I40" s="839"/>
    </row>
    <row r="41" spans="2:9">
      <c r="B41" s="814"/>
      <c r="I41" s="841"/>
    </row>
    <row r="42" spans="2:9">
      <c r="B42" s="958" t="s">
        <v>851</v>
      </c>
      <c r="C42" s="959" t="str">
        <f>B2</f>
        <v>Antti Asiakas</v>
      </c>
      <c r="E42" s="901" t="s">
        <v>852</v>
      </c>
      <c r="F42" s="985"/>
      <c r="G42" s="985"/>
      <c r="H42" s="960">
        <f>H8</f>
        <v>115</v>
      </c>
      <c r="I42" s="841"/>
    </row>
    <row r="43" spans="2:9" s="80" customFormat="1" ht="13.5" thickBot="1">
      <c r="B43" s="814"/>
      <c r="C43" s="961" t="str">
        <f t="shared" ref="C43:C44" si="3">B3</f>
        <v>Haarantie 39</v>
      </c>
      <c r="D43"/>
      <c r="E43" s="901" t="s">
        <v>853</v>
      </c>
      <c r="F43" s="985"/>
      <c r="G43" s="985"/>
      <c r="H43" s="962">
        <f>D7</f>
        <v>1</v>
      </c>
      <c r="I43" s="841"/>
    </row>
    <row r="44" spans="2:9" s="80" customFormat="1" ht="14.25" thickBot="1">
      <c r="B44" s="963"/>
      <c r="C44" s="964" t="str">
        <f t="shared" si="3"/>
        <v>70100 Kuopio</v>
      </c>
      <c r="E44" s="901" t="s">
        <v>854</v>
      </c>
      <c r="F44"/>
      <c r="G44"/>
      <c r="H44" s="1045">
        <f>CONCATENATE(I8,B65)*1</f>
        <v>1151</v>
      </c>
      <c r="I44" s="966"/>
    </row>
    <row r="45" spans="2:9" ht="24.95" customHeight="1">
      <c r="B45" s="967"/>
      <c r="C45" s="968"/>
      <c r="D45" s="969"/>
      <c r="E45" s="970"/>
      <c r="F45" s="970"/>
      <c r="G45" s="970"/>
      <c r="H45" s="970"/>
      <c r="I45" s="841"/>
    </row>
    <row r="46" spans="2:9">
      <c r="B46" s="814" t="s">
        <v>855</v>
      </c>
      <c r="C46" s="3" t="str">
        <f>B7</f>
        <v>Kalle Asiakas</v>
      </c>
      <c r="I46" s="841"/>
    </row>
    <row r="47" spans="2:9">
      <c r="B47" s="814"/>
      <c r="C47" s="3" t="str">
        <f t="shared" ref="C47:C48" si="4">B8</f>
        <v>Kallentie 1</v>
      </c>
      <c r="I47" s="841"/>
    </row>
    <row r="48" spans="2:9">
      <c r="B48" s="814"/>
      <c r="C48" s="3" t="str">
        <f t="shared" si="4"/>
        <v>73300 Nilsiä</v>
      </c>
      <c r="I48" s="841"/>
    </row>
    <row r="49" spans="2:9" ht="13.5" thickBot="1">
      <c r="B49" s="814"/>
      <c r="I49" s="841"/>
    </row>
    <row r="50" spans="2:9" ht="21" thickBot="1">
      <c r="B50" s="971" t="s">
        <v>856</v>
      </c>
      <c r="C50" s="972">
        <f ca="1">H12</f>
        <v>46051</v>
      </c>
      <c r="D50" s="818"/>
      <c r="E50" s="973" t="s">
        <v>857</v>
      </c>
      <c r="F50" s="986"/>
      <c r="G50" s="986"/>
      <c r="H50" s="946">
        <f>I31</f>
        <v>0</v>
      </c>
      <c r="I50" s="843"/>
    </row>
    <row r="57" spans="2:9" ht="13.5" thickBot="1">
      <c r="B57" t="s">
        <v>858</v>
      </c>
    </row>
    <row r="58" spans="2:9" ht="14.25" thickBot="1">
      <c r="B58" s="965">
        <f>MID(I8,LEN(I8),1)*7</f>
        <v>35</v>
      </c>
    </row>
    <row r="59" spans="2:9" ht="14.25" thickBot="1">
      <c r="B59" s="965">
        <f>IF(LEN(I8)&gt;1,MID(I8,LEN(I8)-1,1)*3,0)</f>
        <v>3</v>
      </c>
    </row>
    <row r="60" spans="2:9" ht="14.25" thickBot="1">
      <c r="B60" s="965">
        <f>IF(LEN(I8)&gt;2,MID(I8,LEN(I8)-2,1)*1,0)</f>
        <v>1</v>
      </c>
    </row>
    <row r="61" spans="2:9" ht="14.25" thickBot="1">
      <c r="B61" s="965">
        <f>IF(LEN(I8)&gt;3,MID(I8,LEN(I8)-3,1)*7,0)</f>
        <v>0</v>
      </c>
    </row>
    <row r="62" spans="2:9" ht="14.25" thickBot="1">
      <c r="B62" s="965">
        <f>IF(LEN(I8)&gt;4,MID(I8,LEN(I8)-4,1)*3,0)</f>
        <v>0</v>
      </c>
    </row>
    <row r="63" spans="2:9" ht="14.25" thickBot="1">
      <c r="B63" s="965">
        <f>IF(LEN(I8)&gt;5,MID(I8,LEN(I8)-5,1)*1,0)</f>
        <v>0</v>
      </c>
    </row>
    <row r="64" spans="2:9" ht="14.25" thickBot="1">
      <c r="B64" s="965">
        <f>SUM(B58:B63)</f>
        <v>39</v>
      </c>
    </row>
    <row r="65" spans="2:2" ht="14.25" thickBot="1">
      <c r="B65" s="965">
        <f>CEILING(B64,10)-B64</f>
        <v>1</v>
      </c>
    </row>
  </sheetData>
  <sheetProtection sheet="1" formatCells="0" formatColumns="0" formatRows="0"/>
  <mergeCells count="5">
    <mergeCell ref="D2:G2"/>
    <mergeCell ref="B17:D17"/>
    <mergeCell ref="A18:A20"/>
    <mergeCell ref="E40:H40"/>
    <mergeCell ref="G15:I17"/>
  </mergeCells>
  <pageMargins left="0.39370078740157483" right="0.39370078740157483" top="0.98425196850393704" bottom="0.98425196850393704" header="0.51181102362204722" footer="0.51181102362204722"/>
  <pageSetup paperSize="9" scale="88" orientation="portrait" r:id="rId1"/>
  <headerFooter alignWithMargins="0">
    <oddHeader>&amp;LMika Mujunen&amp;CSivu &amp;P&amp;R&amp;D</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63"/>
  <sheetViews>
    <sheetView topLeftCell="B1" zoomScale="90" zoomScaleNormal="90" workbookViewId="0">
      <selection activeCell="E14" sqref="E14"/>
    </sheetView>
  </sheetViews>
  <sheetFormatPr defaultColWidth="9.140625" defaultRowHeight="12.75"/>
  <cols>
    <col min="1" max="1" width="5.42578125" style="851" hidden="1" customWidth="1"/>
    <col min="2" max="2" width="3.42578125" style="851" customWidth="1"/>
    <col min="3" max="3" width="19.5703125" style="851" customWidth="1"/>
    <col min="4" max="4" width="6" style="851" customWidth="1"/>
    <col min="5" max="5" width="7.42578125" style="851" customWidth="1"/>
    <col min="6" max="6" width="11.28515625" style="851" customWidth="1"/>
    <col min="7" max="7" width="12.5703125" style="851" customWidth="1"/>
    <col min="8" max="9" width="11.5703125" style="851" customWidth="1"/>
    <col min="10" max="10" width="13.7109375" style="851" customWidth="1"/>
    <col min="11" max="11" width="2.140625" style="851" customWidth="1"/>
    <col min="12" max="12" width="13.42578125" style="851" customWidth="1"/>
    <col min="13" max="13" width="11.7109375" style="851" customWidth="1"/>
    <col min="14" max="14" width="13.140625" style="851" customWidth="1"/>
    <col min="15" max="15" width="11.7109375" style="851" customWidth="1"/>
    <col min="16" max="16" width="9.42578125" style="851" customWidth="1"/>
    <col min="17" max="17" width="12.140625" style="851" customWidth="1"/>
    <col min="18" max="18" width="11.7109375" style="851" customWidth="1"/>
    <col min="19" max="19" width="11.140625" style="851" customWidth="1"/>
    <col min="20" max="22" width="11.140625" style="851" hidden="1" customWidth="1"/>
    <col min="23" max="23" width="14.5703125" style="851" customWidth="1"/>
    <col min="24" max="24" width="34.5703125" style="851" customWidth="1"/>
    <col min="25" max="25" width="23.42578125" style="851" customWidth="1"/>
    <col min="26" max="26" width="21.28515625" style="851" customWidth="1"/>
    <col min="27" max="27" width="21.140625" style="851" customWidth="1"/>
    <col min="28" max="28" width="21.28515625" style="851" customWidth="1"/>
    <col min="29" max="29" width="20.5703125" style="851" customWidth="1"/>
    <col min="30" max="30" width="11.28515625" style="851" customWidth="1"/>
    <col min="31" max="31" width="18.7109375" style="851" customWidth="1"/>
    <col min="32" max="32" width="21.7109375" style="851" customWidth="1"/>
    <col min="33" max="33" width="30" style="851" customWidth="1"/>
    <col min="34" max="34" width="14.7109375" style="851" customWidth="1"/>
    <col min="35" max="35" width="19.28515625" style="851" customWidth="1"/>
    <col min="36" max="36" width="14.5703125" style="851" customWidth="1"/>
    <col min="37" max="37" width="11.7109375" style="851" customWidth="1"/>
    <col min="38" max="16384" width="9.140625" style="851"/>
  </cols>
  <sheetData>
    <row r="1" spans="1:39" ht="13.5" thickBot="1">
      <c r="B1" s="850" t="s">
        <v>859</v>
      </c>
      <c r="F1" s="864" t="s">
        <v>860</v>
      </c>
      <c r="G1" s="864"/>
      <c r="H1" s="864"/>
      <c r="I1" s="864"/>
      <c r="J1" s="2759" t="s">
        <v>861</v>
      </c>
      <c r="K1" s="2759"/>
      <c r="L1" s="2760"/>
      <c r="M1" s="2760"/>
      <c r="N1" s="2760"/>
      <c r="O1" s="2760"/>
      <c r="P1" s="2760"/>
    </row>
    <row r="2" spans="1:39" ht="13.5" thickBot="1">
      <c r="B2" s="368" t="s">
        <v>862</v>
      </c>
      <c r="C2" s="368"/>
      <c r="J2" s="1002" t="s">
        <v>1781</v>
      </c>
      <c r="K2" s="915"/>
      <c r="L2" s="1985" t="s">
        <v>864</v>
      </c>
    </row>
    <row r="3" spans="1:39" ht="13.5" thickBot="1">
      <c r="B3" s="921" t="s">
        <v>865</v>
      </c>
      <c r="E3" s="864"/>
      <c r="J3" s="1393">
        <f>Lähtötiedot!H65</f>
        <v>0</v>
      </c>
      <c r="K3" s="1095"/>
      <c r="L3" s="915"/>
    </row>
    <row r="4" spans="1:39" ht="13.5" hidden="1" thickBot="1">
      <c r="M4" s="862"/>
      <c r="N4"/>
    </row>
    <row r="5" spans="1:39" ht="15" customHeight="1">
      <c r="N5"/>
      <c r="Q5" s="2745" t="s">
        <v>866</v>
      </c>
      <c r="R5" s="2746"/>
      <c r="S5" s="2745" t="s">
        <v>867</v>
      </c>
      <c r="T5" s="2746"/>
      <c r="U5" s="2751" t="s">
        <v>868</v>
      </c>
      <c r="V5" s="2752"/>
      <c r="X5" s="1088"/>
    </row>
    <row r="6" spans="1:39" ht="12.75" hidden="1" customHeight="1">
      <c r="M6" s="1157"/>
      <c r="N6" s="852"/>
      <c r="Q6" s="2747"/>
      <c r="R6" s="2748"/>
      <c r="S6" s="2747"/>
      <c r="T6" s="2748"/>
      <c r="U6" s="2753"/>
      <c r="V6" s="2754"/>
    </row>
    <row r="7" spans="1:39" ht="13.5" thickBot="1">
      <c r="M7" s="1157"/>
      <c r="N7" s="852"/>
      <c r="O7" s="1156"/>
      <c r="Q7" s="2747"/>
      <c r="R7" s="2748"/>
      <c r="S7" s="2749"/>
      <c r="T7" s="2750"/>
      <c r="U7" s="2753"/>
      <c r="V7" s="2754"/>
      <c r="AF7" s="864" t="s">
        <v>869</v>
      </c>
      <c r="AK7" s="1389" t="s">
        <v>870</v>
      </c>
      <c r="AL7" s="864"/>
    </row>
    <row r="8" spans="1:39" ht="12.75" customHeight="1">
      <c r="F8" s="2755" t="s">
        <v>871</v>
      </c>
      <c r="G8" s="2757" t="s">
        <v>872</v>
      </c>
      <c r="H8" s="2757" t="s">
        <v>873</v>
      </c>
      <c r="I8" s="1994" t="s">
        <v>874</v>
      </c>
      <c r="J8" s="2762" t="s">
        <v>875</v>
      </c>
      <c r="K8" s="2766"/>
      <c r="L8" s="2764" t="s">
        <v>876</v>
      </c>
      <c r="M8" s="2768" t="s">
        <v>877</v>
      </c>
      <c r="N8" s="2757" t="s">
        <v>878</v>
      </c>
      <c r="O8" s="2762" t="s">
        <v>879</v>
      </c>
      <c r="P8" s="2762" t="s">
        <v>880</v>
      </c>
      <c r="Q8" s="2761" t="s">
        <v>881</v>
      </c>
      <c r="R8" s="2761" t="s">
        <v>882</v>
      </c>
      <c r="S8" s="2742" t="s">
        <v>883</v>
      </c>
      <c r="T8" s="2742" t="s">
        <v>884</v>
      </c>
      <c r="U8" s="2744" t="s">
        <v>881</v>
      </c>
      <c r="V8" s="2744" t="s">
        <v>882</v>
      </c>
      <c r="W8" s="987"/>
      <c r="AF8" s="864" t="s">
        <v>885</v>
      </c>
      <c r="AK8" s="864" t="s">
        <v>886</v>
      </c>
      <c r="AL8" s="864"/>
    </row>
    <row r="9" spans="1:39" ht="12.75" customHeight="1">
      <c r="F9" s="2755"/>
      <c r="G9" s="2757" t="s">
        <v>887</v>
      </c>
      <c r="H9" s="2757" t="s">
        <v>887</v>
      </c>
      <c r="I9" s="1995" t="s">
        <v>888</v>
      </c>
      <c r="J9" s="2762"/>
      <c r="K9" s="2766"/>
      <c r="L9" s="2764"/>
      <c r="M9" s="2768"/>
      <c r="N9" s="2757"/>
      <c r="O9" s="2762"/>
      <c r="P9" s="2762"/>
      <c r="Q9" s="2761"/>
      <c r="R9" s="2761"/>
      <c r="S9" s="2743"/>
      <c r="T9" s="2743"/>
      <c r="U9" s="2744"/>
      <c r="V9" s="2744"/>
      <c r="W9" s="987"/>
      <c r="AF9" s="864" t="s">
        <v>889</v>
      </c>
      <c r="AI9" s="864" t="s">
        <v>890</v>
      </c>
      <c r="AK9" s="1389" t="s">
        <v>891</v>
      </c>
    </row>
    <row r="10" spans="1:39" ht="50.25" customHeight="1" thickBot="1">
      <c r="C10" s="850" t="s">
        <v>892</v>
      </c>
      <c r="D10" s="852" t="s">
        <v>893</v>
      </c>
      <c r="E10" s="850" t="s">
        <v>146</v>
      </c>
      <c r="F10" s="2756"/>
      <c r="G10" s="2758"/>
      <c r="H10" s="2758"/>
      <c r="I10" s="1997" t="s">
        <v>159</v>
      </c>
      <c r="J10" s="2763"/>
      <c r="K10" s="2767"/>
      <c r="L10" s="2765"/>
      <c r="M10" s="2769"/>
      <c r="N10" s="2758"/>
      <c r="O10" s="2763" t="s">
        <v>894</v>
      </c>
      <c r="P10" s="2763" t="s">
        <v>880</v>
      </c>
      <c r="Q10" s="2761"/>
      <c r="R10" s="2761" t="s">
        <v>895</v>
      </c>
      <c r="S10" s="2743" t="s">
        <v>895</v>
      </c>
      <c r="T10" s="2743"/>
      <c r="U10" s="2744"/>
      <c r="V10" s="2744" t="s">
        <v>895</v>
      </c>
      <c r="W10" s="987"/>
      <c r="X10" s="853" t="s">
        <v>896</v>
      </c>
      <c r="Y10" s="1996" t="s">
        <v>897</v>
      </c>
      <c r="Z10" s="1996" t="s">
        <v>898</v>
      </c>
      <c r="AA10" s="1996" t="s">
        <v>899</v>
      </c>
      <c r="AB10" s="1996" t="s">
        <v>900</v>
      </c>
      <c r="AC10" s="1982" t="s">
        <v>901</v>
      </c>
      <c r="AD10" s="918" t="s">
        <v>902</v>
      </c>
      <c r="AE10" s="853" t="s">
        <v>903</v>
      </c>
      <c r="AF10" s="850" t="s">
        <v>904</v>
      </c>
      <c r="AG10" s="850" t="s">
        <v>770</v>
      </c>
      <c r="AH10" s="850" t="s">
        <v>37</v>
      </c>
      <c r="AI10" s="1983" t="s">
        <v>42</v>
      </c>
      <c r="AJ10" s="864" t="s">
        <v>905</v>
      </c>
      <c r="AK10" s="852" t="s">
        <v>906</v>
      </c>
      <c r="AM10" s="1920" t="s">
        <v>907</v>
      </c>
    </row>
    <row r="11" spans="1:39" ht="27" customHeight="1" thickBot="1">
      <c r="A11" s="850"/>
      <c r="B11" s="851">
        <v>1</v>
      </c>
      <c r="C11" s="854" t="s">
        <v>908</v>
      </c>
      <c r="D11" s="855">
        <v>0.14000000000000001</v>
      </c>
      <c r="E11" s="919" t="s">
        <v>137</v>
      </c>
      <c r="F11" s="1986">
        <v>0</v>
      </c>
      <c r="G11" s="998">
        <v>0.05</v>
      </c>
      <c r="H11" s="999">
        <f t="shared" ref="H11:H51" si="0">F11*(100%-G11)</f>
        <v>0</v>
      </c>
      <c r="I11" s="1391">
        <f>IFERROR(H11/$H$53,0)</f>
        <v>0</v>
      </c>
      <c r="J11" s="1147">
        <v>0</v>
      </c>
      <c r="K11" s="1141" t="s">
        <v>909</v>
      </c>
      <c r="L11" s="1093">
        <v>0</v>
      </c>
      <c r="M11" s="913">
        <v>0</v>
      </c>
      <c r="N11" s="1922">
        <v>0</v>
      </c>
      <c r="O11" s="1090">
        <v>0.1</v>
      </c>
      <c r="P11" s="1094">
        <f>(100%/(100%-O11))*(100%/(100%-G11))</f>
        <v>1.1695906432748537</v>
      </c>
      <c r="Q11" s="1142">
        <f>(J11+L11+(AM11*N11))*P11</f>
        <v>0</v>
      </c>
      <c r="R11" s="1144">
        <f>Q11*(1+D11)</f>
        <v>0</v>
      </c>
      <c r="S11" s="1143"/>
      <c r="T11" s="1145">
        <f>S11/(100%+D11)</f>
        <v>0</v>
      </c>
      <c r="U11" s="1145">
        <f>IF(S11&gt;0,T11,Q11)</f>
        <v>0</v>
      </c>
      <c r="V11" s="1146">
        <f>IF(S11&lt;&gt;0,S11,R11)</f>
        <v>0</v>
      </c>
      <c r="W11" s="1000" t="str">
        <f t="shared" ref="W11" si="1">IF(F11&gt;0,IF(AG11&lt;=0,"Ei voittoa.Korota hintaa jos voit!","Hinta tuo voittoa"),"")</f>
        <v/>
      </c>
      <c r="X11" s="856">
        <f>U11*H11</f>
        <v>0</v>
      </c>
      <c r="Y11" s="856">
        <f>F11*(J11)</f>
        <v>0</v>
      </c>
      <c r="Z11" s="856">
        <f>F11*L11</f>
        <v>0</v>
      </c>
      <c r="AA11" s="856">
        <f>IF(K11="k",SUM(Y11:Z11),Z11)</f>
        <v>0</v>
      </c>
      <c r="AB11" s="856">
        <f>SUM(Y11:Z11)</f>
        <v>0</v>
      </c>
      <c r="AC11" s="856">
        <f>X11-AB11</f>
        <v>0</v>
      </c>
      <c r="AD11" s="892" t="str">
        <f>IFERROR(AC11/X11,"")</f>
        <v/>
      </c>
      <c r="AE11" s="856">
        <f>IFERROR(N11*M11,0)</f>
        <v>0</v>
      </c>
      <c r="AF11" s="1089" t="str">
        <f>IF(F11&gt;0,$J$3*I11*(AK11),"")</f>
        <v/>
      </c>
      <c r="AG11" s="917" t="str">
        <f>IFERROR(IF(J11&gt;0,AC11-AE11-AF11,""),0)</f>
        <v/>
      </c>
      <c r="AH11" s="837" t="str">
        <f>IFERROR(AG11/X11,"")</f>
        <v/>
      </c>
      <c r="AI11" s="856">
        <f t="shared" ref="AI11" si="2">X11*D11</f>
        <v>0</v>
      </c>
      <c r="AJ11" s="863">
        <f>M11</f>
        <v>0</v>
      </c>
      <c r="AK11" s="1390">
        <v>1</v>
      </c>
      <c r="AL11" s="1392">
        <f>(100%-AK11)*$J$3*I11</f>
        <v>0</v>
      </c>
      <c r="AM11" s="1921">
        <f>IF(M11&gt;0,M11/F11,0)</f>
        <v>0</v>
      </c>
    </row>
    <row r="12" spans="1:39" ht="27" customHeight="1" thickBot="1">
      <c r="B12" s="851">
        <v>2</v>
      </c>
      <c r="C12" s="854" t="s">
        <v>910</v>
      </c>
      <c r="D12" s="855">
        <v>0.14000000000000001</v>
      </c>
      <c r="E12" s="919" t="s">
        <v>137</v>
      </c>
      <c r="F12" s="912">
        <v>0</v>
      </c>
      <c r="G12" s="998">
        <v>0.05</v>
      </c>
      <c r="H12" s="999">
        <f t="shared" si="0"/>
        <v>0</v>
      </c>
      <c r="I12" s="1391">
        <f t="shared" ref="I12:I51" si="3">IFERROR(H12/$H$53,0)</f>
        <v>0</v>
      </c>
      <c r="J12" s="1147">
        <v>0</v>
      </c>
      <c r="K12" s="1141" t="s">
        <v>8</v>
      </c>
      <c r="L12" s="914">
        <v>0</v>
      </c>
      <c r="M12" s="913">
        <v>0</v>
      </c>
      <c r="N12" s="1922">
        <v>0</v>
      </c>
      <c r="O12" s="1090">
        <v>0.2</v>
      </c>
      <c r="P12" s="1094">
        <f t="shared" ref="P12:P51" si="4">(100%/(100%-O12))*(100%/(100%-G12))</f>
        <v>1.3157894736842104</v>
      </c>
      <c r="Q12" s="1142">
        <f t="shared" ref="Q12:Q51" si="5">(J12+L12+(AM12*N12))*P12</f>
        <v>0</v>
      </c>
      <c r="R12" s="1001">
        <f t="shared" ref="R12:R51" si="6">Q12*(1+D12)</f>
        <v>0</v>
      </c>
      <c r="S12" s="1143">
        <v>0</v>
      </c>
      <c r="T12" s="1145">
        <f t="shared" ref="T12:T51" si="7">S12/(100%+D12)</f>
        <v>0</v>
      </c>
      <c r="U12" s="1145">
        <f t="shared" ref="U12:U51" si="8">IF(S12&gt;0,T12,Q12)</f>
        <v>0</v>
      </c>
      <c r="V12" s="1146">
        <f t="shared" ref="V12:V51" si="9">IF(S12&lt;&gt;0,S12,R12)</f>
        <v>0</v>
      </c>
      <c r="W12" s="1000" t="str">
        <f t="shared" ref="W12:W51" si="10">IF(F12&gt;0,IF(AG12&lt;=0,"Ei voittoa.Korota hintaa jos voit!","Hinta tuo voittoa"),"")</f>
        <v/>
      </c>
      <c r="X12" s="856">
        <f t="shared" ref="X12:X51" si="11">U12*H12</f>
        <v>0</v>
      </c>
      <c r="Y12" s="856">
        <f t="shared" ref="Y12:Y51" si="12">F12*(J12)</f>
        <v>0</v>
      </c>
      <c r="Z12" s="856">
        <f t="shared" ref="Z12:Z51" si="13">F12*L12</f>
        <v>0</v>
      </c>
      <c r="AA12" s="856">
        <f t="shared" ref="AA12:AA51" si="14">IF(K12="k",SUM(Y12:Z12),Z12)</f>
        <v>0</v>
      </c>
      <c r="AB12" s="856">
        <f t="shared" ref="AB12:AB51" si="15">SUM(Y12:Z12)</f>
        <v>0</v>
      </c>
      <c r="AC12" s="856">
        <f t="shared" ref="AC12:AC51" si="16">X12-AB12</f>
        <v>0</v>
      </c>
      <c r="AD12" s="892" t="str">
        <f t="shared" ref="AD12:AD51" si="17">IFERROR(AC12/X12,"")</f>
        <v/>
      </c>
      <c r="AE12" s="856">
        <f t="shared" ref="AE12:AE51" si="18">IFERROR(N12*M12,0)</f>
        <v>0</v>
      </c>
      <c r="AF12" s="1089" t="str">
        <f t="shared" ref="AF12:AF51" si="19">IF(F12&gt;0,$J$3*I12*(AK12),"")</f>
        <v/>
      </c>
      <c r="AG12" s="917" t="str">
        <f t="shared" ref="AG12:AG51" si="20">IFERROR(IF(J12&gt;0,AC12-AE12-AF12,""),0)</f>
        <v/>
      </c>
      <c r="AH12" s="837" t="str">
        <f t="shared" ref="AH12:AH51" si="21">IFERROR(AG12/X12,"")</f>
        <v/>
      </c>
      <c r="AI12" s="856">
        <f t="shared" ref="AI12:AI51" si="22">X12*D12</f>
        <v>0</v>
      </c>
      <c r="AJ12" s="863">
        <f t="shared" ref="AJ12:AJ51" si="23">M12</f>
        <v>0</v>
      </c>
      <c r="AK12" s="1390">
        <v>1</v>
      </c>
      <c r="AL12" s="1392">
        <f>(100%-AK12)*$J$3*I12</f>
        <v>0</v>
      </c>
      <c r="AM12" s="1921">
        <f t="shared" ref="AM12:AM51" si="24">IF(M12&gt;0,M12/F12,0)</f>
        <v>0</v>
      </c>
    </row>
    <row r="13" spans="1:39" ht="27" customHeight="1" thickBot="1">
      <c r="B13" s="851">
        <v>3</v>
      </c>
      <c r="C13" s="854" t="s">
        <v>911</v>
      </c>
      <c r="D13" s="855">
        <v>0.14000000000000001</v>
      </c>
      <c r="E13" s="919" t="s">
        <v>137</v>
      </c>
      <c r="F13" s="912">
        <v>0</v>
      </c>
      <c r="G13" s="998">
        <v>0.05</v>
      </c>
      <c r="H13" s="999">
        <f t="shared" si="0"/>
        <v>0</v>
      </c>
      <c r="I13" s="1391">
        <f t="shared" si="3"/>
        <v>0</v>
      </c>
      <c r="J13" s="1147">
        <v>0</v>
      </c>
      <c r="K13" s="1141" t="s">
        <v>8</v>
      </c>
      <c r="L13" s="914">
        <v>0</v>
      </c>
      <c r="M13" s="913">
        <v>0</v>
      </c>
      <c r="N13" s="1922">
        <v>0</v>
      </c>
      <c r="O13" s="1090">
        <v>0</v>
      </c>
      <c r="P13" s="1094">
        <f t="shared" si="4"/>
        <v>1.0526315789473684</v>
      </c>
      <c r="Q13" s="1142">
        <f t="shared" si="5"/>
        <v>0</v>
      </c>
      <c r="R13" s="1001">
        <f t="shared" si="6"/>
        <v>0</v>
      </c>
      <c r="S13" s="1143">
        <v>0</v>
      </c>
      <c r="T13" s="1145">
        <f t="shared" si="7"/>
        <v>0</v>
      </c>
      <c r="U13" s="1145">
        <f t="shared" si="8"/>
        <v>0</v>
      </c>
      <c r="V13" s="1146">
        <f t="shared" si="9"/>
        <v>0</v>
      </c>
      <c r="W13" s="1000" t="str">
        <f t="shared" si="10"/>
        <v/>
      </c>
      <c r="X13" s="856">
        <f t="shared" si="11"/>
        <v>0</v>
      </c>
      <c r="Y13" s="856">
        <f t="shared" si="12"/>
        <v>0</v>
      </c>
      <c r="Z13" s="856">
        <f t="shared" si="13"/>
        <v>0</v>
      </c>
      <c r="AA13" s="856">
        <f t="shared" si="14"/>
        <v>0</v>
      </c>
      <c r="AB13" s="856">
        <f t="shared" si="15"/>
        <v>0</v>
      </c>
      <c r="AC13" s="856">
        <f t="shared" si="16"/>
        <v>0</v>
      </c>
      <c r="AD13" s="892" t="str">
        <f t="shared" si="17"/>
        <v/>
      </c>
      <c r="AE13" s="856">
        <f t="shared" si="18"/>
        <v>0</v>
      </c>
      <c r="AF13" s="1089" t="str">
        <f t="shared" si="19"/>
        <v/>
      </c>
      <c r="AG13" s="917" t="str">
        <f t="shared" si="20"/>
        <v/>
      </c>
      <c r="AH13" s="837" t="str">
        <f t="shared" si="21"/>
        <v/>
      </c>
      <c r="AI13" s="856">
        <f t="shared" si="22"/>
        <v>0</v>
      </c>
      <c r="AJ13" s="863">
        <f t="shared" si="23"/>
        <v>0</v>
      </c>
      <c r="AK13" s="1390">
        <v>1</v>
      </c>
      <c r="AL13" s="1392">
        <f t="shared" ref="AL13:AL51" si="25">(100%-AK13)*$J$3*I13</f>
        <v>0</v>
      </c>
      <c r="AM13" s="1921">
        <f t="shared" si="24"/>
        <v>0</v>
      </c>
    </row>
    <row r="14" spans="1:39" ht="27" customHeight="1" thickBot="1">
      <c r="B14" s="851">
        <v>4</v>
      </c>
      <c r="C14" s="854" t="s">
        <v>912</v>
      </c>
      <c r="D14" s="855">
        <v>0.14000000000000001</v>
      </c>
      <c r="E14" s="919" t="s">
        <v>137</v>
      </c>
      <c r="F14" s="912">
        <v>0</v>
      </c>
      <c r="G14" s="998">
        <v>0.05</v>
      </c>
      <c r="H14" s="999">
        <f t="shared" si="0"/>
        <v>0</v>
      </c>
      <c r="I14" s="1391">
        <f t="shared" si="3"/>
        <v>0</v>
      </c>
      <c r="J14" s="1147">
        <v>0</v>
      </c>
      <c r="K14" s="1141" t="s">
        <v>8</v>
      </c>
      <c r="L14" s="914">
        <v>0</v>
      </c>
      <c r="M14" s="913">
        <v>0</v>
      </c>
      <c r="N14" s="1922">
        <v>0</v>
      </c>
      <c r="O14" s="1090">
        <v>0</v>
      </c>
      <c r="P14" s="1094">
        <f t="shared" si="4"/>
        <v>1.0526315789473684</v>
      </c>
      <c r="Q14" s="1142">
        <f t="shared" si="5"/>
        <v>0</v>
      </c>
      <c r="R14" s="1001">
        <f t="shared" si="6"/>
        <v>0</v>
      </c>
      <c r="S14" s="1143">
        <v>0</v>
      </c>
      <c r="T14" s="1145">
        <f t="shared" si="7"/>
        <v>0</v>
      </c>
      <c r="U14" s="1145">
        <f t="shared" si="8"/>
        <v>0</v>
      </c>
      <c r="V14" s="1146">
        <f t="shared" si="9"/>
        <v>0</v>
      </c>
      <c r="W14" s="1000" t="str">
        <f t="shared" si="10"/>
        <v/>
      </c>
      <c r="X14" s="856">
        <f t="shared" si="11"/>
        <v>0</v>
      </c>
      <c r="Y14" s="856">
        <f t="shared" si="12"/>
        <v>0</v>
      </c>
      <c r="Z14" s="856">
        <f t="shared" si="13"/>
        <v>0</v>
      </c>
      <c r="AA14" s="856">
        <f t="shared" si="14"/>
        <v>0</v>
      </c>
      <c r="AB14" s="856">
        <f t="shared" si="15"/>
        <v>0</v>
      </c>
      <c r="AC14" s="856">
        <f t="shared" si="16"/>
        <v>0</v>
      </c>
      <c r="AD14" s="892" t="str">
        <f t="shared" si="17"/>
        <v/>
      </c>
      <c r="AE14" s="856">
        <f t="shared" si="18"/>
        <v>0</v>
      </c>
      <c r="AF14" s="1089" t="str">
        <f t="shared" si="19"/>
        <v/>
      </c>
      <c r="AG14" s="917" t="str">
        <f t="shared" si="20"/>
        <v/>
      </c>
      <c r="AH14" s="837" t="str">
        <f t="shared" si="21"/>
        <v/>
      </c>
      <c r="AI14" s="856">
        <f t="shared" si="22"/>
        <v>0</v>
      </c>
      <c r="AJ14" s="863">
        <f t="shared" si="23"/>
        <v>0</v>
      </c>
      <c r="AK14" s="1390">
        <v>1</v>
      </c>
      <c r="AL14" s="1392">
        <f t="shared" si="25"/>
        <v>0</v>
      </c>
      <c r="AM14" s="1921">
        <f t="shared" si="24"/>
        <v>0</v>
      </c>
    </row>
    <row r="15" spans="1:39" ht="27" customHeight="1" thickBot="1">
      <c r="B15" s="851">
        <v>5</v>
      </c>
      <c r="C15" s="854" t="s">
        <v>913</v>
      </c>
      <c r="D15" s="855">
        <v>0.24</v>
      </c>
      <c r="E15" s="857" t="s">
        <v>150</v>
      </c>
      <c r="F15" s="912">
        <v>0</v>
      </c>
      <c r="G15" s="998">
        <v>0</v>
      </c>
      <c r="H15" s="999">
        <f t="shared" si="0"/>
        <v>0</v>
      </c>
      <c r="I15" s="1391">
        <f t="shared" si="3"/>
        <v>0</v>
      </c>
      <c r="J15" s="1147">
        <v>0</v>
      </c>
      <c r="K15" s="1141" t="s">
        <v>8</v>
      </c>
      <c r="L15" s="914">
        <v>0</v>
      </c>
      <c r="M15" s="913">
        <v>0</v>
      </c>
      <c r="N15" s="1922">
        <v>0</v>
      </c>
      <c r="O15" s="1090">
        <v>0</v>
      </c>
      <c r="P15" s="1094">
        <f t="shared" si="4"/>
        <v>1</v>
      </c>
      <c r="Q15" s="1142">
        <f t="shared" si="5"/>
        <v>0</v>
      </c>
      <c r="R15" s="1001">
        <f t="shared" si="6"/>
        <v>0</v>
      </c>
      <c r="S15" s="1143">
        <v>0</v>
      </c>
      <c r="T15" s="1145">
        <f t="shared" si="7"/>
        <v>0</v>
      </c>
      <c r="U15" s="1145">
        <f t="shared" si="8"/>
        <v>0</v>
      </c>
      <c r="V15" s="1146">
        <f t="shared" si="9"/>
        <v>0</v>
      </c>
      <c r="W15" s="1000" t="str">
        <f t="shared" si="10"/>
        <v/>
      </c>
      <c r="X15" s="856">
        <f t="shared" si="11"/>
        <v>0</v>
      </c>
      <c r="Y15" s="856">
        <f t="shared" si="12"/>
        <v>0</v>
      </c>
      <c r="Z15" s="856">
        <f t="shared" si="13"/>
        <v>0</v>
      </c>
      <c r="AA15" s="856">
        <f t="shared" si="14"/>
        <v>0</v>
      </c>
      <c r="AB15" s="856">
        <f t="shared" si="15"/>
        <v>0</v>
      </c>
      <c r="AC15" s="856">
        <f t="shared" si="16"/>
        <v>0</v>
      </c>
      <c r="AD15" s="892" t="str">
        <f t="shared" si="17"/>
        <v/>
      </c>
      <c r="AE15" s="856">
        <f t="shared" si="18"/>
        <v>0</v>
      </c>
      <c r="AF15" s="1089" t="str">
        <f t="shared" si="19"/>
        <v/>
      </c>
      <c r="AG15" s="917" t="str">
        <f t="shared" si="20"/>
        <v/>
      </c>
      <c r="AH15" s="837" t="str">
        <f t="shared" si="21"/>
        <v/>
      </c>
      <c r="AI15" s="856">
        <f t="shared" si="22"/>
        <v>0</v>
      </c>
      <c r="AJ15" s="863">
        <f t="shared" si="23"/>
        <v>0</v>
      </c>
      <c r="AK15" s="1390">
        <v>1</v>
      </c>
      <c r="AL15" s="1392">
        <f t="shared" si="25"/>
        <v>0</v>
      </c>
      <c r="AM15" s="1921">
        <f t="shared" si="24"/>
        <v>0</v>
      </c>
    </row>
    <row r="16" spans="1:39" ht="27" customHeight="1" thickBot="1">
      <c r="B16" s="851">
        <v>6</v>
      </c>
      <c r="C16" s="854" t="s">
        <v>914</v>
      </c>
      <c r="D16" s="855">
        <v>0.14000000000000001</v>
      </c>
      <c r="E16" s="857" t="s">
        <v>150</v>
      </c>
      <c r="F16" s="912">
        <v>0</v>
      </c>
      <c r="G16" s="998">
        <v>0.05</v>
      </c>
      <c r="H16" s="999">
        <f t="shared" si="0"/>
        <v>0</v>
      </c>
      <c r="I16" s="1391">
        <f t="shared" si="3"/>
        <v>0</v>
      </c>
      <c r="J16" s="1147">
        <v>0</v>
      </c>
      <c r="K16" s="1141" t="s">
        <v>8</v>
      </c>
      <c r="L16" s="914">
        <v>0</v>
      </c>
      <c r="M16" s="1925">
        <v>0</v>
      </c>
      <c r="N16" s="1922">
        <v>0</v>
      </c>
      <c r="O16" s="1090">
        <v>0.15</v>
      </c>
      <c r="P16" s="1094">
        <f t="shared" si="4"/>
        <v>1.2383900928792568</v>
      </c>
      <c r="Q16" s="1142">
        <f t="shared" si="5"/>
        <v>0</v>
      </c>
      <c r="R16" s="1001">
        <f t="shared" si="6"/>
        <v>0</v>
      </c>
      <c r="S16" s="1143">
        <v>0</v>
      </c>
      <c r="T16" s="1145">
        <f t="shared" si="7"/>
        <v>0</v>
      </c>
      <c r="U16" s="1145">
        <f t="shared" si="8"/>
        <v>0</v>
      </c>
      <c r="V16" s="1146">
        <f t="shared" si="9"/>
        <v>0</v>
      </c>
      <c r="W16" s="1000" t="str">
        <f t="shared" si="10"/>
        <v/>
      </c>
      <c r="X16" s="856">
        <f t="shared" si="11"/>
        <v>0</v>
      </c>
      <c r="Y16" s="856">
        <f t="shared" si="12"/>
        <v>0</v>
      </c>
      <c r="Z16" s="856">
        <f t="shared" si="13"/>
        <v>0</v>
      </c>
      <c r="AA16" s="856">
        <f t="shared" si="14"/>
        <v>0</v>
      </c>
      <c r="AB16" s="856">
        <f t="shared" si="15"/>
        <v>0</v>
      </c>
      <c r="AC16" s="856">
        <f t="shared" si="16"/>
        <v>0</v>
      </c>
      <c r="AD16" s="892" t="str">
        <f t="shared" si="17"/>
        <v/>
      </c>
      <c r="AE16" s="856">
        <f t="shared" si="18"/>
        <v>0</v>
      </c>
      <c r="AF16" s="1089" t="str">
        <f t="shared" si="19"/>
        <v/>
      </c>
      <c r="AG16" s="917" t="str">
        <f t="shared" si="20"/>
        <v/>
      </c>
      <c r="AH16" s="837" t="str">
        <f t="shared" si="21"/>
        <v/>
      </c>
      <c r="AI16" s="856">
        <f t="shared" si="22"/>
        <v>0</v>
      </c>
      <c r="AJ16" s="863">
        <f t="shared" si="23"/>
        <v>0</v>
      </c>
      <c r="AK16" s="1390">
        <v>1</v>
      </c>
      <c r="AL16" s="1392">
        <f t="shared" si="25"/>
        <v>0</v>
      </c>
      <c r="AM16" s="1921">
        <f t="shared" si="24"/>
        <v>0</v>
      </c>
    </row>
    <row r="17" spans="2:39" ht="27" customHeight="1" thickBot="1">
      <c r="B17" s="851">
        <v>7</v>
      </c>
      <c r="C17" s="854" t="s">
        <v>915</v>
      </c>
      <c r="D17" s="855">
        <v>0.24</v>
      </c>
      <c r="E17" s="857" t="s">
        <v>150</v>
      </c>
      <c r="F17" s="912">
        <v>0</v>
      </c>
      <c r="G17" s="998">
        <v>0</v>
      </c>
      <c r="H17" s="999">
        <f t="shared" si="0"/>
        <v>0</v>
      </c>
      <c r="I17" s="1391">
        <f t="shared" si="3"/>
        <v>0</v>
      </c>
      <c r="J17" s="1147">
        <v>0</v>
      </c>
      <c r="K17" s="1141" t="s">
        <v>8</v>
      </c>
      <c r="L17" s="914">
        <v>0</v>
      </c>
      <c r="M17" s="913">
        <v>0</v>
      </c>
      <c r="N17" s="1922">
        <v>0</v>
      </c>
      <c r="O17" s="1090">
        <v>0</v>
      </c>
      <c r="P17" s="1094">
        <f t="shared" si="4"/>
        <v>1</v>
      </c>
      <c r="Q17" s="1142">
        <f t="shared" si="5"/>
        <v>0</v>
      </c>
      <c r="R17" s="1001">
        <f t="shared" si="6"/>
        <v>0</v>
      </c>
      <c r="S17" s="1143">
        <v>0</v>
      </c>
      <c r="T17" s="1145">
        <f t="shared" si="7"/>
        <v>0</v>
      </c>
      <c r="U17" s="1145">
        <f t="shared" si="8"/>
        <v>0</v>
      </c>
      <c r="V17" s="1146">
        <f t="shared" si="9"/>
        <v>0</v>
      </c>
      <c r="W17" s="1000" t="str">
        <f t="shared" si="10"/>
        <v/>
      </c>
      <c r="X17" s="856">
        <f t="shared" si="11"/>
        <v>0</v>
      </c>
      <c r="Y17" s="856">
        <f t="shared" si="12"/>
        <v>0</v>
      </c>
      <c r="Z17" s="856">
        <f t="shared" si="13"/>
        <v>0</v>
      </c>
      <c r="AA17" s="856">
        <f t="shared" si="14"/>
        <v>0</v>
      </c>
      <c r="AB17" s="856">
        <f t="shared" si="15"/>
        <v>0</v>
      </c>
      <c r="AC17" s="856">
        <f t="shared" si="16"/>
        <v>0</v>
      </c>
      <c r="AD17" s="892" t="str">
        <f t="shared" si="17"/>
        <v/>
      </c>
      <c r="AE17" s="856">
        <f t="shared" si="18"/>
        <v>0</v>
      </c>
      <c r="AF17" s="1089" t="str">
        <f t="shared" si="19"/>
        <v/>
      </c>
      <c r="AG17" s="917" t="str">
        <f t="shared" si="20"/>
        <v/>
      </c>
      <c r="AH17" s="837" t="str">
        <f t="shared" si="21"/>
        <v/>
      </c>
      <c r="AI17" s="856">
        <f t="shared" si="22"/>
        <v>0</v>
      </c>
      <c r="AJ17" s="863">
        <f t="shared" si="23"/>
        <v>0</v>
      </c>
      <c r="AK17" s="1390">
        <v>1</v>
      </c>
      <c r="AL17" s="1392">
        <f t="shared" si="25"/>
        <v>0</v>
      </c>
      <c r="AM17" s="1921">
        <f t="shared" si="24"/>
        <v>0</v>
      </c>
    </row>
    <row r="18" spans="2:39" ht="27" customHeight="1" thickBot="1">
      <c r="B18" s="851">
        <v>8</v>
      </c>
      <c r="C18" s="854" t="s">
        <v>916</v>
      </c>
      <c r="D18" s="855">
        <v>0.24</v>
      </c>
      <c r="E18" s="857" t="s">
        <v>150</v>
      </c>
      <c r="F18" s="912">
        <v>0</v>
      </c>
      <c r="G18" s="998">
        <v>0</v>
      </c>
      <c r="H18" s="999">
        <f t="shared" si="0"/>
        <v>0</v>
      </c>
      <c r="I18" s="1391">
        <f t="shared" si="3"/>
        <v>0</v>
      </c>
      <c r="J18" s="1147">
        <v>0</v>
      </c>
      <c r="K18" s="1141" t="s">
        <v>8</v>
      </c>
      <c r="L18" s="914">
        <v>0</v>
      </c>
      <c r="M18" s="913">
        <v>0</v>
      </c>
      <c r="N18" s="1922">
        <v>0</v>
      </c>
      <c r="O18" s="1090">
        <v>0</v>
      </c>
      <c r="P18" s="1094">
        <f t="shared" si="4"/>
        <v>1</v>
      </c>
      <c r="Q18" s="1142">
        <f t="shared" si="5"/>
        <v>0</v>
      </c>
      <c r="R18" s="1001">
        <f t="shared" si="6"/>
        <v>0</v>
      </c>
      <c r="S18" s="1143">
        <v>0</v>
      </c>
      <c r="T18" s="1145">
        <f t="shared" si="7"/>
        <v>0</v>
      </c>
      <c r="U18" s="1145">
        <f t="shared" si="8"/>
        <v>0</v>
      </c>
      <c r="V18" s="1146">
        <f t="shared" si="9"/>
        <v>0</v>
      </c>
      <c r="W18" s="1000" t="str">
        <f t="shared" si="10"/>
        <v/>
      </c>
      <c r="X18" s="856">
        <f t="shared" si="11"/>
        <v>0</v>
      </c>
      <c r="Y18" s="856">
        <f t="shared" si="12"/>
        <v>0</v>
      </c>
      <c r="Z18" s="856">
        <f t="shared" si="13"/>
        <v>0</v>
      </c>
      <c r="AA18" s="856">
        <f t="shared" si="14"/>
        <v>0</v>
      </c>
      <c r="AB18" s="856">
        <f t="shared" si="15"/>
        <v>0</v>
      </c>
      <c r="AC18" s="856">
        <f t="shared" si="16"/>
        <v>0</v>
      </c>
      <c r="AD18" s="892" t="str">
        <f t="shared" si="17"/>
        <v/>
      </c>
      <c r="AE18" s="856">
        <f t="shared" si="18"/>
        <v>0</v>
      </c>
      <c r="AF18" s="1089" t="str">
        <f t="shared" si="19"/>
        <v/>
      </c>
      <c r="AG18" s="917" t="str">
        <f t="shared" si="20"/>
        <v/>
      </c>
      <c r="AH18" s="837" t="str">
        <f t="shared" si="21"/>
        <v/>
      </c>
      <c r="AI18" s="856">
        <f t="shared" si="22"/>
        <v>0</v>
      </c>
      <c r="AJ18" s="863">
        <f t="shared" si="23"/>
        <v>0</v>
      </c>
      <c r="AK18" s="1390">
        <v>1</v>
      </c>
      <c r="AL18" s="1392">
        <f t="shared" si="25"/>
        <v>0</v>
      </c>
      <c r="AM18" s="1921">
        <f t="shared" si="24"/>
        <v>0</v>
      </c>
    </row>
    <row r="19" spans="2:39" ht="27" customHeight="1" thickBot="1">
      <c r="B19" s="851">
        <v>9</v>
      </c>
      <c r="C19" s="854" t="s">
        <v>917</v>
      </c>
      <c r="D19" s="855">
        <v>0.24</v>
      </c>
      <c r="E19" s="857" t="s">
        <v>150</v>
      </c>
      <c r="F19" s="912">
        <v>0</v>
      </c>
      <c r="G19" s="998">
        <v>0</v>
      </c>
      <c r="H19" s="999">
        <f t="shared" si="0"/>
        <v>0</v>
      </c>
      <c r="I19" s="1391">
        <f t="shared" si="3"/>
        <v>0</v>
      </c>
      <c r="J19" s="1147">
        <v>0</v>
      </c>
      <c r="K19" s="1141" t="s">
        <v>8</v>
      </c>
      <c r="L19" s="914">
        <v>0</v>
      </c>
      <c r="M19" s="913"/>
      <c r="N19" s="1922">
        <v>0</v>
      </c>
      <c r="O19" s="1090">
        <v>0</v>
      </c>
      <c r="P19" s="1094">
        <f t="shared" si="4"/>
        <v>1</v>
      </c>
      <c r="Q19" s="1142">
        <f t="shared" si="5"/>
        <v>0</v>
      </c>
      <c r="R19" s="1001">
        <f t="shared" si="6"/>
        <v>0</v>
      </c>
      <c r="S19" s="1143">
        <v>0</v>
      </c>
      <c r="T19" s="1145">
        <f t="shared" si="7"/>
        <v>0</v>
      </c>
      <c r="U19" s="1145">
        <f t="shared" si="8"/>
        <v>0</v>
      </c>
      <c r="V19" s="1146">
        <f t="shared" si="9"/>
        <v>0</v>
      </c>
      <c r="W19" s="1000" t="str">
        <f t="shared" si="10"/>
        <v/>
      </c>
      <c r="X19" s="856">
        <f t="shared" si="11"/>
        <v>0</v>
      </c>
      <c r="Y19" s="856">
        <f t="shared" si="12"/>
        <v>0</v>
      </c>
      <c r="Z19" s="856">
        <f t="shared" si="13"/>
        <v>0</v>
      </c>
      <c r="AA19" s="856">
        <f t="shared" si="14"/>
        <v>0</v>
      </c>
      <c r="AB19" s="856">
        <f t="shared" si="15"/>
        <v>0</v>
      </c>
      <c r="AC19" s="856">
        <f t="shared" si="16"/>
        <v>0</v>
      </c>
      <c r="AD19" s="892" t="str">
        <f t="shared" si="17"/>
        <v/>
      </c>
      <c r="AE19" s="856">
        <f t="shared" si="18"/>
        <v>0</v>
      </c>
      <c r="AF19" s="1089" t="str">
        <f t="shared" si="19"/>
        <v/>
      </c>
      <c r="AG19" s="917" t="str">
        <f t="shared" si="20"/>
        <v/>
      </c>
      <c r="AH19" s="837" t="str">
        <f t="shared" si="21"/>
        <v/>
      </c>
      <c r="AI19" s="856">
        <f t="shared" si="22"/>
        <v>0</v>
      </c>
      <c r="AJ19" s="863">
        <f t="shared" si="23"/>
        <v>0</v>
      </c>
      <c r="AK19" s="1390">
        <v>1</v>
      </c>
      <c r="AL19" s="1392">
        <f t="shared" si="25"/>
        <v>0</v>
      </c>
      <c r="AM19" s="1921">
        <f t="shared" si="24"/>
        <v>0</v>
      </c>
    </row>
    <row r="20" spans="2:39" ht="27" customHeight="1" thickBot="1">
      <c r="B20" s="851">
        <v>10</v>
      </c>
      <c r="C20" s="854" t="s">
        <v>918</v>
      </c>
      <c r="D20" s="855">
        <v>0.24</v>
      </c>
      <c r="E20" s="857" t="s">
        <v>150</v>
      </c>
      <c r="F20" s="912">
        <v>0</v>
      </c>
      <c r="G20" s="998">
        <v>0</v>
      </c>
      <c r="H20" s="999">
        <f t="shared" si="0"/>
        <v>0</v>
      </c>
      <c r="I20" s="1391">
        <f t="shared" si="3"/>
        <v>0</v>
      </c>
      <c r="J20" s="1147">
        <v>0</v>
      </c>
      <c r="K20" s="1141" t="s">
        <v>8</v>
      </c>
      <c r="L20" s="914">
        <v>0</v>
      </c>
      <c r="M20" s="913"/>
      <c r="N20" s="1922">
        <v>0</v>
      </c>
      <c r="O20" s="1090">
        <v>0</v>
      </c>
      <c r="P20" s="1094">
        <f t="shared" si="4"/>
        <v>1</v>
      </c>
      <c r="Q20" s="1142">
        <f t="shared" si="5"/>
        <v>0</v>
      </c>
      <c r="R20" s="1001">
        <f t="shared" si="6"/>
        <v>0</v>
      </c>
      <c r="S20" s="1143">
        <v>0</v>
      </c>
      <c r="T20" s="1145">
        <f t="shared" si="7"/>
        <v>0</v>
      </c>
      <c r="U20" s="1145">
        <f t="shared" si="8"/>
        <v>0</v>
      </c>
      <c r="V20" s="1146">
        <f t="shared" si="9"/>
        <v>0</v>
      </c>
      <c r="W20" s="1000" t="str">
        <f t="shared" si="10"/>
        <v/>
      </c>
      <c r="X20" s="856">
        <f t="shared" si="11"/>
        <v>0</v>
      </c>
      <c r="Y20" s="856">
        <f t="shared" si="12"/>
        <v>0</v>
      </c>
      <c r="Z20" s="856">
        <f t="shared" si="13"/>
        <v>0</v>
      </c>
      <c r="AA20" s="856">
        <f t="shared" si="14"/>
        <v>0</v>
      </c>
      <c r="AB20" s="856">
        <f t="shared" si="15"/>
        <v>0</v>
      </c>
      <c r="AC20" s="856">
        <f t="shared" si="16"/>
        <v>0</v>
      </c>
      <c r="AD20" s="892" t="str">
        <f t="shared" si="17"/>
        <v/>
      </c>
      <c r="AE20" s="856">
        <f t="shared" si="18"/>
        <v>0</v>
      </c>
      <c r="AF20" s="1089" t="str">
        <f t="shared" si="19"/>
        <v/>
      </c>
      <c r="AG20" s="917" t="str">
        <f t="shared" si="20"/>
        <v/>
      </c>
      <c r="AH20" s="837" t="str">
        <f t="shared" si="21"/>
        <v/>
      </c>
      <c r="AI20" s="856">
        <f t="shared" si="22"/>
        <v>0</v>
      </c>
      <c r="AJ20" s="863">
        <f t="shared" si="23"/>
        <v>0</v>
      </c>
      <c r="AK20" s="1390">
        <v>1</v>
      </c>
      <c r="AL20" s="1392">
        <f t="shared" si="25"/>
        <v>0</v>
      </c>
      <c r="AM20" s="1921">
        <f t="shared" si="24"/>
        <v>0</v>
      </c>
    </row>
    <row r="21" spans="2:39" ht="27" customHeight="1" thickBot="1">
      <c r="B21" s="851">
        <v>11</v>
      </c>
      <c r="C21" s="854" t="s">
        <v>919</v>
      </c>
      <c r="D21" s="855">
        <v>0.24</v>
      </c>
      <c r="E21" s="857" t="s">
        <v>150</v>
      </c>
      <c r="F21" s="912">
        <v>0</v>
      </c>
      <c r="G21" s="998">
        <v>0</v>
      </c>
      <c r="H21" s="999">
        <f t="shared" si="0"/>
        <v>0</v>
      </c>
      <c r="I21" s="1391">
        <f t="shared" si="3"/>
        <v>0</v>
      </c>
      <c r="J21" s="1147">
        <v>0</v>
      </c>
      <c r="K21" s="1141" t="s">
        <v>8</v>
      </c>
      <c r="L21" s="914">
        <v>0</v>
      </c>
      <c r="M21" s="913"/>
      <c r="N21" s="1922"/>
      <c r="O21" s="1090">
        <v>0</v>
      </c>
      <c r="P21" s="1094">
        <f t="shared" si="4"/>
        <v>1</v>
      </c>
      <c r="Q21" s="1142">
        <f t="shared" si="5"/>
        <v>0</v>
      </c>
      <c r="R21" s="1001">
        <f t="shared" si="6"/>
        <v>0</v>
      </c>
      <c r="S21" s="1143">
        <v>0</v>
      </c>
      <c r="T21" s="1145">
        <f t="shared" si="7"/>
        <v>0</v>
      </c>
      <c r="U21" s="1145">
        <f t="shared" si="8"/>
        <v>0</v>
      </c>
      <c r="V21" s="1146">
        <f t="shared" si="9"/>
        <v>0</v>
      </c>
      <c r="W21" s="1000" t="str">
        <f t="shared" si="10"/>
        <v/>
      </c>
      <c r="X21" s="856">
        <f t="shared" si="11"/>
        <v>0</v>
      </c>
      <c r="Y21" s="856">
        <f t="shared" si="12"/>
        <v>0</v>
      </c>
      <c r="Z21" s="856">
        <f t="shared" si="13"/>
        <v>0</v>
      </c>
      <c r="AA21" s="856">
        <f t="shared" si="14"/>
        <v>0</v>
      </c>
      <c r="AB21" s="856">
        <f t="shared" si="15"/>
        <v>0</v>
      </c>
      <c r="AC21" s="856">
        <f t="shared" si="16"/>
        <v>0</v>
      </c>
      <c r="AD21" s="892" t="str">
        <f t="shared" si="17"/>
        <v/>
      </c>
      <c r="AE21" s="856">
        <f t="shared" si="18"/>
        <v>0</v>
      </c>
      <c r="AF21" s="1089" t="str">
        <f t="shared" si="19"/>
        <v/>
      </c>
      <c r="AG21" s="917" t="str">
        <f t="shared" si="20"/>
        <v/>
      </c>
      <c r="AH21" s="837" t="str">
        <f t="shared" si="21"/>
        <v/>
      </c>
      <c r="AI21" s="856">
        <f t="shared" si="22"/>
        <v>0</v>
      </c>
      <c r="AJ21" s="863">
        <f t="shared" si="23"/>
        <v>0</v>
      </c>
      <c r="AK21" s="1390">
        <v>1</v>
      </c>
      <c r="AL21" s="1392">
        <f t="shared" si="25"/>
        <v>0</v>
      </c>
      <c r="AM21" s="1921">
        <f t="shared" si="24"/>
        <v>0</v>
      </c>
    </row>
    <row r="22" spans="2:39" ht="27" customHeight="1" thickBot="1">
      <c r="B22" s="851">
        <v>12</v>
      </c>
      <c r="C22" s="854" t="s">
        <v>920</v>
      </c>
      <c r="D22" s="855">
        <v>0.24</v>
      </c>
      <c r="E22" s="857" t="s">
        <v>150</v>
      </c>
      <c r="F22" s="912">
        <v>0</v>
      </c>
      <c r="G22" s="998">
        <v>0</v>
      </c>
      <c r="H22" s="999">
        <f t="shared" si="0"/>
        <v>0</v>
      </c>
      <c r="I22" s="1391">
        <f t="shared" si="3"/>
        <v>0</v>
      </c>
      <c r="J22" s="1147">
        <v>0</v>
      </c>
      <c r="K22" s="1141" t="s">
        <v>8</v>
      </c>
      <c r="L22" s="914">
        <v>0</v>
      </c>
      <c r="M22" s="913"/>
      <c r="N22" s="1922"/>
      <c r="O22" s="1090">
        <v>0</v>
      </c>
      <c r="P22" s="1094">
        <f t="shared" si="4"/>
        <v>1</v>
      </c>
      <c r="Q22" s="1142">
        <f t="shared" si="5"/>
        <v>0</v>
      </c>
      <c r="R22" s="1001">
        <f t="shared" si="6"/>
        <v>0</v>
      </c>
      <c r="S22" s="1143">
        <v>0</v>
      </c>
      <c r="T22" s="1145">
        <f t="shared" si="7"/>
        <v>0</v>
      </c>
      <c r="U22" s="1145">
        <f t="shared" si="8"/>
        <v>0</v>
      </c>
      <c r="V22" s="1146">
        <f t="shared" si="9"/>
        <v>0</v>
      </c>
      <c r="W22" s="1000" t="str">
        <f t="shared" si="10"/>
        <v/>
      </c>
      <c r="X22" s="856">
        <f t="shared" si="11"/>
        <v>0</v>
      </c>
      <c r="Y22" s="856">
        <f t="shared" si="12"/>
        <v>0</v>
      </c>
      <c r="Z22" s="856">
        <f t="shared" si="13"/>
        <v>0</v>
      </c>
      <c r="AA22" s="856">
        <f t="shared" si="14"/>
        <v>0</v>
      </c>
      <c r="AB22" s="856">
        <f t="shared" si="15"/>
        <v>0</v>
      </c>
      <c r="AC22" s="856">
        <f t="shared" si="16"/>
        <v>0</v>
      </c>
      <c r="AD22" s="892" t="str">
        <f t="shared" si="17"/>
        <v/>
      </c>
      <c r="AE22" s="856">
        <f t="shared" si="18"/>
        <v>0</v>
      </c>
      <c r="AF22" s="1089" t="str">
        <f t="shared" si="19"/>
        <v/>
      </c>
      <c r="AG22" s="917" t="str">
        <f t="shared" si="20"/>
        <v/>
      </c>
      <c r="AH22" s="837" t="str">
        <f t="shared" si="21"/>
        <v/>
      </c>
      <c r="AI22" s="856">
        <f t="shared" si="22"/>
        <v>0</v>
      </c>
      <c r="AJ22" s="863">
        <f t="shared" si="23"/>
        <v>0</v>
      </c>
      <c r="AK22" s="1390">
        <v>1</v>
      </c>
      <c r="AL22" s="1392">
        <f t="shared" si="25"/>
        <v>0</v>
      </c>
      <c r="AM22" s="1921">
        <f t="shared" si="24"/>
        <v>0</v>
      </c>
    </row>
    <row r="23" spans="2:39" ht="27" customHeight="1" thickBot="1">
      <c r="B23" s="851">
        <v>13</v>
      </c>
      <c r="C23" s="854" t="s">
        <v>921</v>
      </c>
      <c r="D23" s="855">
        <v>0.24</v>
      </c>
      <c r="E23" s="857" t="s">
        <v>150</v>
      </c>
      <c r="F23" s="912">
        <v>0</v>
      </c>
      <c r="G23" s="998">
        <v>0</v>
      </c>
      <c r="H23" s="999">
        <f t="shared" si="0"/>
        <v>0</v>
      </c>
      <c r="I23" s="1391">
        <f t="shared" si="3"/>
        <v>0</v>
      </c>
      <c r="J23" s="1147">
        <v>0</v>
      </c>
      <c r="K23" s="1141" t="s">
        <v>8</v>
      </c>
      <c r="L23" s="914">
        <v>0</v>
      </c>
      <c r="M23" s="913"/>
      <c r="N23" s="1922"/>
      <c r="O23" s="1090">
        <v>0</v>
      </c>
      <c r="P23" s="1094">
        <f t="shared" si="4"/>
        <v>1</v>
      </c>
      <c r="Q23" s="1142">
        <f t="shared" si="5"/>
        <v>0</v>
      </c>
      <c r="R23" s="1001">
        <f t="shared" si="6"/>
        <v>0</v>
      </c>
      <c r="S23" s="1143">
        <v>0</v>
      </c>
      <c r="T23" s="1145">
        <f t="shared" si="7"/>
        <v>0</v>
      </c>
      <c r="U23" s="1145">
        <f t="shared" si="8"/>
        <v>0</v>
      </c>
      <c r="V23" s="1146">
        <f t="shared" si="9"/>
        <v>0</v>
      </c>
      <c r="W23" s="1000" t="str">
        <f t="shared" si="10"/>
        <v/>
      </c>
      <c r="X23" s="856">
        <f t="shared" si="11"/>
        <v>0</v>
      </c>
      <c r="Y23" s="856">
        <f t="shared" si="12"/>
        <v>0</v>
      </c>
      <c r="Z23" s="856">
        <f t="shared" si="13"/>
        <v>0</v>
      </c>
      <c r="AA23" s="856">
        <f t="shared" si="14"/>
        <v>0</v>
      </c>
      <c r="AB23" s="856">
        <f t="shared" si="15"/>
        <v>0</v>
      </c>
      <c r="AC23" s="856">
        <f t="shared" si="16"/>
        <v>0</v>
      </c>
      <c r="AD23" s="892" t="str">
        <f t="shared" si="17"/>
        <v/>
      </c>
      <c r="AE23" s="856">
        <f t="shared" si="18"/>
        <v>0</v>
      </c>
      <c r="AF23" s="1089" t="str">
        <f t="shared" si="19"/>
        <v/>
      </c>
      <c r="AG23" s="917" t="str">
        <f t="shared" si="20"/>
        <v/>
      </c>
      <c r="AH23" s="837" t="str">
        <f t="shared" si="21"/>
        <v/>
      </c>
      <c r="AI23" s="856">
        <f t="shared" si="22"/>
        <v>0</v>
      </c>
      <c r="AJ23" s="863">
        <f t="shared" si="23"/>
        <v>0</v>
      </c>
      <c r="AK23" s="1390">
        <v>1</v>
      </c>
      <c r="AL23" s="1392">
        <f t="shared" si="25"/>
        <v>0</v>
      </c>
      <c r="AM23" s="1921">
        <f t="shared" si="24"/>
        <v>0</v>
      </c>
    </row>
    <row r="24" spans="2:39" ht="27" customHeight="1" thickBot="1">
      <c r="B24" s="851">
        <v>14</v>
      </c>
      <c r="C24" s="854" t="s">
        <v>922</v>
      </c>
      <c r="D24" s="855">
        <v>0.24</v>
      </c>
      <c r="E24" s="857" t="s">
        <v>150</v>
      </c>
      <c r="F24" s="912">
        <v>0</v>
      </c>
      <c r="G24" s="998">
        <v>0</v>
      </c>
      <c r="H24" s="999">
        <f t="shared" si="0"/>
        <v>0</v>
      </c>
      <c r="I24" s="1391">
        <f t="shared" si="3"/>
        <v>0</v>
      </c>
      <c r="J24" s="1147">
        <v>0</v>
      </c>
      <c r="K24" s="1141" t="s">
        <v>8</v>
      </c>
      <c r="L24" s="914">
        <v>0</v>
      </c>
      <c r="M24" s="913"/>
      <c r="N24" s="1922"/>
      <c r="O24" s="1090">
        <v>0</v>
      </c>
      <c r="P24" s="1094">
        <f t="shared" si="4"/>
        <v>1</v>
      </c>
      <c r="Q24" s="1142">
        <f t="shared" si="5"/>
        <v>0</v>
      </c>
      <c r="R24" s="1001">
        <f t="shared" si="6"/>
        <v>0</v>
      </c>
      <c r="S24" s="1143">
        <v>0</v>
      </c>
      <c r="T24" s="1145">
        <f t="shared" si="7"/>
        <v>0</v>
      </c>
      <c r="U24" s="1145">
        <f t="shared" si="8"/>
        <v>0</v>
      </c>
      <c r="V24" s="1146">
        <f t="shared" si="9"/>
        <v>0</v>
      </c>
      <c r="W24" s="1000" t="str">
        <f t="shared" si="10"/>
        <v/>
      </c>
      <c r="X24" s="856">
        <f t="shared" si="11"/>
        <v>0</v>
      </c>
      <c r="Y24" s="856">
        <f t="shared" si="12"/>
        <v>0</v>
      </c>
      <c r="Z24" s="856">
        <f t="shared" si="13"/>
        <v>0</v>
      </c>
      <c r="AA24" s="856">
        <f t="shared" si="14"/>
        <v>0</v>
      </c>
      <c r="AB24" s="856">
        <f t="shared" si="15"/>
        <v>0</v>
      </c>
      <c r="AC24" s="856">
        <f t="shared" si="16"/>
        <v>0</v>
      </c>
      <c r="AD24" s="892" t="str">
        <f t="shared" si="17"/>
        <v/>
      </c>
      <c r="AE24" s="856">
        <f t="shared" si="18"/>
        <v>0</v>
      </c>
      <c r="AF24" s="1089" t="str">
        <f t="shared" si="19"/>
        <v/>
      </c>
      <c r="AG24" s="917" t="str">
        <f t="shared" si="20"/>
        <v/>
      </c>
      <c r="AH24" s="837" t="str">
        <f t="shared" si="21"/>
        <v/>
      </c>
      <c r="AI24" s="856">
        <f t="shared" si="22"/>
        <v>0</v>
      </c>
      <c r="AJ24" s="863">
        <f t="shared" si="23"/>
        <v>0</v>
      </c>
      <c r="AK24" s="1390">
        <v>1</v>
      </c>
      <c r="AL24" s="1392">
        <f t="shared" si="25"/>
        <v>0</v>
      </c>
      <c r="AM24" s="1921">
        <f t="shared" si="24"/>
        <v>0</v>
      </c>
    </row>
    <row r="25" spans="2:39" ht="27" customHeight="1" thickBot="1">
      <c r="B25" s="851">
        <v>15</v>
      </c>
      <c r="C25" s="854" t="s">
        <v>923</v>
      </c>
      <c r="D25" s="855">
        <v>0.24</v>
      </c>
      <c r="E25" s="857" t="s">
        <v>150</v>
      </c>
      <c r="F25" s="912">
        <v>0</v>
      </c>
      <c r="G25" s="998">
        <v>0</v>
      </c>
      <c r="H25" s="999">
        <f t="shared" si="0"/>
        <v>0</v>
      </c>
      <c r="I25" s="1391">
        <f t="shared" si="3"/>
        <v>0</v>
      </c>
      <c r="J25" s="1147">
        <v>0</v>
      </c>
      <c r="K25" s="1141" t="s">
        <v>8</v>
      </c>
      <c r="L25" s="914">
        <v>0</v>
      </c>
      <c r="M25" s="913"/>
      <c r="N25" s="1922"/>
      <c r="O25" s="1090">
        <v>0</v>
      </c>
      <c r="P25" s="1094">
        <f t="shared" si="4"/>
        <v>1</v>
      </c>
      <c r="Q25" s="1142">
        <f t="shared" si="5"/>
        <v>0</v>
      </c>
      <c r="R25" s="1001">
        <f t="shared" si="6"/>
        <v>0</v>
      </c>
      <c r="S25" s="1143">
        <v>0</v>
      </c>
      <c r="T25" s="1145">
        <f t="shared" si="7"/>
        <v>0</v>
      </c>
      <c r="U25" s="1145">
        <f t="shared" si="8"/>
        <v>0</v>
      </c>
      <c r="V25" s="1146">
        <f t="shared" si="9"/>
        <v>0</v>
      </c>
      <c r="W25" s="1000" t="str">
        <f t="shared" si="10"/>
        <v/>
      </c>
      <c r="X25" s="856">
        <f t="shared" si="11"/>
        <v>0</v>
      </c>
      <c r="Y25" s="856">
        <f t="shared" si="12"/>
        <v>0</v>
      </c>
      <c r="Z25" s="856">
        <f t="shared" si="13"/>
        <v>0</v>
      </c>
      <c r="AA25" s="856">
        <f t="shared" si="14"/>
        <v>0</v>
      </c>
      <c r="AB25" s="856">
        <f t="shared" si="15"/>
        <v>0</v>
      </c>
      <c r="AC25" s="856">
        <f t="shared" si="16"/>
        <v>0</v>
      </c>
      <c r="AD25" s="892" t="str">
        <f t="shared" si="17"/>
        <v/>
      </c>
      <c r="AE25" s="856">
        <f t="shared" si="18"/>
        <v>0</v>
      </c>
      <c r="AF25" s="1089" t="str">
        <f t="shared" si="19"/>
        <v/>
      </c>
      <c r="AG25" s="917" t="str">
        <f t="shared" si="20"/>
        <v/>
      </c>
      <c r="AH25" s="837" t="str">
        <f t="shared" si="21"/>
        <v/>
      </c>
      <c r="AI25" s="856">
        <f t="shared" si="22"/>
        <v>0</v>
      </c>
      <c r="AJ25" s="863">
        <f t="shared" si="23"/>
        <v>0</v>
      </c>
      <c r="AK25" s="1390">
        <v>1</v>
      </c>
      <c r="AL25" s="1392">
        <f t="shared" si="25"/>
        <v>0</v>
      </c>
      <c r="AM25" s="1921">
        <f t="shared" si="24"/>
        <v>0</v>
      </c>
    </row>
    <row r="26" spans="2:39" ht="27" customHeight="1" thickBot="1">
      <c r="B26" s="851">
        <v>16</v>
      </c>
      <c r="C26" s="854" t="s">
        <v>924</v>
      </c>
      <c r="D26" s="855">
        <v>0.24</v>
      </c>
      <c r="E26" s="857" t="s">
        <v>150</v>
      </c>
      <c r="F26" s="912">
        <v>0</v>
      </c>
      <c r="G26" s="998">
        <v>0</v>
      </c>
      <c r="H26" s="999">
        <f t="shared" si="0"/>
        <v>0</v>
      </c>
      <c r="I26" s="1391">
        <f t="shared" si="3"/>
        <v>0</v>
      </c>
      <c r="J26" s="1147">
        <v>0</v>
      </c>
      <c r="K26" s="1141" t="s">
        <v>8</v>
      </c>
      <c r="L26" s="914">
        <v>0</v>
      </c>
      <c r="M26" s="913"/>
      <c r="N26" s="1922"/>
      <c r="O26" s="1090">
        <v>0</v>
      </c>
      <c r="P26" s="1094">
        <f t="shared" si="4"/>
        <v>1</v>
      </c>
      <c r="Q26" s="1142">
        <f t="shared" si="5"/>
        <v>0</v>
      </c>
      <c r="R26" s="1001">
        <f t="shared" si="6"/>
        <v>0</v>
      </c>
      <c r="S26" s="1143">
        <v>0</v>
      </c>
      <c r="T26" s="1145">
        <f t="shared" si="7"/>
        <v>0</v>
      </c>
      <c r="U26" s="1145">
        <f t="shared" si="8"/>
        <v>0</v>
      </c>
      <c r="V26" s="1146">
        <f t="shared" si="9"/>
        <v>0</v>
      </c>
      <c r="W26" s="1000" t="str">
        <f t="shared" si="10"/>
        <v/>
      </c>
      <c r="X26" s="856">
        <f t="shared" si="11"/>
        <v>0</v>
      </c>
      <c r="Y26" s="856">
        <f t="shared" si="12"/>
        <v>0</v>
      </c>
      <c r="Z26" s="856">
        <f t="shared" si="13"/>
        <v>0</v>
      </c>
      <c r="AA26" s="856">
        <f t="shared" si="14"/>
        <v>0</v>
      </c>
      <c r="AB26" s="856">
        <f t="shared" si="15"/>
        <v>0</v>
      </c>
      <c r="AC26" s="856">
        <f t="shared" si="16"/>
        <v>0</v>
      </c>
      <c r="AD26" s="892" t="str">
        <f t="shared" si="17"/>
        <v/>
      </c>
      <c r="AE26" s="856">
        <f t="shared" si="18"/>
        <v>0</v>
      </c>
      <c r="AF26" s="1089" t="str">
        <f t="shared" si="19"/>
        <v/>
      </c>
      <c r="AG26" s="917" t="str">
        <f t="shared" si="20"/>
        <v/>
      </c>
      <c r="AH26" s="837" t="str">
        <f t="shared" si="21"/>
        <v/>
      </c>
      <c r="AI26" s="856">
        <f t="shared" si="22"/>
        <v>0</v>
      </c>
      <c r="AJ26" s="863">
        <f t="shared" si="23"/>
        <v>0</v>
      </c>
      <c r="AK26" s="1390">
        <v>1</v>
      </c>
      <c r="AL26" s="1392">
        <f t="shared" si="25"/>
        <v>0</v>
      </c>
      <c r="AM26" s="1921">
        <f t="shared" si="24"/>
        <v>0</v>
      </c>
    </row>
    <row r="27" spans="2:39" ht="27" customHeight="1" thickBot="1">
      <c r="B27" s="851">
        <v>17</v>
      </c>
      <c r="C27" s="854"/>
      <c r="D27" s="855">
        <v>0.24</v>
      </c>
      <c r="E27" s="857" t="s">
        <v>150</v>
      </c>
      <c r="F27" s="912">
        <v>0</v>
      </c>
      <c r="G27" s="998">
        <v>0</v>
      </c>
      <c r="H27" s="999">
        <f t="shared" si="0"/>
        <v>0</v>
      </c>
      <c r="I27" s="1391">
        <f t="shared" si="3"/>
        <v>0</v>
      </c>
      <c r="J27" s="1147">
        <v>0</v>
      </c>
      <c r="K27" s="1141" t="s">
        <v>8</v>
      </c>
      <c r="L27" s="914">
        <v>0</v>
      </c>
      <c r="M27" s="913"/>
      <c r="N27" s="1922"/>
      <c r="O27" s="1090">
        <v>0</v>
      </c>
      <c r="P27" s="1094">
        <f t="shared" si="4"/>
        <v>1</v>
      </c>
      <c r="Q27" s="1142">
        <f t="shared" si="5"/>
        <v>0</v>
      </c>
      <c r="R27" s="1001">
        <f t="shared" si="6"/>
        <v>0</v>
      </c>
      <c r="S27" s="1143">
        <v>0</v>
      </c>
      <c r="T27" s="1145">
        <f t="shared" si="7"/>
        <v>0</v>
      </c>
      <c r="U27" s="1145">
        <f t="shared" si="8"/>
        <v>0</v>
      </c>
      <c r="V27" s="1146">
        <f t="shared" si="9"/>
        <v>0</v>
      </c>
      <c r="W27" s="1000" t="str">
        <f t="shared" si="10"/>
        <v/>
      </c>
      <c r="X27" s="856">
        <f t="shared" si="11"/>
        <v>0</v>
      </c>
      <c r="Y27" s="856">
        <f t="shared" si="12"/>
        <v>0</v>
      </c>
      <c r="Z27" s="856">
        <f t="shared" si="13"/>
        <v>0</v>
      </c>
      <c r="AA27" s="856">
        <f t="shared" si="14"/>
        <v>0</v>
      </c>
      <c r="AB27" s="856">
        <f t="shared" si="15"/>
        <v>0</v>
      </c>
      <c r="AC27" s="856">
        <f t="shared" si="16"/>
        <v>0</v>
      </c>
      <c r="AD27" s="892" t="str">
        <f t="shared" si="17"/>
        <v/>
      </c>
      <c r="AE27" s="856">
        <f t="shared" si="18"/>
        <v>0</v>
      </c>
      <c r="AF27" s="1089" t="str">
        <f t="shared" si="19"/>
        <v/>
      </c>
      <c r="AG27" s="917" t="str">
        <f t="shared" si="20"/>
        <v/>
      </c>
      <c r="AH27" s="837" t="str">
        <f t="shared" si="21"/>
        <v/>
      </c>
      <c r="AI27" s="856">
        <f t="shared" si="22"/>
        <v>0</v>
      </c>
      <c r="AJ27" s="863">
        <f t="shared" si="23"/>
        <v>0</v>
      </c>
      <c r="AK27" s="1390">
        <v>1</v>
      </c>
      <c r="AL27" s="1392">
        <f t="shared" si="25"/>
        <v>0</v>
      </c>
      <c r="AM27" s="1921">
        <f t="shared" si="24"/>
        <v>0</v>
      </c>
    </row>
    <row r="28" spans="2:39" ht="27" customHeight="1" thickBot="1">
      <c r="B28" s="851">
        <v>18</v>
      </c>
      <c r="C28" s="854"/>
      <c r="D28" s="855">
        <v>0.24</v>
      </c>
      <c r="E28" s="857" t="s">
        <v>150</v>
      </c>
      <c r="F28" s="912">
        <v>0</v>
      </c>
      <c r="G28" s="998">
        <v>0</v>
      </c>
      <c r="H28" s="999">
        <f t="shared" si="0"/>
        <v>0</v>
      </c>
      <c r="I28" s="1391">
        <f t="shared" si="3"/>
        <v>0</v>
      </c>
      <c r="J28" s="1147">
        <v>0</v>
      </c>
      <c r="K28" s="1141" t="s">
        <v>8</v>
      </c>
      <c r="L28" s="914">
        <v>0</v>
      </c>
      <c r="M28" s="913"/>
      <c r="N28" s="1922"/>
      <c r="O28" s="1090">
        <v>0</v>
      </c>
      <c r="P28" s="1094">
        <f t="shared" si="4"/>
        <v>1</v>
      </c>
      <c r="Q28" s="1142">
        <f t="shared" si="5"/>
        <v>0</v>
      </c>
      <c r="R28" s="1001">
        <f t="shared" si="6"/>
        <v>0</v>
      </c>
      <c r="S28" s="1143">
        <v>0</v>
      </c>
      <c r="T28" s="1145">
        <f t="shared" si="7"/>
        <v>0</v>
      </c>
      <c r="U28" s="1145">
        <f t="shared" si="8"/>
        <v>0</v>
      </c>
      <c r="V28" s="1146">
        <f t="shared" si="9"/>
        <v>0</v>
      </c>
      <c r="W28" s="1000" t="str">
        <f t="shared" si="10"/>
        <v/>
      </c>
      <c r="X28" s="856">
        <f t="shared" si="11"/>
        <v>0</v>
      </c>
      <c r="Y28" s="856">
        <f t="shared" si="12"/>
        <v>0</v>
      </c>
      <c r="Z28" s="856">
        <f t="shared" si="13"/>
        <v>0</v>
      </c>
      <c r="AA28" s="856">
        <f t="shared" si="14"/>
        <v>0</v>
      </c>
      <c r="AB28" s="856">
        <f t="shared" si="15"/>
        <v>0</v>
      </c>
      <c r="AC28" s="856">
        <f t="shared" si="16"/>
        <v>0</v>
      </c>
      <c r="AD28" s="892" t="str">
        <f t="shared" si="17"/>
        <v/>
      </c>
      <c r="AE28" s="856">
        <f t="shared" si="18"/>
        <v>0</v>
      </c>
      <c r="AF28" s="1089" t="str">
        <f t="shared" si="19"/>
        <v/>
      </c>
      <c r="AG28" s="917" t="str">
        <f t="shared" si="20"/>
        <v/>
      </c>
      <c r="AH28" s="837" t="str">
        <f t="shared" si="21"/>
        <v/>
      </c>
      <c r="AI28" s="856">
        <f t="shared" si="22"/>
        <v>0</v>
      </c>
      <c r="AJ28" s="863">
        <f t="shared" si="23"/>
        <v>0</v>
      </c>
      <c r="AK28" s="1390">
        <v>1</v>
      </c>
      <c r="AL28" s="1392">
        <f t="shared" si="25"/>
        <v>0</v>
      </c>
      <c r="AM28" s="1921">
        <f t="shared" si="24"/>
        <v>0</v>
      </c>
    </row>
    <row r="29" spans="2:39" ht="27" customHeight="1" thickBot="1">
      <c r="B29" s="851">
        <v>19</v>
      </c>
      <c r="C29" s="854"/>
      <c r="D29" s="855">
        <v>0.24</v>
      </c>
      <c r="E29" s="857" t="s">
        <v>150</v>
      </c>
      <c r="F29" s="912">
        <v>0</v>
      </c>
      <c r="G29" s="998">
        <v>0</v>
      </c>
      <c r="H29" s="999">
        <f t="shared" si="0"/>
        <v>0</v>
      </c>
      <c r="I29" s="1391">
        <f t="shared" si="3"/>
        <v>0</v>
      </c>
      <c r="J29" s="1147">
        <v>0</v>
      </c>
      <c r="K29" s="1141" t="s">
        <v>8</v>
      </c>
      <c r="L29" s="914">
        <v>0</v>
      </c>
      <c r="M29" s="913"/>
      <c r="N29" s="1922"/>
      <c r="O29" s="1090">
        <v>0</v>
      </c>
      <c r="P29" s="1094">
        <f t="shared" si="4"/>
        <v>1</v>
      </c>
      <c r="Q29" s="1142">
        <f t="shared" si="5"/>
        <v>0</v>
      </c>
      <c r="R29" s="1001">
        <f t="shared" si="6"/>
        <v>0</v>
      </c>
      <c r="S29" s="1143">
        <v>0</v>
      </c>
      <c r="T29" s="1145">
        <f t="shared" si="7"/>
        <v>0</v>
      </c>
      <c r="U29" s="1145">
        <f t="shared" si="8"/>
        <v>0</v>
      </c>
      <c r="V29" s="1146">
        <f t="shared" si="9"/>
        <v>0</v>
      </c>
      <c r="W29" s="1000" t="str">
        <f t="shared" si="10"/>
        <v/>
      </c>
      <c r="X29" s="856">
        <f t="shared" si="11"/>
        <v>0</v>
      </c>
      <c r="Y29" s="856">
        <f t="shared" si="12"/>
        <v>0</v>
      </c>
      <c r="Z29" s="856">
        <f t="shared" si="13"/>
        <v>0</v>
      </c>
      <c r="AA29" s="856">
        <f t="shared" si="14"/>
        <v>0</v>
      </c>
      <c r="AB29" s="856">
        <f t="shared" si="15"/>
        <v>0</v>
      </c>
      <c r="AC29" s="856">
        <f t="shared" si="16"/>
        <v>0</v>
      </c>
      <c r="AD29" s="892" t="str">
        <f t="shared" si="17"/>
        <v/>
      </c>
      <c r="AE29" s="856">
        <f t="shared" si="18"/>
        <v>0</v>
      </c>
      <c r="AF29" s="1089" t="str">
        <f t="shared" si="19"/>
        <v/>
      </c>
      <c r="AG29" s="917" t="str">
        <f t="shared" si="20"/>
        <v/>
      </c>
      <c r="AH29" s="837" t="str">
        <f t="shared" si="21"/>
        <v/>
      </c>
      <c r="AI29" s="856">
        <f t="shared" si="22"/>
        <v>0</v>
      </c>
      <c r="AJ29" s="863">
        <f t="shared" si="23"/>
        <v>0</v>
      </c>
      <c r="AK29" s="1390">
        <v>1</v>
      </c>
      <c r="AL29" s="1392">
        <f t="shared" si="25"/>
        <v>0</v>
      </c>
      <c r="AM29" s="1921">
        <f t="shared" si="24"/>
        <v>0</v>
      </c>
    </row>
    <row r="30" spans="2:39" ht="27" customHeight="1" thickBot="1">
      <c r="B30" s="851">
        <v>20</v>
      </c>
      <c r="C30" s="854"/>
      <c r="D30" s="855">
        <v>0.24</v>
      </c>
      <c r="E30" s="857" t="s">
        <v>150</v>
      </c>
      <c r="F30" s="912">
        <v>0</v>
      </c>
      <c r="G30" s="998">
        <v>0</v>
      </c>
      <c r="H30" s="999">
        <f t="shared" si="0"/>
        <v>0</v>
      </c>
      <c r="I30" s="1391">
        <f t="shared" si="3"/>
        <v>0</v>
      </c>
      <c r="J30" s="1147">
        <v>0</v>
      </c>
      <c r="K30" s="1141" t="s">
        <v>8</v>
      </c>
      <c r="L30" s="914">
        <v>0</v>
      </c>
      <c r="M30" s="913"/>
      <c r="N30" s="1922"/>
      <c r="O30" s="1090">
        <v>0</v>
      </c>
      <c r="P30" s="1094">
        <f t="shared" si="4"/>
        <v>1</v>
      </c>
      <c r="Q30" s="1142">
        <f t="shared" si="5"/>
        <v>0</v>
      </c>
      <c r="R30" s="1001">
        <f t="shared" si="6"/>
        <v>0</v>
      </c>
      <c r="S30" s="1143">
        <v>0</v>
      </c>
      <c r="T30" s="1145">
        <f t="shared" si="7"/>
        <v>0</v>
      </c>
      <c r="U30" s="1145">
        <f t="shared" si="8"/>
        <v>0</v>
      </c>
      <c r="V30" s="1146">
        <f t="shared" si="9"/>
        <v>0</v>
      </c>
      <c r="W30" s="1000" t="str">
        <f t="shared" si="10"/>
        <v/>
      </c>
      <c r="X30" s="856">
        <f t="shared" si="11"/>
        <v>0</v>
      </c>
      <c r="Y30" s="856">
        <f t="shared" si="12"/>
        <v>0</v>
      </c>
      <c r="Z30" s="856">
        <f t="shared" si="13"/>
        <v>0</v>
      </c>
      <c r="AA30" s="856">
        <f t="shared" si="14"/>
        <v>0</v>
      </c>
      <c r="AB30" s="856">
        <f t="shared" si="15"/>
        <v>0</v>
      </c>
      <c r="AC30" s="856">
        <f t="shared" si="16"/>
        <v>0</v>
      </c>
      <c r="AD30" s="892" t="str">
        <f t="shared" si="17"/>
        <v/>
      </c>
      <c r="AE30" s="856">
        <f t="shared" si="18"/>
        <v>0</v>
      </c>
      <c r="AF30" s="1089" t="str">
        <f t="shared" si="19"/>
        <v/>
      </c>
      <c r="AG30" s="917" t="str">
        <f t="shared" si="20"/>
        <v/>
      </c>
      <c r="AH30" s="837" t="str">
        <f t="shared" si="21"/>
        <v/>
      </c>
      <c r="AI30" s="856">
        <f t="shared" si="22"/>
        <v>0</v>
      </c>
      <c r="AJ30" s="863">
        <f t="shared" si="23"/>
        <v>0</v>
      </c>
      <c r="AK30" s="1390">
        <v>1</v>
      </c>
      <c r="AL30" s="1392">
        <f t="shared" si="25"/>
        <v>0</v>
      </c>
      <c r="AM30" s="1921">
        <f t="shared" si="24"/>
        <v>0</v>
      </c>
    </row>
    <row r="31" spans="2:39" ht="27" customHeight="1" thickBot="1">
      <c r="B31" s="851">
        <v>21</v>
      </c>
      <c r="C31" s="854"/>
      <c r="D31" s="855">
        <v>0.24</v>
      </c>
      <c r="E31" s="857" t="s">
        <v>150</v>
      </c>
      <c r="F31" s="912">
        <v>0</v>
      </c>
      <c r="G31" s="998">
        <v>0</v>
      </c>
      <c r="H31" s="999">
        <f t="shared" si="0"/>
        <v>0</v>
      </c>
      <c r="I31" s="1391">
        <f t="shared" si="3"/>
        <v>0</v>
      </c>
      <c r="J31" s="1147">
        <v>0</v>
      </c>
      <c r="K31" s="1141" t="s">
        <v>8</v>
      </c>
      <c r="L31" s="914">
        <v>0</v>
      </c>
      <c r="M31" s="913"/>
      <c r="N31" s="1922"/>
      <c r="O31" s="1090">
        <v>0</v>
      </c>
      <c r="P31" s="1094">
        <f t="shared" si="4"/>
        <v>1</v>
      </c>
      <c r="Q31" s="1142">
        <f t="shared" si="5"/>
        <v>0</v>
      </c>
      <c r="R31" s="1001">
        <f t="shared" si="6"/>
        <v>0</v>
      </c>
      <c r="S31" s="1143">
        <v>0</v>
      </c>
      <c r="T31" s="1145">
        <f t="shared" si="7"/>
        <v>0</v>
      </c>
      <c r="U31" s="1145">
        <f t="shared" si="8"/>
        <v>0</v>
      </c>
      <c r="V31" s="1146">
        <f t="shared" si="9"/>
        <v>0</v>
      </c>
      <c r="W31" s="1000" t="str">
        <f t="shared" si="10"/>
        <v/>
      </c>
      <c r="X31" s="856">
        <f t="shared" si="11"/>
        <v>0</v>
      </c>
      <c r="Y31" s="856">
        <f t="shared" si="12"/>
        <v>0</v>
      </c>
      <c r="Z31" s="856">
        <f t="shared" si="13"/>
        <v>0</v>
      </c>
      <c r="AA31" s="856">
        <f t="shared" si="14"/>
        <v>0</v>
      </c>
      <c r="AB31" s="856">
        <f t="shared" si="15"/>
        <v>0</v>
      </c>
      <c r="AC31" s="856">
        <f t="shared" si="16"/>
        <v>0</v>
      </c>
      <c r="AD31" s="892" t="str">
        <f t="shared" si="17"/>
        <v/>
      </c>
      <c r="AE31" s="856">
        <f t="shared" si="18"/>
        <v>0</v>
      </c>
      <c r="AF31" s="1089" t="str">
        <f t="shared" si="19"/>
        <v/>
      </c>
      <c r="AG31" s="917" t="str">
        <f t="shared" si="20"/>
        <v/>
      </c>
      <c r="AH31" s="837" t="str">
        <f t="shared" si="21"/>
        <v/>
      </c>
      <c r="AI31" s="856">
        <f t="shared" si="22"/>
        <v>0</v>
      </c>
      <c r="AJ31" s="863">
        <f t="shared" si="23"/>
        <v>0</v>
      </c>
      <c r="AK31" s="1390">
        <v>1</v>
      </c>
      <c r="AL31" s="1392">
        <f t="shared" si="25"/>
        <v>0</v>
      </c>
      <c r="AM31" s="1921">
        <f t="shared" si="24"/>
        <v>0</v>
      </c>
    </row>
    <row r="32" spans="2:39" ht="27" customHeight="1" thickBot="1">
      <c r="B32" s="851">
        <v>22</v>
      </c>
      <c r="C32" s="854"/>
      <c r="D32" s="855">
        <v>0.24</v>
      </c>
      <c r="E32" s="857" t="s">
        <v>150</v>
      </c>
      <c r="F32" s="912">
        <v>0</v>
      </c>
      <c r="G32" s="998">
        <v>0</v>
      </c>
      <c r="H32" s="999">
        <f t="shared" si="0"/>
        <v>0</v>
      </c>
      <c r="I32" s="1391">
        <f t="shared" si="3"/>
        <v>0</v>
      </c>
      <c r="J32" s="1147">
        <v>0</v>
      </c>
      <c r="K32" s="1141" t="s">
        <v>8</v>
      </c>
      <c r="L32" s="914">
        <v>0</v>
      </c>
      <c r="M32" s="913"/>
      <c r="N32" s="1922"/>
      <c r="O32" s="1090">
        <v>0</v>
      </c>
      <c r="P32" s="1094">
        <f t="shared" si="4"/>
        <v>1</v>
      </c>
      <c r="Q32" s="1142">
        <f t="shared" si="5"/>
        <v>0</v>
      </c>
      <c r="R32" s="1001">
        <f t="shared" si="6"/>
        <v>0</v>
      </c>
      <c r="S32" s="1143">
        <v>0</v>
      </c>
      <c r="T32" s="1145">
        <f t="shared" si="7"/>
        <v>0</v>
      </c>
      <c r="U32" s="1145">
        <f t="shared" si="8"/>
        <v>0</v>
      </c>
      <c r="V32" s="1146">
        <f t="shared" si="9"/>
        <v>0</v>
      </c>
      <c r="W32" s="1000" t="str">
        <f t="shared" si="10"/>
        <v/>
      </c>
      <c r="X32" s="856">
        <f t="shared" si="11"/>
        <v>0</v>
      </c>
      <c r="Y32" s="856">
        <f t="shared" si="12"/>
        <v>0</v>
      </c>
      <c r="Z32" s="856">
        <f t="shared" si="13"/>
        <v>0</v>
      </c>
      <c r="AA32" s="856">
        <f t="shared" si="14"/>
        <v>0</v>
      </c>
      <c r="AB32" s="856">
        <f t="shared" si="15"/>
        <v>0</v>
      </c>
      <c r="AC32" s="856">
        <f t="shared" si="16"/>
        <v>0</v>
      </c>
      <c r="AD32" s="892" t="str">
        <f t="shared" si="17"/>
        <v/>
      </c>
      <c r="AE32" s="856">
        <f t="shared" si="18"/>
        <v>0</v>
      </c>
      <c r="AF32" s="1089" t="str">
        <f t="shared" si="19"/>
        <v/>
      </c>
      <c r="AG32" s="917" t="str">
        <f t="shared" si="20"/>
        <v/>
      </c>
      <c r="AH32" s="837" t="str">
        <f t="shared" si="21"/>
        <v/>
      </c>
      <c r="AI32" s="856">
        <f t="shared" si="22"/>
        <v>0</v>
      </c>
      <c r="AJ32" s="863">
        <f t="shared" si="23"/>
        <v>0</v>
      </c>
      <c r="AK32" s="1390">
        <v>1</v>
      </c>
      <c r="AL32" s="1392">
        <f t="shared" si="25"/>
        <v>0</v>
      </c>
      <c r="AM32" s="1921">
        <f t="shared" si="24"/>
        <v>0</v>
      </c>
    </row>
    <row r="33" spans="1:39" ht="27" customHeight="1" thickBot="1">
      <c r="B33" s="851">
        <v>23</v>
      </c>
      <c r="C33" s="854"/>
      <c r="D33" s="855">
        <v>0.24</v>
      </c>
      <c r="E33" s="857" t="s">
        <v>150</v>
      </c>
      <c r="F33" s="912">
        <v>0</v>
      </c>
      <c r="G33" s="998">
        <v>0</v>
      </c>
      <c r="H33" s="999">
        <f t="shared" si="0"/>
        <v>0</v>
      </c>
      <c r="I33" s="1391">
        <f t="shared" si="3"/>
        <v>0</v>
      </c>
      <c r="J33" s="1147">
        <v>0</v>
      </c>
      <c r="K33" s="1141" t="s">
        <v>8</v>
      </c>
      <c r="L33" s="914">
        <v>0</v>
      </c>
      <c r="M33" s="913"/>
      <c r="N33" s="1922"/>
      <c r="O33" s="1090">
        <v>0</v>
      </c>
      <c r="P33" s="1094">
        <f t="shared" si="4"/>
        <v>1</v>
      </c>
      <c r="Q33" s="1142">
        <f t="shared" si="5"/>
        <v>0</v>
      </c>
      <c r="R33" s="1001">
        <f t="shared" si="6"/>
        <v>0</v>
      </c>
      <c r="S33" s="1143">
        <v>0</v>
      </c>
      <c r="T33" s="1145">
        <f t="shared" si="7"/>
        <v>0</v>
      </c>
      <c r="U33" s="1145">
        <f t="shared" si="8"/>
        <v>0</v>
      </c>
      <c r="V33" s="1146">
        <f t="shared" si="9"/>
        <v>0</v>
      </c>
      <c r="W33" s="1000" t="str">
        <f t="shared" si="10"/>
        <v/>
      </c>
      <c r="X33" s="856">
        <f t="shared" si="11"/>
        <v>0</v>
      </c>
      <c r="Y33" s="856">
        <f t="shared" si="12"/>
        <v>0</v>
      </c>
      <c r="Z33" s="856">
        <f t="shared" si="13"/>
        <v>0</v>
      </c>
      <c r="AA33" s="856">
        <f t="shared" si="14"/>
        <v>0</v>
      </c>
      <c r="AB33" s="856">
        <f t="shared" si="15"/>
        <v>0</v>
      </c>
      <c r="AC33" s="856">
        <f t="shared" si="16"/>
        <v>0</v>
      </c>
      <c r="AD33" s="892" t="str">
        <f t="shared" si="17"/>
        <v/>
      </c>
      <c r="AE33" s="856">
        <f t="shared" si="18"/>
        <v>0</v>
      </c>
      <c r="AF33" s="1089" t="str">
        <f t="shared" si="19"/>
        <v/>
      </c>
      <c r="AG33" s="917" t="str">
        <f t="shared" si="20"/>
        <v/>
      </c>
      <c r="AH33" s="837" t="str">
        <f t="shared" si="21"/>
        <v/>
      </c>
      <c r="AI33" s="856">
        <f t="shared" si="22"/>
        <v>0</v>
      </c>
      <c r="AJ33" s="863">
        <f t="shared" si="23"/>
        <v>0</v>
      </c>
      <c r="AK33" s="1390">
        <v>1</v>
      </c>
      <c r="AL33" s="1392">
        <f t="shared" si="25"/>
        <v>0</v>
      </c>
      <c r="AM33" s="1921">
        <f t="shared" si="24"/>
        <v>0</v>
      </c>
    </row>
    <row r="34" spans="1:39" ht="27" customHeight="1" thickBot="1">
      <c r="B34" s="851">
        <v>24</v>
      </c>
      <c r="C34" s="854"/>
      <c r="D34" s="855">
        <v>0.24</v>
      </c>
      <c r="E34" s="857" t="s">
        <v>150</v>
      </c>
      <c r="F34" s="912">
        <v>0</v>
      </c>
      <c r="G34" s="998">
        <v>0</v>
      </c>
      <c r="H34" s="999">
        <f t="shared" si="0"/>
        <v>0</v>
      </c>
      <c r="I34" s="1391">
        <f t="shared" si="3"/>
        <v>0</v>
      </c>
      <c r="J34" s="1147">
        <v>0</v>
      </c>
      <c r="K34" s="1141" t="s">
        <v>8</v>
      </c>
      <c r="L34" s="914">
        <v>0</v>
      </c>
      <c r="M34" s="913"/>
      <c r="N34" s="1922"/>
      <c r="O34" s="1090">
        <v>0.3</v>
      </c>
      <c r="P34" s="1094">
        <f t="shared" si="4"/>
        <v>1.4285714285714286</v>
      </c>
      <c r="Q34" s="1142">
        <f t="shared" si="5"/>
        <v>0</v>
      </c>
      <c r="R34" s="1001">
        <f t="shared" si="6"/>
        <v>0</v>
      </c>
      <c r="S34" s="1143">
        <v>0</v>
      </c>
      <c r="T34" s="1145">
        <f t="shared" si="7"/>
        <v>0</v>
      </c>
      <c r="U34" s="1145">
        <f t="shared" si="8"/>
        <v>0</v>
      </c>
      <c r="V34" s="1146">
        <f t="shared" si="9"/>
        <v>0</v>
      </c>
      <c r="W34" s="1000" t="str">
        <f t="shared" si="10"/>
        <v/>
      </c>
      <c r="X34" s="856">
        <f t="shared" si="11"/>
        <v>0</v>
      </c>
      <c r="Y34" s="856">
        <f t="shared" si="12"/>
        <v>0</v>
      </c>
      <c r="Z34" s="856">
        <f t="shared" si="13"/>
        <v>0</v>
      </c>
      <c r="AA34" s="856">
        <f t="shared" si="14"/>
        <v>0</v>
      </c>
      <c r="AB34" s="856">
        <f t="shared" si="15"/>
        <v>0</v>
      </c>
      <c r="AC34" s="856">
        <f t="shared" si="16"/>
        <v>0</v>
      </c>
      <c r="AD34" s="892" t="str">
        <f t="shared" si="17"/>
        <v/>
      </c>
      <c r="AE34" s="856">
        <f t="shared" si="18"/>
        <v>0</v>
      </c>
      <c r="AF34" s="1089" t="str">
        <f t="shared" si="19"/>
        <v/>
      </c>
      <c r="AG34" s="917" t="str">
        <f t="shared" si="20"/>
        <v/>
      </c>
      <c r="AH34" s="837" t="str">
        <f t="shared" si="21"/>
        <v/>
      </c>
      <c r="AI34" s="856">
        <f t="shared" si="22"/>
        <v>0</v>
      </c>
      <c r="AJ34" s="863">
        <f t="shared" si="23"/>
        <v>0</v>
      </c>
      <c r="AK34" s="1390">
        <v>1</v>
      </c>
      <c r="AL34" s="1392">
        <f t="shared" si="25"/>
        <v>0</v>
      </c>
      <c r="AM34" s="1921">
        <f t="shared" si="24"/>
        <v>0</v>
      </c>
    </row>
    <row r="35" spans="1:39" ht="27" customHeight="1" thickBot="1">
      <c r="B35" s="851">
        <v>25</v>
      </c>
      <c r="C35" s="1912"/>
      <c r="D35" s="855">
        <v>0.24</v>
      </c>
      <c r="E35" s="857" t="s">
        <v>150</v>
      </c>
      <c r="F35" s="912">
        <v>0</v>
      </c>
      <c r="G35" s="998">
        <v>0</v>
      </c>
      <c r="H35" s="999">
        <f t="shared" si="0"/>
        <v>0</v>
      </c>
      <c r="I35" s="1391">
        <f t="shared" si="3"/>
        <v>0</v>
      </c>
      <c r="J35" s="1147">
        <v>0</v>
      </c>
      <c r="K35" s="1141" t="s">
        <v>8</v>
      </c>
      <c r="L35" s="914">
        <v>0</v>
      </c>
      <c r="M35" s="913"/>
      <c r="N35" s="1922"/>
      <c r="O35" s="1090">
        <v>0.3</v>
      </c>
      <c r="P35" s="1094">
        <f t="shared" si="4"/>
        <v>1.4285714285714286</v>
      </c>
      <c r="Q35" s="1142">
        <f t="shared" si="5"/>
        <v>0</v>
      </c>
      <c r="R35" s="1001">
        <f t="shared" si="6"/>
        <v>0</v>
      </c>
      <c r="S35" s="1143">
        <v>0</v>
      </c>
      <c r="T35" s="1145">
        <f t="shared" si="7"/>
        <v>0</v>
      </c>
      <c r="U35" s="1145">
        <f t="shared" si="8"/>
        <v>0</v>
      </c>
      <c r="V35" s="1146">
        <f t="shared" si="9"/>
        <v>0</v>
      </c>
      <c r="W35" s="1000" t="str">
        <f t="shared" si="10"/>
        <v/>
      </c>
      <c r="X35" s="856">
        <f t="shared" si="11"/>
        <v>0</v>
      </c>
      <c r="Y35" s="856">
        <f t="shared" si="12"/>
        <v>0</v>
      </c>
      <c r="Z35" s="856">
        <f t="shared" si="13"/>
        <v>0</v>
      </c>
      <c r="AA35" s="856">
        <f t="shared" si="14"/>
        <v>0</v>
      </c>
      <c r="AB35" s="856">
        <f t="shared" si="15"/>
        <v>0</v>
      </c>
      <c r="AC35" s="856">
        <f t="shared" si="16"/>
        <v>0</v>
      </c>
      <c r="AD35" s="892" t="str">
        <f t="shared" si="17"/>
        <v/>
      </c>
      <c r="AE35" s="856">
        <f t="shared" si="18"/>
        <v>0</v>
      </c>
      <c r="AF35" s="1089" t="str">
        <f t="shared" si="19"/>
        <v/>
      </c>
      <c r="AG35" s="917" t="str">
        <f t="shared" si="20"/>
        <v/>
      </c>
      <c r="AH35" s="837" t="str">
        <f t="shared" si="21"/>
        <v/>
      </c>
      <c r="AI35" s="856">
        <f t="shared" si="22"/>
        <v>0</v>
      </c>
      <c r="AJ35" s="863">
        <f t="shared" si="23"/>
        <v>0</v>
      </c>
      <c r="AK35" s="1390">
        <v>1</v>
      </c>
      <c r="AL35" s="1392">
        <f t="shared" si="25"/>
        <v>0</v>
      </c>
      <c r="AM35" s="1921">
        <f t="shared" si="24"/>
        <v>0</v>
      </c>
    </row>
    <row r="36" spans="1:39" ht="27" customHeight="1" thickBot="1">
      <c r="A36" s="850"/>
      <c r="B36" s="851">
        <v>26</v>
      </c>
      <c r="C36" s="854"/>
      <c r="D36" s="855">
        <v>0.24</v>
      </c>
      <c r="E36" s="857" t="s">
        <v>150</v>
      </c>
      <c r="F36" s="912">
        <v>0</v>
      </c>
      <c r="G36" s="998">
        <v>0</v>
      </c>
      <c r="H36" s="999">
        <f t="shared" si="0"/>
        <v>0</v>
      </c>
      <c r="I36" s="1391">
        <f t="shared" si="3"/>
        <v>0</v>
      </c>
      <c r="J36" s="1147">
        <v>0</v>
      </c>
      <c r="K36" s="1141" t="s">
        <v>8</v>
      </c>
      <c r="L36" s="914">
        <v>0</v>
      </c>
      <c r="M36" s="913"/>
      <c r="N36" s="1922"/>
      <c r="O36" s="1090">
        <v>0.3</v>
      </c>
      <c r="P36" s="1094">
        <f t="shared" si="4"/>
        <v>1.4285714285714286</v>
      </c>
      <c r="Q36" s="1142">
        <f t="shared" si="5"/>
        <v>0</v>
      </c>
      <c r="R36" s="1001">
        <f t="shared" si="6"/>
        <v>0</v>
      </c>
      <c r="S36" s="1143">
        <v>0</v>
      </c>
      <c r="T36" s="1145">
        <f t="shared" si="7"/>
        <v>0</v>
      </c>
      <c r="U36" s="1145">
        <f t="shared" si="8"/>
        <v>0</v>
      </c>
      <c r="V36" s="1146">
        <f t="shared" si="9"/>
        <v>0</v>
      </c>
      <c r="W36" s="1000" t="str">
        <f t="shared" si="10"/>
        <v/>
      </c>
      <c r="X36" s="856">
        <f t="shared" si="11"/>
        <v>0</v>
      </c>
      <c r="Y36" s="856">
        <f t="shared" si="12"/>
        <v>0</v>
      </c>
      <c r="Z36" s="856">
        <f t="shared" si="13"/>
        <v>0</v>
      </c>
      <c r="AA36" s="856">
        <f t="shared" si="14"/>
        <v>0</v>
      </c>
      <c r="AB36" s="856">
        <f t="shared" si="15"/>
        <v>0</v>
      </c>
      <c r="AC36" s="856">
        <f t="shared" si="16"/>
        <v>0</v>
      </c>
      <c r="AD36" s="892" t="str">
        <f t="shared" si="17"/>
        <v/>
      </c>
      <c r="AE36" s="856">
        <f t="shared" si="18"/>
        <v>0</v>
      </c>
      <c r="AF36" s="1089" t="str">
        <f t="shared" si="19"/>
        <v/>
      </c>
      <c r="AG36" s="917" t="str">
        <f t="shared" si="20"/>
        <v/>
      </c>
      <c r="AH36" s="837" t="str">
        <f t="shared" si="21"/>
        <v/>
      </c>
      <c r="AI36" s="856">
        <f t="shared" si="22"/>
        <v>0</v>
      </c>
      <c r="AJ36" s="863">
        <f t="shared" si="23"/>
        <v>0</v>
      </c>
      <c r="AK36" s="1390">
        <v>1</v>
      </c>
      <c r="AL36" s="1392">
        <f t="shared" si="25"/>
        <v>0</v>
      </c>
      <c r="AM36" s="1921">
        <f t="shared" si="24"/>
        <v>0</v>
      </c>
    </row>
    <row r="37" spans="1:39" ht="27" customHeight="1" thickBot="1">
      <c r="B37" s="851">
        <v>27</v>
      </c>
      <c r="C37" s="854"/>
      <c r="D37" s="855">
        <v>0.24</v>
      </c>
      <c r="E37" s="857" t="s">
        <v>150</v>
      </c>
      <c r="F37" s="912">
        <v>0</v>
      </c>
      <c r="G37" s="998">
        <v>0</v>
      </c>
      <c r="H37" s="999">
        <f t="shared" si="0"/>
        <v>0</v>
      </c>
      <c r="I37" s="1391">
        <f t="shared" si="3"/>
        <v>0</v>
      </c>
      <c r="J37" s="1147">
        <v>0</v>
      </c>
      <c r="K37" s="1141" t="s">
        <v>8</v>
      </c>
      <c r="L37" s="914">
        <v>0</v>
      </c>
      <c r="M37" s="913"/>
      <c r="N37" s="1922"/>
      <c r="O37" s="1090">
        <v>0.3</v>
      </c>
      <c r="P37" s="1094">
        <f t="shared" si="4"/>
        <v>1.4285714285714286</v>
      </c>
      <c r="Q37" s="1142">
        <f t="shared" si="5"/>
        <v>0</v>
      </c>
      <c r="R37" s="1001">
        <f t="shared" si="6"/>
        <v>0</v>
      </c>
      <c r="S37" s="1143">
        <v>0</v>
      </c>
      <c r="T37" s="1145">
        <f t="shared" si="7"/>
        <v>0</v>
      </c>
      <c r="U37" s="1145">
        <f t="shared" si="8"/>
        <v>0</v>
      </c>
      <c r="V37" s="1146">
        <f t="shared" si="9"/>
        <v>0</v>
      </c>
      <c r="W37" s="1000" t="str">
        <f t="shared" si="10"/>
        <v/>
      </c>
      <c r="X37" s="856">
        <f t="shared" si="11"/>
        <v>0</v>
      </c>
      <c r="Y37" s="856">
        <f t="shared" si="12"/>
        <v>0</v>
      </c>
      <c r="Z37" s="856">
        <f t="shared" si="13"/>
        <v>0</v>
      </c>
      <c r="AA37" s="856">
        <f t="shared" si="14"/>
        <v>0</v>
      </c>
      <c r="AB37" s="856">
        <f t="shared" si="15"/>
        <v>0</v>
      </c>
      <c r="AC37" s="856">
        <f t="shared" si="16"/>
        <v>0</v>
      </c>
      <c r="AD37" s="892" t="str">
        <f t="shared" si="17"/>
        <v/>
      </c>
      <c r="AE37" s="856">
        <f t="shared" si="18"/>
        <v>0</v>
      </c>
      <c r="AF37" s="1089" t="str">
        <f t="shared" si="19"/>
        <v/>
      </c>
      <c r="AG37" s="917" t="str">
        <f t="shared" si="20"/>
        <v/>
      </c>
      <c r="AH37" s="837" t="str">
        <f t="shared" si="21"/>
        <v/>
      </c>
      <c r="AI37" s="856">
        <f t="shared" si="22"/>
        <v>0</v>
      </c>
      <c r="AJ37" s="863">
        <f t="shared" si="23"/>
        <v>0</v>
      </c>
      <c r="AK37" s="1390">
        <v>1</v>
      </c>
      <c r="AL37" s="1392">
        <f t="shared" si="25"/>
        <v>0</v>
      </c>
      <c r="AM37" s="1921">
        <f t="shared" si="24"/>
        <v>0</v>
      </c>
    </row>
    <row r="38" spans="1:39" ht="27" customHeight="1" thickBot="1">
      <c r="B38" s="851">
        <v>28</v>
      </c>
      <c r="C38" s="854"/>
      <c r="D38" s="855">
        <v>0.24</v>
      </c>
      <c r="E38" s="857" t="s">
        <v>150</v>
      </c>
      <c r="F38" s="912">
        <v>0</v>
      </c>
      <c r="G38" s="998">
        <v>0</v>
      </c>
      <c r="H38" s="999">
        <f t="shared" si="0"/>
        <v>0</v>
      </c>
      <c r="I38" s="1391">
        <f t="shared" si="3"/>
        <v>0</v>
      </c>
      <c r="J38" s="1147">
        <v>0</v>
      </c>
      <c r="K38" s="1141" t="s">
        <v>8</v>
      </c>
      <c r="L38" s="914">
        <v>0</v>
      </c>
      <c r="M38" s="913"/>
      <c r="N38" s="1922"/>
      <c r="O38" s="1090">
        <v>0.3</v>
      </c>
      <c r="P38" s="1094">
        <f t="shared" si="4"/>
        <v>1.4285714285714286</v>
      </c>
      <c r="Q38" s="1142">
        <f t="shared" si="5"/>
        <v>0</v>
      </c>
      <c r="R38" s="1001">
        <f t="shared" si="6"/>
        <v>0</v>
      </c>
      <c r="S38" s="1143">
        <v>0</v>
      </c>
      <c r="T38" s="1145">
        <f t="shared" si="7"/>
        <v>0</v>
      </c>
      <c r="U38" s="1145">
        <f t="shared" si="8"/>
        <v>0</v>
      </c>
      <c r="V38" s="1146">
        <f t="shared" si="9"/>
        <v>0</v>
      </c>
      <c r="W38" s="1000" t="str">
        <f t="shared" si="10"/>
        <v/>
      </c>
      <c r="X38" s="856">
        <f t="shared" si="11"/>
        <v>0</v>
      </c>
      <c r="Y38" s="856">
        <f t="shared" si="12"/>
        <v>0</v>
      </c>
      <c r="Z38" s="856">
        <f t="shared" si="13"/>
        <v>0</v>
      </c>
      <c r="AA38" s="856">
        <f t="shared" si="14"/>
        <v>0</v>
      </c>
      <c r="AB38" s="856">
        <f t="shared" si="15"/>
        <v>0</v>
      </c>
      <c r="AC38" s="856">
        <f t="shared" si="16"/>
        <v>0</v>
      </c>
      <c r="AD38" s="892" t="str">
        <f t="shared" si="17"/>
        <v/>
      </c>
      <c r="AE38" s="856">
        <f t="shared" si="18"/>
        <v>0</v>
      </c>
      <c r="AF38" s="1089" t="str">
        <f t="shared" si="19"/>
        <v/>
      </c>
      <c r="AG38" s="917" t="str">
        <f t="shared" si="20"/>
        <v/>
      </c>
      <c r="AH38" s="837" t="str">
        <f t="shared" si="21"/>
        <v/>
      </c>
      <c r="AI38" s="856">
        <f t="shared" si="22"/>
        <v>0</v>
      </c>
      <c r="AJ38" s="863">
        <f t="shared" si="23"/>
        <v>0</v>
      </c>
      <c r="AK38" s="1390">
        <v>1</v>
      </c>
      <c r="AL38" s="1392">
        <f t="shared" si="25"/>
        <v>0</v>
      </c>
      <c r="AM38" s="1921">
        <f t="shared" si="24"/>
        <v>0</v>
      </c>
    </row>
    <row r="39" spans="1:39" ht="27" customHeight="1" thickBot="1">
      <c r="B39" s="851">
        <v>29</v>
      </c>
      <c r="C39" s="854"/>
      <c r="D39" s="855">
        <v>0.24</v>
      </c>
      <c r="E39" s="857" t="s">
        <v>150</v>
      </c>
      <c r="F39" s="912">
        <v>0</v>
      </c>
      <c r="G39" s="998">
        <v>0</v>
      </c>
      <c r="H39" s="999">
        <f t="shared" si="0"/>
        <v>0</v>
      </c>
      <c r="I39" s="1391">
        <f t="shared" si="3"/>
        <v>0</v>
      </c>
      <c r="J39" s="1147">
        <v>0</v>
      </c>
      <c r="K39" s="1141" t="s">
        <v>8</v>
      </c>
      <c r="L39" s="914">
        <v>0</v>
      </c>
      <c r="M39" s="913"/>
      <c r="N39" s="1922"/>
      <c r="O39" s="1090">
        <v>0.3</v>
      </c>
      <c r="P39" s="1094">
        <f t="shared" si="4"/>
        <v>1.4285714285714286</v>
      </c>
      <c r="Q39" s="1142">
        <f t="shared" si="5"/>
        <v>0</v>
      </c>
      <c r="R39" s="1001">
        <f t="shared" si="6"/>
        <v>0</v>
      </c>
      <c r="S39" s="1143">
        <v>0</v>
      </c>
      <c r="T39" s="1145">
        <f t="shared" si="7"/>
        <v>0</v>
      </c>
      <c r="U39" s="1145">
        <f t="shared" si="8"/>
        <v>0</v>
      </c>
      <c r="V39" s="1146">
        <f t="shared" si="9"/>
        <v>0</v>
      </c>
      <c r="W39" s="1000" t="str">
        <f t="shared" si="10"/>
        <v/>
      </c>
      <c r="X39" s="856">
        <f t="shared" si="11"/>
        <v>0</v>
      </c>
      <c r="Y39" s="856">
        <f t="shared" si="12"/>
        <v>0</v>
      </c>
      <c r="Z39" s="856">
        <f t="shared" si="13"/>
        <v>0</v>
      </c>
      <c r="AA39" s="856">
        <f t="shared" si="14"/>
        <v>0</v>
      </c>
      <c r="AB39" s="856">
        <f t="shared" si="15"/>
        <v>0</v>
      </c>
      <c r="AC39" s="856">
        <f t="shared" si="16"/>
        <v>0</v>
      </c>
      <c r="AD39" s="892" t="str">
        <f t="shared" si="17"/>
        <v/>
      </c>
      <c r="AE39" s="856">
        <f t="shared" si="18"/>
        <v>0</v>
      </c>
      <c r="AF39" s="1089" t="str">
        <f t="shared" si="19"/>
        <v/>
      </c>
      <c r="AG39" s="917" t="str">
        <f t="shared" si="20"/>
        <v/>
      </c>
      <c r="AH39" s="837" t="str">
        <f t="shared" si="21"/>
        <v/>
      </c>
      <c r="AI39" s="856">
        <f t="shared" si="22"/>
        <v>0</v>
      </c>
      <c r="AJ39" s="863">
        <f t="shared" si="23"/>
        <v>0</v>
      </c>
      <c r="AK39" s="1390">
        <v>1</v>
      </c>
      <c r="AL39" s="1392">
        <f t="shared" si="25"/>
        <v>0</v>
      </c>
      <c r="AM39" s="1921">
        <f t="shared" si="24"/>
        <v>0</v>
      </c>
    </row>
    <row r="40" spans="1:39" ht="27" customHeight="1" thickBot="1">
      <c r="B40" s="851">
        <v>30</v>
      </c>
      <c r="C40" s="854"/>
      <c r="D40" s="855">
        <v>0.24</v>
      </c>
      <c r="E40" s="857" t="s">
        <v>150</v>
      </c>
      <c r="F40" s="912">
        <v>0</v>
      </c>
      <c r="G40" s="998">
        <v>0</v>
      </c>
      <c r="H40" s="999">
        <f t="shared" si="0"/>
        <v>0</v>
      </c>
      <c r="I40" s="1391">
        <f t="shared" si="3"/>
        <v>0</v>
      </c>
      <c r="J40" s="1147">
        <v>0</v>
      </c>
      <c r="K40" s="1141" t="s">
        <v>8</v>
      </c>
      <c r="L40" s="914">
        <v>0</v>
      </c>
      <c r="M40" s="913"/>
      <c r="N40" s="1922"/>
      <c r="O40" s="1090">
        <v>0.3</v>
      </c>
      <c r="P40" s="1094">
        <f t="shared" si="4"/>
        <v>1.4285714285714286</v>
      </c>
      <c r="Q40" s="1142">
        <f t="shared" si="5"/>
        <v>0</v>
      </c>
      <c r="R40" s="1001">
        <f t="shared" si="6"/>
        <v>0</v>
      </c>
      <c r="S40" s="1143">
        <v>0</v>
      </c>
      <c r="T40" s="1145">
        <f t="shared" si="7"/>
        <v>0</v>
      </c>
      <c r="U40" s="1145">
        <f t="shared" si="8"/>
        <v>0</v>
      </c>
      <c r="V40" s="1146">
        <f t="shared" si="9"/>
        <v>0</v>
      </c>
      <c r="W40" s="1000" t="str">
        <f t="shared" si="10"/>
        <v/>
      </c>
      <c r="X40" s="856">
        <f t="shared" si="11"/>
        <v>0</v>
      </c>
      <c r="Y40" s="856">
        <f t="shared" si="12"/>
        <v>0</v>
      </c>
      <c r="Z40" s="856">
        <f t="shared" si="13"/>
        <v>0</v>
      </c>
      <c r="AA40" s="856">
        <f t="shared" si="14"/>
        <v>0</v>
      </c>
      <c r="AB40" s="856">
        <f t="shared" si="15"/>
        <v>0</v>
      </c>
      <c r="AC40" s="856">
        <f t="shared" si="16"/>
        <v>0</v>
      </c>
      <c r="AD40" s="892" t="str">
        <f t="shared" si="17"/>
        <v/>
      </c>
      <c r="AE40" s="856">
        <f t="shared" si="18"/>
        <v>0</v>
      </c>
      <c r="AF40" s="1089" t="str">
        <f t="shared" si="19"/>
        <v/>
      </c>
      <c r="AG40" s="917" t="str">
        <f t="shared" si="20"/>
        <v/>
      </c>
      <c r="AH40" s="837" t="str">
        <f t="shared" si="21"/>
        <v/>
      </c>
      <c r="AI40" s="856">
        <f t="shared" si="22"/>
        <v>0</v>
      </c>
      <c r="AJ40" s="863">
        <f t="shared" si="23"/>
        <v>0</v>
      </c>
      <c r="AK40" s="1390">
        <v>1</v>
      </c>
      <c r="AL40" s="1392">
        <f t="shared" si="25"/>
        <v>0</v>
      </c>
      <c r="AM40" s="1921">
        <f t="shared" si="24"/>
        <v>0</v>
      </c>
    </row>
    <row r="41" spans="1:39" ht="27" customHeight="1" thickBot="1">
      <c r="B41" s="851">
        <v>31</v>
      </c>
      <c r="C41" s="854"/>
      <c r="D41" s="855">
        <v>0.24</v>
      </c>
      <c r="E41" s="857" t="s">
        <v>150</v>
      </c>
      <c r="F41" s="912">
        <v>0</v>
      </c>
      <c r="G41" s="998">
        <v>0</v>
      </c>
      <c r="H41" s="999">
        <f t="shared" si="0"/>
        <v>0</v>
      </c>
      <c r="I41" s="1391">
        <f t="shared" si="3"/>
        <v>0</v>
      </c>
      <c r="J41" s="1147">
        <v>0</v>
      </c>
      <c r="K41" s="1141" t="s">
        <v>8</v>
      </c>
      <c r="L41" s="914">
        <v>0</v>
      </c>
      <c r="M41" s="913"/>
      <c r="N41" s="1922"/>
      <c r="O41" s="1090">
        <v>0.3</v>
      </c>
      <c r="P41" s="1094">
        <f t="shared" si="4"/>
        <v>1.4285714285714286</v>
      </c>
      <c r="Q41" s="1142">
        <f t="shared" si="5"/>
        <v>0</v>
      </c>
      <c r="R41" s="1001">
        <f t="shared" si="6"/>
        <v>0</v>
      </c>
      <c r="S41" s="1143">
        <v>0</v>
      </c>
      <c r="T41" s="1145">
        <f t="shared" si="7"/>
        <v>0</v>
      </c>
      <c r="U41" s="1145">
        <f t="shared" si="8"/>
        <v>0</v>
      </c>
      <c r="V41" s="1146">
        <f t="shared" si="9"/>
        <v>0</v>
      </c>
      <c r="W41" s="1000" t="str">
        <f t="shared" si="10"/>
        <v/>
      </c>
      <c r="X41" s="856">
        <f t="shared" si="11"/>
        <v>0</v>
      </c>
      <c r="Y41" s="856">
        <f t="shared" si="12"/>
        <v>0</v>
      </c>
      <c r="Z41" s="856">
        <f t="shared" si="13"/>
        <v>0</v>
      </c>
      <c r="AA41" s="856">
        <f t="shared" si="14"/>
        <v>0</v>
      </c>
      <c r="AB41" s="856">
        <f t="shared" si="15"/>
        <v>0</v>
      </c>
      <c r="AC41" s="856">
        <f t="shared" si="16"/>
        <v>0</v>
      </c>
      <c r="AD41" s="892" t="str">
        <f t="shared" si="17"/>
        <v/>
      </c>
      <c r="AE41" s="856">
        <f t="shared" si="18"/>
        <v>0</v>
      </c>
      <c r="AF41" s="1089" t="str">
        <f t="shared" si="19"/>
        <v/>
      </c>
      <c r="AG41" s="917" t="str">
        <f t="shared" si="20"/>
        <v/>
      </c>
      <c r="AH41" s="837" t="str">
        <f t="shared" si="21"/>
        <v/>
      </c>
      <c r="AI41" s="856">
        <f t="shared" si="22"/>
        <v>0</v>
      </c>
      <c r="AJ41" s="863">
        <f t="shared" si="23"/>
        <v>0</v>
      </c>
      <c r="AK41" s="1390">
        <v>1</v>
      </c>
      <c r="AL41" s="1392">
        <f t="shared" si="25"/>
        <v>0</v>
      </c>
      <c r="AM41" s="1921">
        <f t="shared" si="24"/>
        <v>0</v>
      </c>
    </row>
    <row r="42" spans="1:39" ht="27" customHeight="1" thickBot="1">
      <c r="B42" s="851">
        <v>32</v>
      </c>
      <c r="C42" s="854"/>
      <c r="D42" s="855">
        <v>0.24</v>
      </c>
      <c r="E42" s="857" t="s">
        <v>150</v>
      </c>
      <c r="F42" s="912">
        <v>0</v>
      </c>
      <c r="G42" s="998">
        <v>0</v>
      </c>
      <c r="H42" s="999">
        <f t="shared" si="0"/>
        <v>0</v>
      </c>
      <c r="I42" s="1391">
        <f t="shared" si="3"/>
        <v>0</v>
      </c>
      <c r="J42" s="1147">
        <v>0</v>
      </c>
      <c r="K42" s="1141" t="s">
        <v>8</v>
      </c>
      <c r="L42" s="914">
        <v>0</v>
      </c>
      <c r="M42" s="913"/>
      <c r="N42" s="1922"/>
      <c r="O42" s="1090">
        <v>0.3</v>
      </c>
      <c r="P42" s="1094">
        <f t="shared" si="4"/>
        <v>1.4285714285714286</v>
      </c>
      <c r="Q42" s="1142">
        <f t="shared" si="5"/>
        <v>0</v>
      </c>
      <c r="R42" s="1001">
        <f t="shared" si="6"/>
        <v>0</v>
      </c>
      <c r="S42" s="1143">
        <v>0</v>
      </c>
      <c r="T42" s="1145">
        <f t="shared" si="7"/>
        <v>0</v>
      </c>
      <c r="U42" s="1145">
        <f t="shared" si="8"/>
        <v>0</v>
      </c>
      <c r="V42" s="1146">
        <f t="shared" si="9"/>
        <v>0</v>
      </c>
      <c r="W42" s="1000" t="str">
        <f t="shared" si="10"/>
        <v/>
      </c>
      <c r="X42" s="856">
        <f t="shared" si="11"/>
        <v>0</v>
      </c>
      <c r="Y42" s="856">
        <f t="shared" si="12"/>
        <v>0</v>
      </c>
      <c r="Z42" s="856">
        <f t="shared" si="13"/>
        <v>0</v>
      </c>
      <c r="AA42" s="856">
        <f t="shared" si="14"/>
        <v>0</v>
      </c>
      <c r="AB42" s="856">
        <f t="shared" si="15"/>
        <v>0</v>
      </c>
      <c r="AC42" s="856">
        <f t="shared" si="16"/>
        <v>0</v>
      </c>
      <c r="AD42" s="892" t="str">
        <f t="shared" si="17"/>
        <v/>
      </c>
      <c r="AE42" s="856">
        <f t="shared" si="18"/>
        <v>0</v>
      </c>
      <c r="AF42" s="1089" t="str">
        <f t="shared" si="19"/>
        <v/>
      </c>
      <c r="AG42" s="917" t="str">
        <f t="shared" si="20"/>
        <v/>
      </c>
      <c r="AH42" s="837" t="str">
        <f t="shared" si="21"/>
        <v/>
      </c>
      <c r="AI42" s="856">
        <f t="shared" si="22"/>
        <v>0</v>
      </c>
      <c r="AJ42" s="863">
        <f t="shared" si="23"/>
        <v>0</v>
      </c>
      <c r="AK42" s="1390">
        <v>1</v>
      </c>
      <c r="AL42" s="1392">
        <f t="shared" si="25"/>
        <v>0</v>
      </c>
      <c r="AM42" s="1921">
        <f t="shared" si="24"/>
        <v>0</v>
      </c>
    </row>
    <row r="43" spans="1:39" ht="27" customHeight="1" thickBot="1">
      <c r="B43" s="851">
        <v>33</v>
      </c>
      <c r="C43" s="854"/>
      <c r="D43" s="855">
        <v>0.24</v>
      </c>
      <c r="E43" s="857" t="s">
        <v>150</v>
      </c>
      <c r="F43" s="912">
        <v>0</v>
      </c>
      <c r="G43" s="998">
        <v>0</v>
      </c>
      <c r="H43" s="999">
        <f t="shared" si="0"/>
        <v>0</v>
      </c>
      <c r="I43" s="1391">
        <f t="shared" si="3"/>
        <v>0</v>
      </c>
      <c r="J43" s="1147">
        <v>0</v>
      </c>
      <c r="K43" s="1141" t="s">
        <v>8</v>
      </c>
      <c r="L43" s="914">
        <v>0</v>
      </c>
      <c r="M43" s="913"/>
      <c r="N43" s="1922"/>
      <c r="O43" s="1090">
        <v>0.3</v>
      </c>
      <c r="P43" s="1094">
        <f t="shared" si="4"/>
        <v>1.4285714285714286</v>
      </c>
      <c r="Q43" s="1142">
        <f t="shared" si="5"/>
        <v>0</v>
      </c>
      <c r="R43" s="1001">
        <f t="shared" si="6"/>
        <v>0</v>
      </c>
      <c r="S43" s="1143">
        <v>0</v>
      </c>
      <c r="T43" s="1145">
        <f t="shared" si="7"/>
        <v>0</v>
      </c>
      <c r="U43" s="1145">
        <f t="shared" si="8"/>
        <v>0</v>
      </c>
      <c r="V43" s="1146">
        <f t="shared" si="9"/>
        <v>0</v>
      </c>
      <c r="W43" s="1000" t="str">
        <f t="shared" si="10"/>
        <v/>
      </c>
      <c r="X43" s="856">
        <f t="shared" si="11"/>
        <v>0</v>
      </c>
      <c r="Y43" s="856">
        <f t="shared" si="12"/>
        <v>0</v>
      </c>
      <c r="Z43" s="856">
        <f t="shared" si="13"/>
        <v>0</v>
      </c>
      <c r="AA43" s="856">
        <f t="shared" si="14"/>
        <v>0</v>
      </c>
      <c r="AB43" s="856">
        <f t="shared" si="15"/>
        <v>0</v>
      </c>
      <c r="AC43" s="856">
        <f t="shared" si="16"/>
        <v>0</v>
      </c>
      <c r="AD43" s="892" t="str">
        <f t="shared" si="17"/>
        <v/>
      </c>
      <c r="AE43" s="856">
        <f t="shared" si="18"/>
        <v>0</v>
      </c>
      <c r="AF43" s="1089" t="str">
        <f t="shared" si="19"/>
        <v/>
      </c>
      <c r="AG43" s="917" t="str">
        <f t="shared" si="20"/>
        <v/>
      </c>
      <c r="AH43" s="837" t="str">
        <f t="shared" si="21"/>
        <v/>
      </c>
      <c r="AI43" s="856">
        <f t="shared" si="22"/>
        <v>0</v>
      </c>
      <c r="AJ43" s="863">
        <f t="shared" si="23"/>
        <v>0</v>
      </c>
      <c r="AK43" s="1390">
        <v>1</v>
      </c>
      <c r="AL43" s="1392">
        <f t="shared" si="25"/>
        <v>0</v>
      </c>
      <c r="AM43" s="1921">
        <f t="shared" si="24"/>
        <v>0</v>
      </c>
    </row>
    <row r="44" spans="1:39" ht="27" customHeight="1" thickBot="1">
      <c r="B44" s="851">
        <v>34</v>
      </c>
      <c r="C44" s="854"/>
      <c r="D44" s="855">
        <v>0.24</v>
      </c>
      <c r="E44" s="857" t="s">
        <v>150</v>
      </c>
      <c r="F44" s="912">
        <v>0</v>
      </c>
      <c r="G44" s="998">
        <v>0</v>
      </c>
      <c r="H44" s="999">
        <f t="shared" si="0"/>
        <v>0</v>
      </c>
      <c r="I44" s="1391">
        <f t="shared" si="3"/>
        <v>0</v>
      </c>
      <c r="J44" s="1147">
        <v>0</v>
      </c>
      <c r="K44" s="1141" t="s">
        <v>8</v>
      </c>
      <c r="L44" s="914">
        <v>0</v>
      </c>
      <c r="M44" s="913"/>
      <c r="N44" s="1922"/>
      <c r="O44" s="1090">
        <v>0.3</v>
      </c>
      <c r="P44" s="1094">
        <f t="shared" si="4"/>
        <v>1.4285714285714286</v>
      </c>
      <c r="Q44" s="1142">
        <f t="shared" si="5"/>
        <v>0</v>
      </c>
      <c r="R44" s="1001">
        <f t="shared" si="6"/>
        <v>0</v>
      </c>
      <c r="S44" s="1143">
        <v>0</v>
      </c>
      <c r="T44" s="1145">
        <f t="shared" si="7"/>
        <v>0</v>
      </c>
      <c r="U44" s="1145">
        <f t="shared" si="8"/>
        <v>0</v>
      </c>
      <c r="V44" s="1146">
        <f t="shared" si="9"/>
        <v>0</v>
      </c>
      <c r="W44" s="1000" t="str">
        <f t="shared" si="10"/>
        <v/>
      </c>
      <c r="X44" s="856">
        <f t="shared" si="11"/>
        <v>0</v>
      </c>
      <c r="Y44" s="856">
        <f t="shared" si="12"/>
        <v>0</v>
      </c>
      <c r="Z44" s="856">
        <f t="shared" si="13"/>
        <v>0</v>
      </c>
      <c r="AA44" s="856">
        <f t="shared" si="14"/>
        <v>0</v>
      </c>
      <c r="AB44" s="856">
        <f t="shared" si="15"/>
        <v>0</v>
      </c>
      <c r="AC44" s="856">
        <f t="shared" si="16"/>
        <v>0</v>
      </c>
      <c r="AD44" s="892" t="str">
        <f t="shared" si="17"/>
        <v/>
      </c>
      <c r="AE44" s="856">
        <f t="shared" si="18"/>
        <v>0</v>
      </c>
      <c r="AF44" s="1089" t="str">
        <f t="shared" si="19"/>
        <v/>
      </c>
      <c r="AG44" s="917" t="str">
        <f t="shared" si="20"/>
        <v/>
      </c>
      <c r="AH44" s="837" t="str">
        <f t="shared" si="21"/>
        <v/>
      </c>
      <c r="AI44" s="856">
        <f t="shared" si="22"/>
        <v>0</v>
      </c>
      <c r="AJ44" s="863">
        <f t="shared" si="23"/>
        <v>0</v>
      </c>
      <c r="AK44" s="1390">
        <v>1</v>
      </c>
      <c r="AL44" s="1392">
        <f t="shared" si="25"/>
        <v>0</v>
      </c>
      <c r="AM44" s="1921">
        <f t="shared" si="24"/>
        <v>0</v>
      </c>
    </row>
    <row r="45" spans="1:39" ht="27" customHeight="1" thickBot="1">
      <c r="B45" s="851">
        <v>35</v>
      </c>
      <c r="C45" s="854"/>
      <c r="D45" s="855">
        <v>0.24</v>
      </c>
      <c r="E45" s="857" t="s">
        <v>150</v>
      </c>
      <c r="F45" s="912">
        <v>0</v>
      </c>
      <c r="G45" s="998">
        <v>0</v>
      </c>
      <c r="H45" s="999">
        <f t="shared" si="0"/>
        <v>0</v>
      </c>
      <c r="I45" s="1391">
        <f t="shared" si="3"/>
        <v>0</v>
      </c>
      <c r="J45" s="1147">
        <v>0</v>
      </c>
      <c r="K45" s="1141" t="s">
        <v>8</v>
      </c>
      <c r="L45" s="914">
        <v>0</v>
      </c>
      <c r="M45" s="913"/>
      <c r="N45" s="1922"/>
      <c r="O45" s="1090">
        <v>0.3</v>
      </c>
      <c r="P45" s="1094">
        <f t="shared" si="4"/>
        <v>1.4285714285714286</v>
      </c>
      <c r="Q45" s="1142">
        <f t="shared" si="5"/>
        <v>0</v>
      </c>
      <c r="R45" s="1001">
        <f t="shared" si="6"/>
        <v>0</v>
      </c>
      <c r="S45" s="1143">
        <v>0</v>
      </c>
      <c r="T45" s="1145">
        <f t="shared" si="7"/>
        <v>0</v>
      </c>
      <c r="U45" s="1145">
        <f t="shared" si="8"/>
        <v>0</v>
      </c>
      <c r="V45" s="1146">
        <f t="shared" si="9"/>
        <v>0</v>
      </c>
      <c r="W45" s="1000" t="str">
        <f t="shared" si="10"/>
        <v/>
      </c>
      <c r="X45" s="856">
        <f t="shared" si="11"/>
        <v>0</v>
      </c>
      <c r="Y45" s="856">
        <f t="shared" si="12"/>
        <v>0</v>
      </c>
      <c r="Z45" s="856">
        <f t="shared" si="13"/>
        <v>0</v>
      </c>
      <c r="AA45" s="856">
        <f t="shared" si="14"/>
        <v>0</v>
      </c>
      <c r="AB45" s="856">
        <f t="shared" si="15"/>
        <v>0</v>
      </c>
      <c r="AC45" s="856">
        <f t="shared" si="16"/>
        <v>0</v>
      </c>
      <c r="AD45" s="892" t="str">
        <f t="shared" si="17"/>
        <v/>
      </c>
      <c r="AE45" s="856">
        <f t="shared" si="18"/>
        <v>0</v>
      </c>
      <c r="AF45" s="1089" t="str">
        <f t="shared" si="19"/>
        <v/>
      </c>
      <c r="AG45" s="917" t="str">
        <f t="shared" si="20"/>
        <v/>
      </c>
      <c r="AH45" s="837" t="str">
        <f t="shared" si="21"/>
        <v/>
      </c>
      <c r="AI45" s="856">
        <f t="shared" si="22"/>
        <v>0</v>
      </c>
      <c r="AJ45" s="863">
        <f t="shared" si="23"/>
        <v>0</v>
      </c>
      <c r="AK45" s="1390">
        <v>1</v>
      </c>
      <c r="AL45" s="1392">
        <f t="shared" si="25"/>
        <v>0</v>
      </c>
      <c r="AM45" s="1921">
        <f t="shared" si="24"/>
        <v>0</v>
      </c>
    </row>
    <row r="46" spans="1:39" ht="27" customHeight="1" thickBot="1">
      <c r="B46" s="851">
        <v>36</v>
      </c>
      <c r="C46" s="854"/>
      <c r="D46" s="855">
        <v>0.24</v>
      </c>
      <c r="E46" s="857" t="s">
        <v>150</v>
      </c>
      <c r="F46" s="912">
        <v>0</v>
      </c>
      <c r="G46" s="998">
        <v>0</v>
      </c>
      <c r="H46" s="999">
        <f t="shared" si="0"/>
        <v>0</v>
      </c>
      <c r="I46" s="1391">
        <f t="shared" si="3"/>
        <v>0</v>
      </c>
      <c r="J46" s="1147">
        <v>0</v>
      </c>
      <c r="K46" s="1141" t="s">
        <v>8</v>
      </c>
      <c r="L46" s="914">
        <v>0</v>
      </c>
      <c r="M46" s="913"/>
      <c r="N46" s="1922"/>
      <c r="O46" s="1090">
        <v>0.3</v>
      </c>
      <c r="P46" s="1094">
        <f t="shared" si="4"/>
        <v>1.4285714285714286</v>
      </c>
      <c r="Q46" s="1142">
        <f t="shared" si="5"/>
        <v>0</v>
      </c>
      <c r="R46" s="1001">
        <f t="shared" si="6"/>
        <v>0</v>
      </c>
      <c r="S46" s="1143">
        <v>0</v>
      </c>
      <c r="T46" s="1145">
        <f t="shared" si="7"/>
        <v>0</v>
      </c>
      <c r="U46" s="1145">
        <f t="shared" si="8"/>
        <v>0</v>
      </c>
      <c r="V46" s="1146">
        <f t="shared" si="9"/>
        <v>0</v>
      </c>
      <c r="W46" s="1000" t="str">
        <f t="shared" si="10"/>
        <v/>
      </c>
      <c r="X46" s="856">
        <f t="shared" si="11"/>
        <v>0</v>
      </c>
      <c r="Y46" s="856">
        <f t="shared" si="12"/>
        <v>0</v>
      </c>
      <c r="Z46" s="856">
        <f t="shared" si="13"/>
        <v>0</v>
      </c>
      <c r="AA46" s="856">
        <f t="shared" si="14"/>
        <v>0</v>
      </c>
      <c r="AB46" s="856">
        <f t="shared" si="15"/>
        <v>0</v>
      </c>
      <c r="AC46" s="856">
        <f t="shared" si="16"/>
        <v>0</v>
      </c>
      <c r="AD46" s="892" t="str">
        <f t="shared" si="17"/>
        <v/>
      </c>
      <c r="AE46" s="856">
        <f t="shared" si="18"/>
        <v>0</v>
      </c>
      <c r="AF46" s="1089" t="str">
        <f t="shared" si="19"/>
        <v/>
      </c>
      <c r="AG46" s="917" t="str">
        <f t="shared" si="20"/>
        <v/>
      </c>
      <c r="AH46" s="837" t="str">
        <f t="shared" si="21"/>
        <v/>
      </c>
      <c r="AI46" s="856">
        <f t="shared" si="22"/>
        <v>0</v>
      </c>
      <c r="AJ46" s="863">
        <f t="shared" si="23"/>
        <v>0</v>
      </c>
      <c r="AK46" s="1390">
        <v>1</v>
      </c>
      <c r="AL46" s="1392">
        <f t="shared" si="25"/>
        <v>0</v>
      </c>
      <c r="AM46" s="1921">
        <f t="shared" si="24"/>
        <v>0</v>
      </c>
    </row>
    <row r="47" spans="1:39" ht="27" customHeight="1" thickBot="1">
      <c r="B47" s="851">
        <v>37</v>
      </c>
      <c r="C47" s="854"/>
      <c r="D47" s="855">
        <v>0.24</v>
      </c>
      <c r="E47" s="857" t="s">
        <v>150</v>
      </c>
      <c r="F47" s="912">
        <v>0</v>
      </c>
      <c r="G47" s="998">
        <v>0</v>
      </c>
      <c r="H47" s="999">
        <f t="shared" si="0"/>
        <v>0</v>
      </c>
      <c r="I47" s="1391">
        <f t="shared" si="3"/>
        <v>0</v>
      </c>
      <c r="J47" s="1147">
        <v>0</v>
      </c>
      <c r="K47" s="1141" t="s">
        <v>8</v>
      </c>
      <c r="L47" s="914">
        <v>0</v>
      </c>
      <c r="M47" s="913"/>
      <c r="N47" s="1922"/>
      <c r="O47" s="1090">
        <v>0.3</v>
      </c>
      <c r="P47" s="1094">
        <f t="shared" si="4"/>
        <v>1.4285714285714286</v>
      </c>
      <c r="Q47" s="1142">
        <f t="shared" si="5"/>
        <v>0</v>
      </c>
      <c r="R47" s="1001">
        <f t="shared" si="6"/>
        <v>0</v>
      </c>
      <c r="S47" s="1143">
        <v>0</v>
      </c>
      <c r="T47" s="1145">
        <f t="shared" si="7"/>
        <v>0</v>
      </c>
      <c r="U47" s="1145">
        <f t="shared" si="8"/>
        <v>0</v>
      </c>
      <c r="V47" s="1146">
        <f t="shared" si="9"/>
        <v>0</v>
      </c>
      <c r="W47" s="1000" t="str">
        <f t="shared" si="10"/>
        <v/>
      </c>
      <c r="X47" s="856">
        <f t="shared" si="11"/>
        <v>0</v>
      </c>
      <c r="Y47" s="856">
        <f t="shared" si="12"/>
        <v>0</v>
      </c>
      <c r="Z47" s="856">
        <f t="shared" si="13"/>
        <v>0</v>
      </c>
      <c r="AA47" s="856">
        <f t="shared" si="14"/>
        <v>0</v>
      </c>
      <c r="AB47" s="856">
        <f t="shared" si="15"/>
        <v>0</v>
      </c>
      <c r="AC47" s="856">
        <f t="shared" si="16"/>
        <v>0</v>
      </c>
      <c r="AD47" s="892" t="str">
        <f t="shared" si="17"/>
        <v/>
      </c>
      <c r="AE47" s="856">
        <f t="shared" si="18"/>
        <v>0</v>
      </c>
      <c r="AF47" s="1089" t="str">
        <f t="shared" si="19"/>
        <v/>
      </c>
      <c r="AG47" s="917" t="str">
        <f t="shared" si="20"/>
        <v/>
      </c>
      <c r="AH47" s="837" t="str">
        <f t="shared" si="21"/>
        <v/>
      </c>
      <c r="AI47" s="856">
        <f t="shared" si="22"/>
        <v>0</v>
      </c>
      <c r="AJ47" s="863">
        <f t="shared" si="23"/>
        <v>0</v>
      </c>
      <c r="AK47" s="1390">
        <v>1</v>
      </c>
      <c r="AL47" s="1392">
        <f t="shared" si="25"/>
        <v>0</v>
      </c>
      <c r="AM47" s="1921">
        <f t="shared" si="24"/>
        <v>0</v>
      </c>
    </row>
    <row r="48" spans="1:39" ht="27" customHeight="1" thickBot="1">
      <c r="B48" s="851">
        <v>38</v>
      </c>
      <c r="C48" s="854"/>
      <c r="D48" s="855">
        <v>0.24</v>
      </c>
      <c r="E48" s="857" t="s">
        <v>150</v>
      </c>
      <c r="F48" s="912">
        <v>0</v>
      </c>
      <c r="G48" s="998">
        <v>0</v>
      </c>
      <c r="H48" s="999">
        <f t="shared" si="0"/>
        <v>0</v>
      </c>
      <c r="I48" s="1391">
        <f t="shared" si="3"/>
        <v>0</v>
      </c>
      <c r="J48" s="1147">
        <v>0</v>
      </c>
      <c r="K48" s="1141" t="s">
        <v>8</v>
      </c>
      <c r="L48" s="914">
        <v>0</v>
      </c>
      <c r="M48" s="913"/>
      <c r="N48" s="1922"/>
      <c r="O48" s="1090">
        <v>0.5</v>
      </c>
      <c r="P48" s="1094">
        <f t="shared" si="4"/>
        <v>2</v>
      </c>
      <c r="Q48" s="1142">
        <f t="shared" si="5"/>
        <v>0</v>
      </c>
      <c r="R48" s="1001">
        <f t="shared" si="6"/>
        <v>0</v>
      </c>
      <c r="S48" s="1143">
        <v>0</v>
      </c>
      <c r="T48" s="1145">
        <f t="shared" si="7"/>
        <v>0</v>
      </c>
      <c r="U48" s="1145">
        <f t="shared" si="8"/>
        <v>0</v>
      </c>
      <c r="V48" s="1146">
        <f t="shared" si="9"/>
        <v>0</v>
      </c>
      <c r="W48" s="1000" t="str">
        <f t="shared" si="10"/>
        <v/>
      </c>
      <c r="X48" s="856">
        <f t="shared" si="11"/>
        <v>0</v>
      </c>
      <c r="Y48" s="856">
        <f t="shared" si="12"/>
        <v>0</v>
      </c>
      <c r="Z48" s="856">
        <f t="shared" si="13"/>
        <v>0</v>
      </c>
      <c r="AA48" s="856">
        <f t="shared" si="14"/>
        <v>0</v>
      </c>
      <c r="AB48" s="856">
        <f t="shared" si="15"/>
        <v>0</v>
      </c>
      <c r="AC48" s="856">
        <f t="shared" si="16"/>
        <v>0</v>
      </c>
      <c r="AD48" s="892" t="str">
        <f t="shared" si="17"/>
        <v/>
      </c>
      <c r="AE48" s="856">
        <f t="shared" si="18"/>
        <v>0</v>
      </c>
      <c r="AF48" s="1089" t="str">
        <f t="shared" si="19"/>
        <v/>
      </c>
      <c r="AG48" s="917" t="str">
        <f t="shared" si="20"/>
        <v/>
      </c>
      <c r="AH48" s="837" t="str">
        <f t="shared" si="21"/>
        <v/>
      </c>
      <c r="AI48" s="856">
        <f t="shared" si="22"/>
        <v>0</v>
      </c>
      <c r="AJ48" s="863">
        <f t="shared" si="23"/>
        <v>0</v>
      </c>
      <c r="AK48" s="1390">
        <v>1</v>
      </c>
      <c r="AL48" s="1392">
        <f t="shared" si="25"/>
        <v>0</v>
      </c>
      <c r="AM48" s="1921">
        <f t="shared" si="24"/>
        <v>0</v>
      </c>
    </row>
    <row r="49" spans="2:39" ht="27" customHeight="1" thickBot="1">
      <c r="B49" s="851">
        <v>39</v>
      </c>
      <c r="C49" s="854"/>
      <c r="D49" s="855">
        <v>0.24</v>
      </c>
      <c r="E49" s="857" t="s">
        <v>150</v>
      </c>
      <c r="F49" s="912">
        <v>0</v>
      </c>
      <c r="G49" s="998">
        <v>0</v>
      </c>
      <c r="H49" s="999">
        <f t="shared" si="0"/>
        <v>0</v>
      </c>
      <c r="I49" s="1391">
        <f t="shared" si="3"/>
        <v>0</v>
      </c>
      <c r="J49" s="1147">
        <v>0</v>
      </c>
      <c r="K49" s="1141" t="s">
        <v>8</v>
      </c>
      <c r="L49" s="914">
        <v>0</v>
      </c>
      <c r="M49" s="913"/>
      <c r="N49" s="1922"/>
      <c r="O49" s="1090">
        <v>0.5</v>
      </c>
      <c r="P49" s="1094">
        <f t="shared" si="4"/>
        <v>2</v>
      </c>
      <c r="Q49" s="1142">
        <f t="shared" si="5"/>
        <v>0</v>
      </c>
      <c r="R49" s="1001">
        <f t="shared" si="6"/>
        <v>0</v>
      </c>
      <c r="S49" s="1143">
        <v>0</v>
      </c>
      <c r="T49" s="1145">
        <f t="shared" si="7"/>
        <v>0</v>
      </c>
      <c r="U49" s="1145">
        <f t="shared" si="8"/>
        <v>0</v>
      </c>
      <c r="V49" s="1146">
        <f t="shared" si="9"/>
        <v>0</v>
      </c>
      <c r="W49" s="1000" t="str">
        <f t="shared" si="10"/>
        <v/>
      </c>
      <c r="X49" s="856">
        <f t="shared" si="11"/>
        <v>0</v>
      </c>
      <c r="Y49" s="856">
        <f t="shared" si="12"/>
        <v>0</v>
      </c>
      <c r="Z49" s="856">
        <f t="shared" si="13"/>
        <v>0</v>
      </c>
      <c r="AA49" s="856">
        <f t="shared" si="14"/>
        <v>0</v>
      </c>
      <c r="AB49" s="856">
        <f t="shared" si="15"/>
        <v>0</v>
      </c>
      <c r="AC49" s="856">
        <f t="shared" si="16"/>
        <v>0</v>
      </c>
      <c r="AD49" s="892" t="str">
        <f t="shared" si="17"/>
        <v/>
      </c>
      <c r="AE49" s="856">
        <f t="shared" si="18"/>
        <v>0</v>
      </c>
      <c r="AF49" s="1089" t="str">
        <f t="shared" si="19"/>
        <v/>
      </c>
      <c r="AG49" s="917" t="str">
        <f t="shared" si="20"/>
        <v/>
      </c>
      <c r="AH49" s="837" t="str">
        <f t="shared" si="21"/>
        <v/>
      </c>
      <c r="AI49" s="856">
        <f t="shared" si="22"/>
        <v>0</v>
      </c>
      <c r="AJ49" s="863">
        <f t="shared" si="23"/>
        <v>0</v>
      </c>
      <c r="AK49" s="1390">
        <v>1</v>
      </c>
      <c r="AL49" s="1392">
        <f t="shared" si="25"/>
        <v>0</v>
      </c>
      <c r="AM49" s="1921">
        <f t="shared" si="24"/>
        <v>0</v>
      </c>
    </row>
    <row r="50" spans="2:39" ht="27" customHeight="1" thickBot="1">
      <c r="B50" s="851">
        <v>40</v>
      </c>
      <c r="C50" s="854"/>
      <c r="D50" s="855">
        <v>0.24</v>
      </c>
      <c r="E50" s="857" t="s">
        <v>150</v>
      </c>
      <c r="F50" s="912">
        <v>0</v>
      </c>
      <c r="G50" s="998">
        <v>0</v>
      </c>
      <c r="H50" s="999">
        <f t="shared" si="0"/>
        <v>0</v>
      </c>
      <c r="I50" s="1391">
        <f t="shared" si="3"/>
        <v>0</v>
      </c>
      <c r="J50" s="1147">
        <v>0</v>
      </c>
      <c r="K50" s="1141" t="s">
        <v>8</v>
      </c>
      <c r="L50" s="914">
        <v>0</v>
      </c>
      <c r="M50" s="913"/>
      <c r="N50" s="1922"/>
      <c r="O50" s="1090">
        <v>0.3</v>
      </c>
      <c r="P50" s="1094">
        <f t="shared" si="4"/>
        <v>1.4285714285714286</v>
      </c>
      <c r="Q50" s="1142">
        <f t="shared" si="5"/>
        <v>0</v>
      </c>
      <c r="R50" s="1001">
        <f t="shared" si="6"/>
        <v>0</v>
      </c>
      <c r="S50" s="1143">
        <v>0</v>
      </c>
      <c r="T50" s="1145">
        <f t="shared" si="7"/>
        <v>0</v>
      </c>
      <c r="U50" s="1145">
        <f t="shared" si="8"/>
        <v>0</v>
      </c>
      <c r="V50" s="1146">
        <f t="shared" si="9"/>
        <v>0</v>
      </c>
      <c r="W50" s="1000" t="str">
        <f t="shared" si="10"/>
        <v/>
      </c>
      <c r="X50" s="856">
        <f t="shared" si="11"/>
        <v>0</v>
      </c>
      <c r="Y50" s="856">
        <f t="shared" si="12"/>
        <v>0</v>
      </c>
      <c r="Z50" s="856">
        <f t="shared" si="13"/>
        <v>0</v>
      </c>
      <c r="AA50" s="856">
        <f t="shared" si="14"/>
        <v>0</v>
      </c>
      <c r="AB50" s="856">
        <f t="shared" si="15"/>
        <v>0</v>
      </c>
      <c r="AC50" s="856">
        <f t="shared" si="16"/>
        <v>0</v>
      </c>
      <c r="AD50" s="892" t="str">
        <f t="shared" si="17"/>
        <v/>
      </c>
      <c r="AE50" s="856">
        <f t="shared" si="18"/>
        <v>0</v>
      </c>
      <c r="AF50" s="1089" t="str">
        <f t="shared" si="19"/>
        <v/>
      </c>
      <c r="AG50" s="917" t="str">
        <f t="shared" si="20"/>
        <v/>
      </c>
      <c r="AH50" s="837" t="str">
        <f t="shared" si="21"/>
        <v/>
      </c>
      <c r="AI50" s="856">
        <f t="shared" si="22"/>
        <v>0</v>
      </c>
      <c r="AJ50" s="863">
        <f t="shared" si="23"/>
        <v>0</v>
      </c>
      <c r="AK50" s="1390">
        <v>1</v>
      </c>
      <c r="AL50" s="1392">
        <f t="shared" si="25"/>
        <v>0</v>
      </c>
      <c r="AM50" s="1921">
        <f t="shared" si="24"/>
        <v>0</v>
      </c>
    </row>
    <row r="51" spans="2:39" ht="27" customHeight="1" thickBot="1">
      <c r="B51" s="851">
        <v>41</v>
      </c>
      <c r="C51" s="854" t="s">
        <v>925</v>
      </c>
      <c r="D51" s="855">
        <v>0.24</v>
      </c>
      <c r="E51" s="857" t="s">
        <v>150</v>
      </c>
      <c r="F51" s="912">
        <v>0</v>
      </c>
      <c r="G51" s="998">
        <v>0</v>
      </c>
      <c r="H51" s="999">
        <f t="shared" si="0"/>
        <v>0</v>
      </c>
      <c r="I51" s="1391">
        <f t="shared" si="3"/>
        <v>0</v>
      </c>
      <c r="J51" s="1147">
        <v>0</v>
      </c>
      <c r="K51" s="1141" t="s">
        <v>8</v>
      </c>
      <c r="L51" s="914">
        <v>0</v>
      </c>
      <c r="M51" s="913"/>
      <c r="N51" s="1922"/>
      <c r="O51" s="1090">
        <v>0.1</v>
      </c>
      <c r="P51" s="1094">
        <f t="shared" si="4"/>
        <v>1.1111111111111112</v>
      </c>
      <c r="Q51" s="1142">
        <f t="shared" si="5"/>
        <v>0</v>
      </c>
      <c r="R51" s="1001">
        <f t="shared" si="6"/>
        <v>0</v>
      </c>
      <c r="S51" s="1143">
        <v>0</v>
      </c>
      <c r="T51" s="1145">
        <f t="shared" si="7"/>
        <v>0</v>
      </c>
      <c r="U51" s="1145">
        <f t="shared" si="8"/>
        <v>0</v>
      </c>
      <c r="V51" s="1146">
        <f t="shared" si="9"/>
        <v>0</v>
      </c>
      <c r="W51" s="1000" t="str">
        <f t="shared" si="10"/>
        <v/>
      </c>
      <c r="X51" s="856">
        <f t="shared" si="11"/>
        <v>0</v>
      </c>
      <c r="Y51" s="856">
        <f t="shared" si="12"/>
        <v>0</v>
      </c>
      <c r="Z51" s="856">
        <f t="shared" si="13"/>
        <v>0</v>
      </c>
      <c r="AA51" s="856">
        <f t="shared" si="14"/>
        <v>0</v>
      </c>
      <c r="AB51" s="856">
        <f t="shared" si="15"/>
        <v>0</v>
      </c>
      <c r="AC51" s="856">
        <f t="shared" si="16"/>
        <v>0</v>
      </c>
      <c r="AD51" s="892" t="str">
        <f t="shared" si="17"/>
        <v/>
      </c>
      <c r="AE51" s="856">
        <f t="shared" si="18"/>
        <v>0</v>
      </c>
      <c r="AF51" s="1089" t="str">
        <f t="shared" si="19"/>
        <v/>
      </c>
      <c r="AG51" s="917" t="str">
        <f t="shared" si="20"/>
        <v/>
      </c>
      <c r="AH51" s="837" t="str">
        <f t="shared" si="21"/>
        <v/>
      </c>
      <c r="AI51" s="856">
        <f t="shared" si="22"/>
        <v>0</v>
      </c>
      <c r="AJ51" s="863">
        <f t="shared" si="23"/>
        <v>0</v>
      </c>
      <c r="AK51" s="1390">
        <v>1</v>
      </c>
      <c r="AL51" s="1392">
        <f t="shared" si="25"/>
        <v>0</v>
      </c>
      <c r="AM51" s="1921">
        <f t="shared" si="24"/>
        <v>0</v>
      </c>
    </row>
    <row r="52" spans="2:39">
      <c r="P52" s="1913" t="s">
        <v>926</v>
      </c>
      <c r="X52" s="858"/>
      <c r="Y52" s="858"/>
      <c r="Z52" s="858"/>
      <c r="AA52" s="858"/>
      <c r="AB52" s="858"/>
      <c r="AC52" s="858"/>
      <c r="AD52" s="858"/>
      <c r="AE52" s="858"/>
      <c r="AG52" s="917" t="str">
        <f>IF(J52&gt;0,AC52-AE52-AF52,"")</f>
        <v/>
      </c>
      <c r="AK52" s="858"/>
    </row>
    <row r="53" spans="2:39">
      <c r="C53" s="859" t="s">
        <v>3</v>
      </c>
      <c r="E53" s="852"/>
      <c r="F53" s="916">
        <f>SUM(F11:F51)</f>
        <v>0</v>
      </c>
      <c r="G53" s="916"/>
      <c r="H53" s="916">
        <f>SUM(H11:H51)</f>
        <v>0</v>
      </c>
      <c r="I53" s="1363">
        <f>SUM(I11:I52)</f>
        <v>0</v>
      </c>
      <c r="J53" s="860">
        <f>SUMIF(K11:K51,"e",J11:J51)</f>
        <v>0</v>
      </c>
      <c r="K53" s="915" t="s">
        <v>8</v>
      </c>
      <c r="L53" s="860">
        <f>SUM(L11:L51)</f>
        <v>0</v>
      </c>
      <c r="M53" s="989">
        <f>SUM(M11:M51)</f>
        <v>0</v>
      </c>
      <c r="N53" s="989"/>
      <c r="O53" s="837">
        <f>AVERAGE(O11:O51)</f>
        <v>0.14756097560975606</v>
      </c>
      <c r="P53" s="865">
        <f>AVERAGE(P11:P51)</f>
        <v>1.228505266034527</v>
      </c>
      <c r="X53" s="861">
        <f>SUM(X11:X51)</f>
        <v>0</v>
      </c>
      <c r="Y53" s="861">
        <f>SUM(Y11:Y51)</f>
        <v>0</v>
      </c>
      <c r="Z53" s="861">
        <f>SUM(Z11:Z51)</f>
        <v>0</v>
      </c>
      <c r="AA53" s="861">
        <f t="shared" ref="AA53" si="26">SUM(AA11:AA51)</f>
        <v>0</v>
      </c>
      <c r="AB53" s="861">
        <f t="shared" ref="AB53" si="27">SUM(AB11:AB51)</f>
        <v>0</v>
      </c>
      <c r="AC53" s="861">
        <f>SUM(AC11:AC51)</f>
        <v>0</v>
      </c>
      <c r="AD53" s="861"/>
      <c r="AE53" s="861">
        <f>SUM(AE11:AE51)</f>
        <v>0</v>
      </c>
      <c r="AF53" s="861">
        <f t="shared" ref="AF53:AG53" si="28">SUM(AF11:AF51)</f>
        <v>0</v>
      </c>
      <c r="AG53" s="861">
        <f t="shared" si="28"/>
        <v>0</v>
      </c>
      <c r="AH53" s="909" t="str">
        <f>IF(F53&gt;1,AG53/X53,"")</f>
        <v/>
      </c>
      <c r="AI53" s="917">
        <f>SUM(AI11:AI51)</f>
        <v>0</v>
      </c>
      <c r="AJ53" s="922">
        <f>SUM(AJ12:AJ51)</f>
        <v>0</v>
      </c>
      <c r="AK53" s="861"/>
      <c r="AL53" s="1392">
        <f>SUM(AL11:AL51)</f>
        <v>0</v>
      </c>
    </row>
    <row r="54" spans="2:39">
      <c r="J54" s="860">
        <f>SUMIF(K11:K51,"K",J11:J51)</f>
        <v>0</v>
      </c>
      <c r="K54" s="864" t="s">
        <v>7</v>
      </c>
      <c r="Y54" s="1148">
        <f>SUMIF(K11:K51,"e",Y11:Y51)</f>
        <v>0</v>
      </c>
      <c r="Z54" s="1148"/>
      <c r="AA54" s="1148"/>
      <c r="AB54" s="1148"/>
      <c r="AC54" s="915"/>
    </row>
    <row r="55" spans="2:39">
      <c r="C55" s="864" t="s">
        <v>927</v>
      </c>
      <c r="Y55" s="1148">
        <f>SUMIF(K11:K51,"K",Y11:Y51)</f>
        <v>0</v>
      </c>
      <c r="Z55" s="1148"/>
      <c r="AA55" s="1148"/>
      <c r="AB55" s="1148"/>
      <c r="AC55" s="864"/>
      <c r="AG55" s="920"/>
    </row>
    <row r="56" spans="2:39">
      <c r="Y56" s="860"/>
      <c r="Z56" s="860"/>
      <c r="AA56" s="860"/>
      <c r="AB56" s="860"/>
    </row>
    <row r="57" spans="2:39">
      <c r="C57" s="864" t="s">
        <v>928</v>
      </c>
      <c r="F57" s="915">
        <f>X53</f>
        <v>0</v>
      </c>
      <c r="G57" s="915"/>
      <c r="H57" s="915"/>
      <c r="I57" s="915"/>
      <c r="Y57" s="860"/>
      <c r="Z57" s="860"/>
      <c r="AA57" s="860"/>
      <c r="AB57" s="860"/>
    </row>
    <row r="58" spans="2:39">
      <c r="C58" s="864" t="s">
        <v>929</v>
      </c>
      <c r="F58" s="915">
        <f>AB53</f>
        <v>0</v>
      </c>
      <c r="G58" s="1149"/>
      <c r="H58" s="915"/>
      <c r="I58" s="915"/>
    </row>
    <row r="59" spans="2:39">
      <c r="C59" s="864" t="s">
        <v>759</v>
      </c>
      <c r="F59" s="915">
        <f>F57-F58</f>
        <v>0</v>
      </c>
      <c r="G59" s="915"/>
      <c r="H59" s="915"/>
      <c r="I59" s="915"/>
      <c r="J59" s="837">
        <f>IFERROR(F59/F57,0)</f>
        <v>0</v>
      </c>
      <c r="K59" s="837"/>
      <c r="L59" s="837"/>
    </row>
    <row r="60" spans="2:39">
      <c r="C60" s="864" t="s">
        <v>930</v>
      </c>
      <c r="F60" s="915">
        <f>AE53</f>
        <v>0</v>
      </c>
      <c r="G60" s="915"/>
      <c r="H60" s="915"/>
      <c r="I60" s="915"/>
      <c r="M60" s="990">
        <f>M53</f>
        <v>0</v>
      </c>
      <c r="N60" s="990"/>
      <c r="O60" s="864" t="s">
        <v>931</v>
      </c>
      <c r="P60" s="915"/>
    </row>
    <row r="61" spans="2:39">
      <c r="C61" s="864" t="s">
        <v>765</v>
      </c>
      <c r="F61" s="915">
        <f>F57-F58-F60</f>
        <v>0</v>
      </c>
      <c r="G61" s="915"/>
      <c r="H61" s="915"/>
      <c r="I61" s="915"/>
      <c r="J61" s="837">
        <f>IFERROR(F61/$F$57,0)</f>
        <v>0</v>
      </c>
      <c r="K61" s="837"/>
      <c r="L61" s="837"/>
    </row>
    <row r="62" spans="2:39">
      <c r="C62" s="864" t="s">
        <v>932</v>
      </c>
      <c r="F62" s="915">
        <f>J3</f>
        <v>0</v>
      </c>
      <c r="G62" s="915"/>
      <c r="H62" s="915"/>
      <c r="I62" s="915"/>
    </row>
    <row r="63" spans="2:39">
      <c r="C63" s="864" t="s">
        <v>933</v>
      </c>
      <c r="F63" s="915">
        <f>F61-F62</f>
        <v>0</v>
      </c>
      <c r="G63" s="915"/>
      <c r="H63" s="915"/>
      <c r="I63" s="915"/>
      <c r="J63" s="837">
        <f>IFERROR(F63/$F$57,0)</f>
        <v>0</v>
      </c>
      <c r="K63" s="837"/>
      <c r="L63" s="837"/>
    </row>
  </sheetData>
  <sheetProtection sheet="1" formatCells="0" formatColumns="0" formatRows="0"/>
  <mergeCells count="20">
    <mergeCell ref="F8:F10"/>
    <mergeCell ref="G8:G10"/>
    <mergeCell ref="H8:H10"/>
    <mergeCell ref="J1:P1"/>
    <mergeCell ref="R8:R10"/>
    <mergeCell ref="J8:J10"/>
    <mergeCell ref="O8:O10"/>
    <mergeCell ref="P8:P10"/>
    <mergeCell ref="Q8:Q10"/>
    <mergeCell ref="N8:N10"/>
    <mergeCell ref="L8:L10"/>
    <mergeCell ref="K8:K10"/>
    <mergeCell ref="M8:M10"/>
    <mergeCell ref="S8:S10"/>
    <mergeCell ref="T8:T10"/>
    <mergeCell ref="U8:U10"/>
    <mergeCell ref="V8:V10"/>
    <mergeCell ref="Q5:R7"/>
    <mergeCell ref="S5:T7"/>
    <mergeCell ref="U5:V7"/>
  </mergeCells>
  <pageMargins left="0.74803149606299213" right="0.74803149606299213" top="0.98425196850393704" bottom="0.98425196850393704" header="0.51181102362204722" footer="0.51181102362204722"/>
  <pageSetup paperSize="9" scale="56" orientation="landscape" r:id="rId1"/>
  <headerFooter alignWithMargins="0">
    <oddHeader>&amp;LSavon ammatti- ja aikuisopisto/Muuruvesi</oddHeader>
    <oddFooter>&amp;A</oddFooter>
  </headerFooter>
  <rowBreaks count="1" manualBreakCount="1">
    <brk id="31" max="31" man="1"/>
  </rowBreaks>
  <colBreaks count="1" manualBreakCount="1">
    <brk id="23" max="5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12"/>
  <sheetViews>
    <sheetView zoomScale="70" zoomScaleNormal="70" workbookViewId="0">
      <selection activeCell="E8" sqref="E8"/>
    </sheetView>
  </sheetViews>
  <sheetFormatPr defaultColWidth="8.85546875" defaultRowHeight="12.75"/>
  <cols>
    <col min="1" max="1" width="49.140625" customWidth="1"/>
    <col min="2" max="2" width="44.85546875" customWidth="1"/>
    <col min="3" max="3" width="18.7109375" customWidth="1"/>
    <col min="4" max="4" width="17.5703125" customWidth="1"/>
    <col min="5" max="5" width="14.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79"/>
      <c r="B2" s="1049" t="s">
        <v>934</v>
      </c>
      <c r="C2" s="368" t="s">
        <v>740</v>
      </c>
      <c r="D2" s="367"/>
      <c r="E2" s="368"/>
      <c r="F2" s="369" t="s">
        <v>60</v>
      </c>
    </row>
    <row r="3" spans="1:8" ht="18">
      <c r="A3" s="247"/>
      <c r="B3" s="247" t="s">
        <v>188</v>
      </c>
      <c r="C3" s="247"/>
      <c r="D3" s="247"/>
      <c r="E3" s="1091">
        <f>Lähtötiedot!C4</f>
        <v>2027</v>
      </c>
      <c r="F3" s="247"/>
    </row>
    <row r="4" spans="1:8" ht="18">
      <c r="B4" s="249"/>
      <c r="D4" s="250"/>
      <c r="E4" s="251"/>
      <c r="F4" s="247"/>
    </row>
    <row r="5" spans="1:8" ht="18">
      <c r="A5" s="1" t="s">
        <v>742</v>
      </c>
      <c r="B5" s="1385" t="s">
        <v>935</v>
      </c>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936</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678</v>
      </c>
      <c r="D8" s="1050">
        <v>0</v>
      </c>
      <c r="E8" s="1051">
        <v>0</v>
      </c>
      <c r="F8" s="1052">
        <f t="shared" si="0"/>
        <v>0</v>
      </c>
      <c r="G8" s="1053">
        <f t="shared" si="1"/>
        <v>0</v>
      </c>
      <c r="H8" s="1054">
        <f t="shared" ref="H8:H14" si="2">F8</f>
        <v>0</v>
      </c>
    </row>
    <row r="9" spans="1:8" ht="15.75" thickBot="1">
      <c r="A9" s="253" t="s">
        <v>746</v>
      </c>
      <c r="B9" s="254"/>
      <c r="C9" s="255" t="s">
        <v>678</v>
      </c>
      <c r="D9" s="1050">
        <v>0</v>
      </c>
      <c r="E9" s="1051">
        <v>0</v>
      </c>
      <c r="F9" s="1052">
        <f t="shared" si="0"/>
        <v>0</v>
      </c>
      <c r="G9" s="1053">
        <f t="shared" si="1"/>
        <v>0</v>
      </c>
      <c r="H9" s="1054">
        <f t="shared" si="2"/>
        <v>0</v>
      </c>
    </row>
    <row r="10" spans="1:8" ht="15.75" thickBot="1">
      <c r="A10" s="253" t="s">
        <v>747</v>
      </c>
      <c r="B10" s="254"/>
      <c r="C10" s="255" t="s">
        <v>678</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75" thickBot="1">
      <c r="A12" s="1005" t="s">
        <v>425</v>
      </c>
      <c r="B12" s="1020"/>
      <c r="C12" s="274" t="s">
        <v>259</v>
      </c>
      <c r="D12" s="1050">
        <v>0</v>
      </c>
      <c r="E12" s="1051">
        <v>0</v>
      </c>
      <c r="F12" s="1056">
        <f t="shared" si="0"/>
        <v>0</v>
      </c>
      <c r="G12" s="1053">
        <f t="shared" si="1"/>
        <v>0</v>
      </c>
      <c r="H12" s="1054">
        <f t="shared" si="2"/>
        <v>0</v>
      </c>
    </row>
    <row r="13" spans="1:8" ht="15.75" thickBot="1">
      <c r="A13" s="1005" t="s">
        <v>425</v>
      </c>
      <c r="B13" s="277"/>
      <c r="C13" s="274" t="s">
        <v>259</v>
      </c>
      <c r="D13" s="1050">
        <v>0</v>
      </c>
      <c r="E13" s="1051">
        <v>0</v>
      </c>
      <c r="F13" s="1056">
        <f t="shared" si="0"/>
        <v>0</v>
      </c>
      <c r="G13" s="1053">
        <f t="shared" si="1"/>
        <v>0</v>
      </c>
      <c r="H13" s="1054">
        <f t="shared" si="2"/>
        <v>0</v>
      </c>
    </row>
    <row r="14" spans="1:8" ht="15.75" thickBot="1">
      <c r="A14" s="1005" t="s">
        <v>425</v>
      </c>
      <c r="B14" s="277"/>
      <c r="C14" s="274" t="s">
        <v>259</v>
      </c>
      <c r="D14" s="1050">
        <v>0</v>
      </c>
      <c r="E14" s="1051">
        <v>0</v>
      </c>
      <c r="F14" s="1056">
        <f t="shared" si="0"/>
        <v>0</v>
      </c>
      <c r="G14" s="1053">
        <f t="shared" si="1"/>
        <v>0</v>
      </c>
      <c r="H14" s="1054">
        <f t="shared" si="2"/>
        <v>0</v>
      </c>
    </row>
    <row r="15" spans="1:8" ht="15.75">
      <c r="A15" s="1" t="s">
        <v>749</v>
      </c>
      <c r="B15" s="1"/>
      <c r="C15" s="14"/>
      <c r="D15" s="1300">
        <f>SUM(D7:D14)</f>
        <v>0</v>
      </c>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937</v>
      </c>
      <c r="B18" s="277"/>
      <c r="C18" s="165" t="s">
        <v>150</v>
      </c>
      <c r="D18" s="282">
        <v>0</v>
      </c>
      <c r="E18" s="1060">
        <v>0</v>
      </c>
      <c r="F18" s="1056">
        <f t="shared" ref="F18:F30" si="3">D18*E18</f>
        <v>0</v>
      </c>
      <c r="G18" s="1053">
        <f t="shared" ref="G18:G32" si="4">IFERROR(F18/$F$57,0)</f>
        <v>0</v>
      </c>
      <c r="H18" s="1054">
        <f>F18</f>
        <v>0</v>
      </c>
      <c r="I18" s="247"/>
      <c r="J18" s="247"/>
      <c r="K18" s="247"/>
    </row>
    <row r="19" spans="1:11" s="14" customFormat="1" ht="18">
      <c r="A19" s="277" t="s">
        <v>938</v>
      </c>
      <c r="B19" s="277"/>
      <c r="C19" s="165" t="s">
        <v>564</v>
      </c>
      <c r="D19" s="282">
        <v>0</v>
      </c>
      <c r="E19" s="1060">
        <v>0</v>
      </c>
      <c r="F19" s="1056">
        <f t="shared" si="3"/>
        <v>0</v>
      </c>
      <c r="G19" s="1053">
        <f t="shared" si="4"/>
        <v>0</v>
      </c>
      <c r="H19" s="1054">
        <f t="shared" ref="H19:H32" si="5">F19</f>
        <v>0</v>
      </c>
      <c r="I19" s="247"/>
      <c r="J19" s="247"/>
      <c r="K19" s="247"/>
    </row>
    <row r="20" spans="1:11" s="14" customFormat="1" ht="15">
      <c r="A20" s="277" t="s">
        <v>757</v>
      </c>
      <c r="B20" s="277"/>
      <c r="C20" s="165" t="s">
        <v>150</v>
      </c>
      <c r="D20" s="282">
        <v>0</v>
      </c>
      <c r="E20" s="1060">
        <v>0</v>
      </c>
      <c r="F20" s="1056">
        <f t="shared" si="3"/>
        <v>0</v>
      </c>
      <c r="G20" s="1053">
        <f t="shared" si="4"/>
        <v>0</v>
      </c>
      <c r="H20" s="1054">
        <f t="shared" si="5"/>
        <v>0</v>
      </c>
      <c r="I20"/>
    </row>
    <row r="21" spans="1:11" s="14" customFormat="1" ht="15">
      <c r="A21" s="277" t="s">
        <v>939</v>
      </c>
      <c r="B21" s="277"/>
      <c r="C21" s="165" t="s">
        <v>15</v>
      </c>
      <c r="D21" s="282">
        <v>0</v>
      </c>
      <c r="E21" s="1060">
        <v>10</v>
      </c>
      <c r="F21" s="1056">
        <f t="shared" si="3"/>
        <v>0</v>
      </c>
      <c r="G21" s="1053">
        <f t="shared" si="4"/>
        <v>0</v>
      </c>
      <c r="H21" s="1054">
        <f t="shared" si="5"/>
        <v>0</v>
      </c>
      <c r="I21"/>
    </row>
    <row r="22" spans="1:11" s="14" customFormat="1" ht="15">
      <c r="A22" s="277" t="s">
        <v>940</v>
      </c>
      <c r="B22" s="277"/>
      <c r="C22" s="165" t="s">
        <v>159</v>
      </c>
      <c r="D22" s="1152">
        <v>0.4</v>
      </c>
      <c r="E22" s="1298">
        <f>F21</f>
        <v>0</v>
      </c>
      <c r="F22" s="1056">
        <f t="shared" si="3"/>
        <v>0</v>
      </c>
      <c r="G22" s="1053">
        <f t="shared" si="4"/>
        <v>0</v>
      </c>
      <c r="H22" s="1054">
        <f t="shared" si="5"/>
        <v>0</v>
      </c>
      <c r="I22"/>
    </row>
    <row r="23" spans="1:11" s="14" customFormat="1" ht="15">
      <c r="A23" s="277" t="s">
        <v>751</v>
      </c>
      <c r="B23" s="277"/>
      <c r="C23" s="165" t="s">
        <v>150</v>
      </c>
      <c r="D23" s="282">
        <v>0</v>
      </c>
      <c r="E23" s="1060">
        <v>0</v>
      </c>
      <c r="F23" s="1056">
        <f t="shared" si="3"/>
        <v>0</v>
      </c>
      <c r="G23" s="1053">
        <f t="shared" si="4"/>
        <v>0</v>
      </c>
      <c r="H23" s="1054">
        <f t="shared" si="5"/>
        <v>0</v>
      </c>
      <c r="I23"/>
    </row>
    <row r="24" spans="1:11" s="14" customFormat="1" ht="15">
      <c r="A24" s="277"/>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277"/>
      <c r="B30" s="277"/>
      <c r="C30" s="165" t="s">
        <v>150</v>
      </c>
      <c r="D30" s="282">
        <v>0</v>
      </c>
      <c r="E30" s="1060">
        <v>0</v>
      </c>
      <c r="F30" s="1056">
        <f t="shared" si="3"/>
        <v>0</v>
      </c>
      <c r="G30" s="1053">
        <f t="shared" si="4"/>
        <v>0</v>
      </c>
      <c r="H30" s="1054">
        <f t="shared" si="5"/>
        <v>0</v>
      </c>
    </row>
    <row r="31" spans="1:11" ht="15">
      <c r="A31" s="1545" t="s">
        <v>444</v>
      </c>
      <c r="B31" s="277"/>
      <c r="C31" s="1541" t="s">
        <v>235</v>
      </c>
      <c r="D31" s="1152">
        <v>1</v>
      </c>
      <c r="E31" s="1540">
        <f>'Muut kustannustiedot'!V42</f>
        <v>0</v>
      </c>
      <c r="F31" s="1056">
        <f>E31*D31</f>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941</v>
      </c>
      <c r="B36" s="277"/>
      <c r="C36" s="165" t="s">
        <v>15</v>
      </c>
      <c r="D36" s="282">
        <v>0</v>
      </c>
      <c r="E36" s="1060">
        <v>15.9</v>
      </c>
      <c r="F36" s="1056">
        <f t="shared" ref="F36:F41" si="6">D36*E36</f>
        <v>0</v>
      </c>
      <c r="G36" s="52"/>
      <c r="H36" s="1054">
        <f t="shared" ref="H36:H42" si="7">F36</f>
        <v>0</v>
      </c>
    </row>
    <row r="37" spans="1:8" ht="15">
      <c r="A37" s="277" t="s">
        <v>942</v>
      </c>
      <c r="B37" s="277"/>
      <c r="C37" s="165" t="s">
        <v>150</v>
      </c>
      <c r="D37" s="282">
        <v>0</v>
      </c>
      <c r="E37" s="1060">
        <v>0</v>
      </c>
      <c r="F37" s="1056">
        <f t="shared" si="6"/>
        <v>0</v>
      </c>
      <c r="G37" s="52"/>
      <c r="H37" s="1054">
        <f t="shared" si="7"/>
        <v>0</v>
      </c>
    </row>
    <row r="38" spans="1:8" ht="15">
      <c r="A38" s="277" t="s">
        <v>943</v>
      </c>
      <c r="B38" s="277"/>
      <c r="C38" s="165" t="s">
        <v>159</v>
      </c>
      <c r="D38" s="1152">
        <v>0.4</v>
      </c>
      <c r="E38" s="1298">
        <f>F37</f>
        <v>0</v>
      </c>
      <c r="F38" s="1056">
        <f t="shared" si="6"/>
        <v>0</v>
      </c>
      <c r="G38" s="52"/>
      <c r="H38" s="1054">
        <f t="shared" si="7"/>
        <v>0</v>
      </c>
    </row>
    <row r="39" spans="1:8" ht="15">
      <c r="A39" s="277" t="s">
        <v>752</v>
      </c>
      <c r="B39" s="277"/>
      <c r="C39" s="165" t="s">
        <v>150</v>
      </c>
      <c r="D39" s="282">
        <v>0</v>
      </c>
      <c r="E39" s="1060">
        <v>0</v>
      </c>
      <c r="F39" s="1056">
        <f t="shared" si="6"/>
        <v>0</v>
      </c>
      <c r="G39" s="52"/>
      <c r="H39" s="1054">
        <f t="shared" si="7"/>
        <v>0</v>
      </c>
    </row>
    <row r="40" spans="1:8" ht="15">
      <c r="A40" s="277" t="s">
        <v>944</v>
      </c>
      <c r="B40" s="277"/>
      <c r="C40" s="165" t="s">
        <v>159</v>
      </c>
      <c r="D40" s="282">
        <v>0</v>
      </c>
      <c r="E40" s="1060"/>
      <c r="F40" s="1056">
        <f t="shared" si="6"/>
        <v>0</v>
      </c>
      <c r="G40" s="52"/>
      <c r="H40" s="1054">
        <f t="shared" si="7"/>
        <v>0</v>
      </c>
    </row>
    <row r="41" spans="1:8" ht="15">
      <c r="A41" s="277" t="s">
        <v>945</v>
      </c>
      <c r="B41" s="277"/>
      <c r="C41" s="165" t="s">
        <v>150</v>
      </c>
      <c r="D41" s="282">
        <v>0</v>
      </c>
      <c r="E41" s="1060">
        <v>0</v>
      </c>
      <c r="F41" s="1056">
        <f t="shared" si="6"/>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1" t="s">
        <v>768</v>
      </c>
      <c r="E47" s="169"/>
      <c r="F47" s="171" t="s">
        <v>259</v>
      </c>
      <c r="G47" s="52"/>
      <c r="H47" s="252" t="s">
        <v>259</v>
      </c>
    </row>
    <row r="48" spans="1:8" ht="16.5" thickBot="1">
      <c r="A48" s="2677" t="s">
        <v>467</v>
      </c>
      <c r="B48" s="878" t="s">
        <v>231</v>
      </c>
      <c r="C48" s="305"/>
      <c r="D48" s="1064">
        <f>Konerekisteri!M33</f>
        <v>0</v>
      </c>
      <c r="E48" s="305"/>
      <c r="F48" s="1056">
        <f>D48</f>
        <v>0</v>
      </c>
      <c r="G48" s="1053">
        <f>IFERROR(F48/$F$57,0)</f>
        <v>0</v>
      </c>
      <c r="H48" s="1054">
        <f>F48</f>
        <v>0</v>
      </c>
    </row>
    <row r="49" spans="1:9" ht="16.5" thickBot="1">
      <c r="A49" s="2678"/>
      <c r="B49" s="878" t="s">
        <v>232</v>
      </c>
      <c r="C49" s="305"/>
      <c r="D49" s="1066">
        <f>Rakennukset!V28</f>
        <v>0</v>
      </c>
      <c r="E49" s="305"/>
      <c r="F49" s="1056">
        <f t="shared" ref="F49:F51" si="8">D49</f>
        <v>0</v>
      </c>
      <c r="G49" s="1053">
        <f t="shared" ref="G49:G51" si="9">IFERROR(F49/$F$57,0)</f>
        <v>0</v>
      </c>
      <c r="H49" s="1054">
        <f t="shared" ref="H49:H51" si="10">F49</f>
        <v>0</v>
      </c>
    </row>
    <row r="50" spans="1:9" ht="16.5" thickBot="1">
      <c r="A50" s="2678"/>
      <c r="B50" s="874" t="s">
        <v>468</v>
      </c>
      <c r="C50" s="1538"/>
      <c r="D50" s="1066">
        <f>'Muut kustannustiedot'!V28</f>
        <v>0</v>
      </c>
      <c r="E50" s="4"/>
      <c r="F50" s="1056">
        <f t="shared" si="8"/>
        <v>0</v>
      </c>
      <c r="G50" s="1053"/>
      <c r="H50" s="1054">
        <f t="shared" si="10"/>
        <v>0</v>
      </c>
    </row>
    <row r="51" spans="1:9" ht="16.5" thickBot="1">
      <c r="A51" s="2679"/>
      <c r="B51" s="874" t="s">
        <v>469</v>
      </c>
      <c r="C51" s="1065"/>
      <c r="D51" s="1068">
        <v>0</v>
      </c>
      <c r="E51" s="173"/>
      <c r="F51" s="1056">
        <f t="shared" si="8"/>
        <v>0</v>
      </c>
      <c r="G51" s="1053">
        <f t="shared" si="9"/>
        <v>0</v>
      </c>
      <c r="H51" s="1054">
        <f t="shared" si="10"/>
        <v>0</v>
      </c>
    </row>
    <row r="52" spans="1:9" ht="15.75" thickBot="1">
      <c r="A52" s="356"/>
      <c r="B52" s="174"/>
      <c r="C52" s="175"/>
      <c r="D52" s="1067"/>
      <c r="E52" s="177"/>
      <c r="F52" s="1056"/>
      <c r="G52" s="1053"/>
      <c r="H52" s="1054"/>
    </row>
    <row r="53" spans="1:9" ht="16.5" thickTop="1">
      <c r="A53" s="1" t="s">
        <v>470</v>
      </c>
      <c r="B53" s="1"/>
      <c r="C53" s="14"/>
      <c r="D53" s="14"/>
      <c r="E53" s="14"/>
      <c r="F53" s="1058">
        <f>SUM(F48:F52)</f>
        <v>0</v>
      </c>
      <c r="H53" s="1058">
        <f>SUM(H48:H52)</f>
        <v>0</v>
      </c>
      <c r="I53" s="10"/>
    </row>
    <row r="54" spans="1:9" ht="15.75">
      <c r="A54" s="1"/>
      <c r="B54" s="1"/>
      <c r="C54" s="14"/>
      <c r="D54" s="14"/>
      <c r="E54" s="14"/>
      <c r="F54" s="1063"/>
    </row>
    <row r="55" spans="1:9" ht="20.25">
      <c r="A55" s="1299" t="s">
        <v>770</v>
      </c>
      <c r="B55" t="s">
        <v>771</v>
      </c>
      <c r="C55" s="14"/>
      <c r="D55" s="14"/>
      <c r="E55" s="14"/>
      <c r="F55" s="1061">
        <f>F43-F53</f>
        <v>0</v>
      </c>
      <c r="H55" s="1105">
        <f>IFERROR(F55/$F$15,0)</f>
        <v>0</v>
      </c>
      <c r="I55" s="10"/>
    </row>
    <row r="112" ht="12.75" customHeight="1"/>
  </sheetData>
  <sheetProtection sheet="1" formatCells="0" formatColumns="0" formatRows="0"/>
  <mergeCells count="1">
    <mergeCell ref="A48:A51"/>
  </mergeCells>
  <hyperlinks>
    <hyperlink ref="B5" location="'Traktorin tuntihinta'!A1" display="Tuntihinnan voit laskea konelaskurilla" xr:uid="{00000000-0004-0000-2100-000000000000}"/>
  </hyperlink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
  <dimension ref="A1:AP44"/>
  <sheetViews>
    <sheetView zoomScale="90" zoomScaleNormal="90" zoomScaleSheetLayoutView="118" workbookViewId="0">
      <selection activeCell="A5" sqref="A5"/>
    </sheetView>
  </sheetViews>
  <sheetFormatPr defaultColWidth="11.42578125" defaultRowHeight="12.75"/>
  <cols>
    <col min="1" max="1" width="26.85546875" style="103" customWidth="1"/>
    <col min="2" max="2" width="9" style="103" customWidth="1"/>
    <col min="3" max="3" width="7.28515625" style="103" customWidth="1"/>
    <col min="4" max="5" width="0" style="103" hidden="1" customWidth="1"/>
    <col min="6" max="6" width="15.42578125" style="103" customWidth="1"/>
    <col min="7" max="7" width="14.140625" style="103" customWidth="1"/>
    <col min="8" max="8" width="11.140625" style="103" customWidth="1"/>
    <col min="9" max="9" width="9.5703125" style="103" customWidth="1"/>
    <col min="10" max="10" width="11.140625" style="103" customWidth="1"/>
    <col min="11" max="11" width="13.28515625" style="103" customWidth="1"/>
    <col min="12" max="12" width="11.42578125" style="103"/>
    <col min="13" max="13" width="10.42578125" style="103" customWidth="1"/>
    <col min="14" max="14" width="17.42578125" style="103" customWidth="1"/>
    <col min="15" max="15" width="15.140625" style="103" customWidth="1"/>
    <col min="16" max="16" width="15.42578125" style="103" customWidth="1"/>
    <col min="17" max="17" width="11.5703125" style="103" bestFit="1" customWidth="1"/>
    <col min="18" max="18" width="13.85546875" style="103" hidden="1" customWidth="1"/>
    <col min="19" max="19" width="12.140625" style="103" hidden="1" customWidth="1"/>
    <col min="20" max="20" width="12.28515625" style="103" hidden="1" customWidth="1"/>
    <col min="21" max="21" width="14.140625" style="103" hidden="1" customWidth="1"/>
    <col min="22" max="22" width="11.42578125" style="103"/>
    <col min="23" max="24" width="11.42578125" style="103" hidden="1" customWidth="1"/>
    <col min="25" max="25" width="12.5703125" style="103" hidden="1" customWidth="1"/>
    <col min="26" max="26" width="11.42578125" style="103" hidden="1" customWidth="1"/>
    <col min="27" max="27" width="11.42578125" style="103"/>
    <col min="28" max="31" width="11.42578125" style="103" hidden="1" customWidth="1"/>
    <col min="32" max="32" width="11.42578125" style="103"/>
    <col min="33" max="36" width="11.42578125" style="103" hidden="1" customWidth="1"/>
    <col min="37" max="37" width="11.42578125" style="103"/>
    <col min="38" max="41" width="11.42578125" style="103" hidden="1" customWidth="1"/>
    <col min="42" max="16384" width="11.42578125" style="103"/>
  </cols>
  <sheetData>
    <row r="1" spans="1:42" ht="15.75">
      <c r="A1" s="104" t="s">
        <v>369</v>
      </c>
      <c r="B1" s="104"/>
      <c r="O1" s="81" t="s">
        <v>370</v>
      </c>
    </row>
    <row r="2" spans="1:42" ht="13.5" thickBot="1">
      <c r="A2" s="105"/>
      <c r="G2" s="106"/>
      <c r="O2" s="81" t="s">
        <v>371</v>
      </c>
    </row>
    <row r="3" spans="1:42" ht="13.5" thickBot="1">
      <c r="A3" s="27"/>
      <c r="B3" s="106"/>
      <c r="C3" s="106"/>
      <c r="D3" s="106"/>
      <c r="E3" s="106"/>
      <c r="F3" s="106"/>
      <c r="G3" s="107"/>
      <c r="H3" s="2770" t="s">
        <v>291</v>
      </c>
      <c r="I3" s="2770"/>
      <c r="J3" s="2770"/>
      <c r="K3" s="2770"/>
      <c r="L3" s="107"/>
      <c r="O3" s="81" t="s">
        <v>372</v>
      </c>
      <c r="Q3" s="1655" t="s">
        <v>138</v>
      </c>
      <c r="R3" s="2774" t="s">
        <v>138</v>
      </c>
      <c r="S3" s="2775"/>
      <c r="T3" s="2775"/>
      <c r="U3" s="2776"/>
      <c r="V3" s="1655" t="s">
        <v>139</v>
      </c>
      <c r="W3" s="2774" t="s">
        <v>139</v>
      </c>
      <c r="X3" s="2775"/>
      <c r="Y3" s="2775"/>
      <c r="Z3" s="2776"/>
      <c r="AA3" s="1655" t="s">
        <v>140</v>
      </c>
      <c r="AB3" s="2774" t="s">
        <v>140</v>
      </c>
      <c r="AC3" s="2775"/>
      <c r="AD3" s="2775"/>
      <c r="AE3" s="2776"/>
      <c r="AF3" s="1655" t="s">
        <v>373</v>
      </c>
      <c r="AG3" s="2774" t="s">
        <v>374</v>
      </c>
      <c r="AH3" s="2775"/>
      <c r="AI3" s="2775"/>
      <c r="AJ3" s="2776"/>
      <c r="AK3" s="1655" t="s">
        <v>375</v>
      </c>
      <c r="AL3" s="2774" t="s">
        <v>375</v>
      </c>
      <c r="AM3" s="2775"/>
      <c r="AN3" s="2775"/>
      <c r="AO3" s="2776"/>
      <c r="AP3" s="1637"/>
    </row>
    <row r="4" spans="1:42" s="111" customFormat="1" ht="59.25" customHeight="1" thickBot="1">
      <c r="A4" s="108" t="s">
        <v>376</v>
      </c>
      <c r="B4" s="108" t="s">
        <v>377</v>
      </c>
      <c r="C4" s="108" t="s">
        <v>378</v>
      </c>
      <c r="D4" s="108" t="s">
        <v>379</v>
      </c>
      <c r="E4" s="1640" t="s">
        <v>295</v>
      </c>
      <c r="F4" s="1642" t="s">
        <v>380</v>
      </c>
      <c r="G4" s="1641" t="s">
        <v>381</v>
      </c>
      <c r="H4" s="108" t="s">
        <v>251</v>
      </c>
      <c r="I4" s="87" t="s">
        <v>257</v>
      </c>
      <c r="J4" s="108" t="s">
        <v>382</v>
      </c>
      <c r="K4" s="109" t="s">
        <v>383</v>
      </c>
      <c r="L4" s="108" t="s">
        <v>384</v>
      </c>
      <c r="M4" s="109" t="s">
        <v>385</v>
      </c>
      <c r="N4" s="108" t="s">
        <v>308</v>
      </c>
      <c r="O4" s="110"/>
      <c r="P4" s="1395" t="s">
        <v>386</v>
      </c>
      <c r="Q4" s="1623" t="s">
        <v>387</v>
      </c>
      <c r="R4" s="108" t="s">
        <v>382</v>
      </c>
      <c r="S4" s="1619" t="s">
        <v>24</v>
      </c>
      <c r="T4" s="1619" t="s">
        <v>388</v>
      </c>
      <c r="U4" s="1624" t="s">
        <v>386</v>
      </c>
      <c r="V4" s="1623" t="s">
        <v>387</v>
      </c>
      <c r="W4" s="108" t="s">
        <v>382</v>
      </c>
      <c r="X4" s="1619" t="s">
        <v>24</v>
      </c>
      <c r="Y4" s="1619" t="s">
        <v>388</v>
      </c>
      <c r="Z4" s="1624" t="s">
        <v>386</v>
      </c>
      <c r="AA4" s="1623" t="s">
        <v>387</v>
      </c>
      <c r="AB4" s="108" t="s">
        <v>382</v>
      </c>
      <c r="AC4" s="1619" t="s">
        <v>24</v>
      </c>
      <c r="AD4" s="1619" t="s">
        <v>388</v>
      </c>
      <c r="AE4" s="1624" t="s">
        <v>386</v>
      </c>
      <c r="AF4" s="1623" t="s">
        <v>387</v>
      </c>
      <c r="AG4" s="108" t="s">
        <v>382</v>
      </c>
      <c r="AH4" s="1619" t="s">
        <v>24</v>
      </c>
      <c r="AI4" s="1619" t="s">
        <v>388</v>
      </c>
      <c r="AJ4" s="1624" t="s">
        <v>386</v>
      </c>
      <c r="AK4" s="1623" t="s">
        <v>387</v>
      </c>
      <c r="AL4" s="108" t="s">
        <v>382</v>
      </c>
      <c r="AM4" s="1619" t="s">
        <v>24</v>
      </c>
      <c r="AN4" s="1619" t="s">
        <v>388</v>
      </c>
      <c r="AO4" s="1624" t="s">
        <v>386</v>
      </c>
    </row>
    <row r="5" spans="1:42">
      <c r="A5" s="112" t="s">
        <v>389</v>
      </c>
      <c r="B5" s="113"/>
      <c r="C5" s="114">
        <v>5</v>
      </c>
      <c r="D5" s="115">
        <v>3</v>
      </c>
      <c r="E5" s="116">
        <v>0</v>
      </c>
      <c r="F5" s="117">
        <v>0</v>
      </c>
      <c r="G5" s="118">
        <f>J5-K5</f>
        <v>0</v>
      </c>
      <c r="H5" s="119">
        <v>0.05</v>
      </c>
      <c r="I5" s="85">
        <f>IFERROR((H5*(1+H5)^C5)/(((1+H5)^C5)-1),0)</f>
        <v>0.23097479812826807</v>
      </c>
      <c r="J5" s="93">
        <f>IFERROR(ABS(PMT(H5,C5,SUM(F5:F5),0,0)),0)</f>
        <v>0</v>
      </c>
      <c r="K5" s="120">
        <f t="shared" ref="K5:K20" si="0">H5*(SUM(F5:F5))</f>
        <v>0</v>
      </c>
      <c r="L5" s="121">
        <v>0</v>
      </c>
      <c r="M5" s="122">
        <v>0</v>
      </c>
      <c r="N5" s="123">
        <f>SUM(G5,K5,L5,M5)</f>
        <v>0</v>
      </c>
      <c r="O5" s="88" t="s">
        <v>390</v>
      </c>
      <c r="P5" s="1138">
        <f>F5-G5</f>
        <v>0</v>
      </c>
      <c r="Q5" s="1625">
        <v>0</v>
      </c>
      <c r="R5" s="93">
        <f>IFERROR(ABS(PMT($H5,$C5-1,IF(AND($F5&gt;0,Q5&gt;0),P5-Q5,P5-Q5),0,0)),0)</f>
        <v>0</v>
      </c>
      <c r="S5" s="1620">
        <f>IF(P5&gt;0.1,$H5*(P5-Q5),0)</f>
        <v>0</v>
      </c>
      <c r="T5" s="1621">
        <f>IF(P5&gt;0.1,R5-S5,0)</f>
        <v>0</v>
      </c>
      <c r="U5" s="1626">
        <f>IF(P5&gt;0.1,P5-T5-Q5,0)</f>
        <v>0</v>
      </c>
      <c r="V5" s="1625">
        <v>0</v>
      </c>
      <c r="W5" s="93">
        <f>IFERROR(ABS(PMT($H5,$C5-2,IF(AND($F5&gt;0,V5&gt;0),U5-V5,U5-V5),0,0)),0)</f>
        <v>0</v>
      </c>
      <c r="X5" s="1620">
        <f>IF(U5&gt;0.1,$H5*(U5-V5),0)</f>
        <v>0</v>
      </c>
      <c r="Y5" s="1621">
        <f>IF(U5&gt;0.1,W5-X5,0)</f>
        <v>0</v>
      </c>
      <c r="Z5" s="1626">
        <f>IF(U5&gt;0.1,U5-Y5-V5,0)</f>
        <v>0</v>
      </c>
      <c r="AA5" s="1625">
        <v>0</v>
      </c>
      <c r="AB5" s="93">
        <f>IFERROR(ABS(PMT($H5,$C5-3,IF(AND($F5&gt;0,AA5&gt;0),Z5-AA5,Z5-AA5),0,0)),0)</f>
        <v>0</v>
      </c>
      <c r="AC5" s="1620">
        <f>IF(Z5&gt;0.1,$H5*(Z5-AA5),0)</f>
        <v>0</v>
      </c>
      <c r="AD5" s="1621">
        <f>IF(Z5&gt;0.1,AB5-AC5,0)</f>
        <v>0</v>
      </c>
      <c r="AE5" s="1626">
        <f>IF(Z5&gt;0.1,Z5-AD5-AA5,0)</f>
        <v>0</v>
      </c>
      <c r="AF5" s="1625">
        <v>0</v>
      </c>
      <c r="AG5" s="93">
        <f>IFERROR(ABS(PMT($H5,$C5-4,IF(AND($F5&gt;0,AF5&gt;0),AE5-AF5,AE5-AF5),0,0)),0)</f>
        <v>0</v>
      </c>
      <c r="AH5" s="1620">
        <f>IF(AE5&gt;0.1,$H5*(AE5-AF5),0)</f>
        <v>0</v>
      </c>
      <c r="AI5" s="1621">
        <f>IF(AE5&gt;0.1,AG5-AH5,0)</f>
        <v>0</v>
      </c>
      <c r="AJ5" s="1626">
        <f>IF(AE5&gt;0.1,AE5-AI5-AF5,0)</f>
        <v>0</v>
      </c>
      <c r="AK5" s="1625">
        <v>0</v>
      </c>
      <c r="AL5" s="93">
        <f t="shared" ref="AL5:AL20" si="1">IFERROR(ABS(PMT($H5,$C5-5,IF(AND($F5&gt;0,AK5&gt;0),AJ5-AK5,AJ5-AK5),0,0)),0)</f>
        <v>0</v>
      </c>
      <c r="AM5" s="1620">
        <f>IF(AJ5&gt;0.1,$H5*(AJ5-AK5),0)</f>
        <v>0</v>
      </c>
      <c r="AN5" s="1621">
        <f>IF(AJ5&gt;0.1,AL5-AM5,0)</f>
        <v>0</v>
      </c>
      <c r="AO5" s="1626">
        <f>IF(AJ5&gt;0.1,AJ5-AN5-AK5,0)</f>
        <v>0</v>
      </c>
    </row>
    <row r="6" spans="1:42">
      <c r="A6" s="112" t="s">
        <v>391</v>
      </c>
      <c r="B6" s="113"/>
      <c r="C6" s="114">
        <v>5</v>
      </c>
      <c r="D6" s="124">
        <v>3</v>
      </c>
      <c r="E6" s="116">
        <v>0</v>
      </c>
      <c r="F6" s="117">
        <v>0</v>
      </c>
      <c r="G6" s="118">
        <f t="shared" ref="G6:G20" si="2">J6-K6</f>
        <v>0</v>
      </c>
      <c r="H6" s="119">
        <v>0.05</v>
      </c>
      <c r="I6" s="85">
        <f t="shared" ref="I6:I20" si="3">IFERROR((H6*(1+H6)^C6)/(((1+H6)^C6)-1),0)</f>
        <v>0.23097479812826807</v>
      </c>
      <c r="J6" s="93">
        <f t="shared" ref="J6:J20" si="4">IFERROR(ABS(PMT(H6,C6,SUM(F6:F6),0,0)),0)</f>
        <v>0</v>
      </c>
      <c r="K6" s="120">
        <f t="shared" si="0"/>
        <v>0</v>
      </c>
      <c r="L6" s="121">
        <v>0</v>
      </c>
      <c r="M6" s="122">
        <v>0</v>
      </c>
      <c r="N6" s="123">
        <f t="shared" ref="N6:N20" si="5">SUM(G6,K6,L6,M6)</f>
        <v>0</v>
      </c>
      <c r="O6" s="88" t="s">
        <v>390</v>
      </c>
      <c r="P6" s="1138">
        <f t="shared" ref="P6:P20" si="6">F6-G6</f>
        <v>0</v>
      </c>
      <c r="Q6" s="1625"/>
      <c r="R6" s="93">
        <f t="shared" ref="R6:R20" si="7">IFERROR(ABS(PMT($H6,$C6-1,IF(AND($F6&gt;0,Q6&gt;0),P6-Q6,P6-Q6),0,0)),0)</f>
        <v>0</v>
      </c>
      <c r="S6" s="1620">
        <f t="shared" ref="S6:S20" si="8">IF(P6&gt;0.1,$H6*(P6-Q6),0)</f>
        <v>0</v>
      </c>
      <c r="T6" s="1621">
        <f t="shared" ref="T6:T20" si="9">IF(P6&gt;0.1,R6-S6,0)</f>
        <v>0</v>
      </c>
      <c r="U6" s="1626">
        <f t="shared" ref="U6:U19" si="10">IF(P6&gt;0.1,P6-T6-Q6,0)</f>
        <v>0</v>
      </c>
      <c r="V6" s="1625">
        <v>0</v>
      </c>
      <c r="W6" s="93">
        <f t="shared" ref="W6:W20" si="11">IFERROR(ABS(PMT($H6,$C6-2,IF(AND($F6&gt;0,V6&gt;0),U6-V6,U6-V6),0,0)),0)</f>
        <v>0</v>
      </c>
      <c r="X6" s="1620">
        <f t="shared" ref="X6:X20" si="12">IF(U6&gt;0.1,$H6*(U6-V6),0)</f>
        <v>0</v>
      </c>
      <c r="Y6" s="1621">
        <f t="shared" ref="Y6:Y20" si="13">IF(U6&gt;0.1,W6-X6,0)</f>
        <v>0</v>
      </c>
      <c r="Z6" s="1626">
        <f t="shared" ref="Z6:Z20" si="14">IF(U6&gt;0.1,U6-Y6-V6,0)</f>
        <v>0</v>
      </c>
      <c r="AA6" s="1625">
        <v>0</v>
      </c>
      <c r="AB6" s="93">
        <f t="shared" ref="AB6:AB20" si="15">IFERROR(ABS(PMT($H6,$C6-3,IF(AND($F6&gt;0,AA6&gt;0),Z6-AA6,Z6-AA6),0,0)),0)</f>
        <v>0</v>
      </c>
      <c r="AC6" s="1620">
        <f t="shared" ref="AC6:AC20" si="16">IF(Z6&gt;0.1,$H6*(Z6-AA6),0)</f>
        <v>0</v>
      </c>
      <c r="AD6" s="1621">
        <f t="shared" ref="AD6:AD20" si="17">IF(Z6&gt;0.1,AB6-AC6,0)</f>
        <v>0</v>
      </c>
      <c r="AE6" s="1626">
        <f t="shared" ref="AE6:AE20" si="18">IF(Z6&gt;0.1,Z6-AD6-AA6,0)</f>
        <v>0</v>
      </c>
      <c r="AF6" s="1625">
        <v>0</v>
      </c>
      <c r="AG6" s="93">
        <f t="shared" ref="AG6:AG19" si="19">IFERROR(ABS(PMT($H6,$C6-4,IF(AND($F6&gt;0,AF6&gt;0),AE6-AF6,AE6-AF6),0,0)),0)</f>
        <v>0</v>
      </c>
      <c r="AH6" s="1620">
        <f t="shared" ref="AH6:AH20" si="20">IF(AE6&gt;0.1,$H6*(AE6-AF6),0)</f>
        <v>0</v>
      </c>
      <c r="AI6" s="1621">
        <f t="shared" ref="AI6:AI20" si="21">IF(AE6&gt;0.1,AG6-AH6,0)</f>
        <v>0</v>
      </c>
      <c r="AJ6" s="1626">
        <f t="shared" ref="AJ6:AJ20" si="22">IF(AE6&gt;0.1,AE6-AI6-AF6,0)</f>
        <v>0</v>
      </c>
      <c r="AK6" s="1625">
        <v>0</v>
      </c>
      <c r="AL6" s="93">
        <f t="shared" si="1"/>
        <v>0</v>
      </c>
      <c r="AM6" s="1620">
        <f t="shared" ref="AM6:AM20" si="23">IF(AJ6&gt;0.1,$H6*(AJ6-AK6),0)</f>
        <v>0</v>
      </c>
      <c r="AN6" s="1621">
        <f t="shared" ref="AN6:AN20" si="24">IF(AJ6&gt;0.1,AL6-AM6,0)</f>
        <v>0</v>
      </c>
      <c r="AO6" s="1626">
        <f t="shared" ref="AO6:AO20" si="25">IF(AJ6&gt;0.1,AJ6-AN6-AK6,0)</f>
        <v>0</v>
      </c>
    </row>
    <row r="7" spans="1:42">
      <c r="A7" s="112" t="s">
        <v>392</v>
      </c>
      <c r="B7" s="113"/>
      <c r="C7" s="114">
        <v>5</v>
      </c>
      <c r="D7" s="124">
        <v>4</v>
      </c>
      <c r="E7" s="116">
        <v>0</v>
      </c>
      <c r="F7" s="117">
        <v>0</v>
      </c>
      <c r="G7" s="118">
        <f t="shared" si="2"/>
        <v>0</v>
      </c>
      <c r="H7" s="119">
        <v>0.05</v>
      </c>
      <c r="I7" s="85">
        <f t="shared" si="3"/>
        <v>0.23097479812826807</v>
      </c>
      <c r="J7" s="93">
        <f t="shared" si="4"/>
        <v>0</v>
      </c>
      <c r="K7" s="120">
        <f t="shared" si="0"/>
        <v>0</v>
      </c>
      <c r="L7" s="121">
        <v>0</v>
      </c>
      <c r="M7" s="122">
        <v>0</v>
      </c>
      <c r="N7" s="123">
        <f t="shared" si="5"/>
        <v>0</v>
      </c>
      <c r="O7" s="88" t="s">
        <v>393</v>
      </c>
      <c r="P7" s="1138">
        <f t="shared" si="6"/>
        <v>0</v>
      </c>
      <c r="Q7" s="1625">
        <v>0</v>
      </c>
      <c r="R7" s="93">
        <f t="shared" si="7"/>
        <v>0</v>
      </c>
      <c r="S7" s="1620">
        <f t="shared" si="8"/>
        <v>0</v>
      </c>
      <c r="T7" s="1621">
        <f t="shared" si="9"/>
        <v>0</v>
      </c>
      <c r="U7" s="1626">
        <f t="shared" si="10"/>
        <v>0</v>
      </c>
      <c r="V7" s="1625">
        <v>0</v>
      </c>
      <c r="W7" s="93">
        <f t="shared" si="11"/>
        <v>0</v>
      </c>
      <c r="X7" s="1620">
        <f t="shared" si="12"/>
        <v>0</v>
      </c>
      <c r="Y7" s="1621">
        <f t="shared" si="13"/>
        <v>0</v>
      </c>
      <c r="Z7" s="1626">
        <f t="shared" si="14"/>
        <v>0</v>
      </c>
      <c r="AA7" s="1625">
        <v>0</v>
      </c>
      <c r="AB7" s="93">
        <f t="shared" si="15"/>
        <v>0</v>
      </c>
      <c r="AC7" s="1620">
        <f t="shared" si="16"/>
        <v>0</v>
      </c>
      <c r="AD7" s="1621">
        <f t="shared" si="17"/>
        <v>0</v>
      </c>
      <c r="AE7" s="1626">
        <f t="shared" si="18"/>
        <v>0</v>
      </c>
      <c r="AF7" s="1625">
        <v>0</v>
      </c>
      <c r="AG7" s="93">
        <f t="shared" si="19"/>
        <v>0</v>
      </c>
      <c r="AH7" s="1620">
        <f t="shared" si="20"/>
        <v>0</v>
      </c>
      <c r="AI7" s="1621">
        <f t="shared" si="21"/>
        <v>0</v>
      </c>
      <c r="AJ7" s="1626">
        <f t="shared" si="22"/>
        <v>0</v>
      </c>
      <c r="AK7" s="1625">
        <v>0</v>
      </c>
      <c r="AL7" s="93">
        <f t="shared" si="1"/>
        <v>0</v>
      </c>
      <c r="AM7" s="1620">
        <f t="shared" si="23"/>
        <v>0</v>
      </c>
      <c r="AN7" s="1621">
        <f t="shared" si="24"/>
        <v>0</v>
      </c>
      <c r="AO7" s="1626">
        <f t="shared" si="25"/>
        <v>0</v>
      </c>
    </row>
    <row r="8" spans="1:42">
      <c r="A8" s="112" t="s">
        <v>394</v>
      </c>
      <c r="B8" s="113"/>
      <c r="C8" s="114">
        <v>5</v>
      </c>
      <c r="D8" s="124">
        <v>4</v>
      </c>
      <c r="E8" s="116">
        <v>0</v>
      </c>
      <c r="F8" s="117">
        <v>0</v>
      </c>
      <c r="G8" s="118">
        <f t="shared" si="2"/>
        <v>0</v>
      </c>
      <c r="H8" s="119">
        <v>0.05</v>
      </c>
      <c r="I8" s="85">
        <f t="shared" si="3"/>
        <v>0.23097479812826807</v>
      </c>
      <c r="J8" s="93">
        <f t="shared" si="4"/>
        <v>0</v>
      </c>
      <c r="K8" s="120">
        <f t="shared" si="0"/>
        <v>0</v>
      </c>
      <c r="L8" s="121">
        <v>0</v>
      </c>
      <c r="M8" s="122">
        <v>0</v>
      </c>
      <c r="N8" s="123">
        <f t="shared" si="5"/>
        <v>0</v>
      </c>
      <c r="O8" s="88" t="s">
        <v>212</v>
      </c>
      <c r="P8" s="1138">
        <f t="shared" si="6"/>
        <v>0</v>
      </c>
      <c r="Q8" s="1625"/>
      <c r="R8" s="93">
        <f t="shared" si="7"/>
        <v>0</v>
      </c>
      <c r="S8" s="1620">
        <f t="shared" si="8"/>
        <v>0</v>
      </c>
      <c r="T8" s="1621">
        <f t="shared" si="9"/>
        <v>0</v>
      </c>
      <c r="U8" s="1626">
        <f t="shared" si="10"/>
        <v>0</v>
      </c>
      <c r="V8" s="1625">
        <v>0</v>
      </c>
      <c r="W8" s="93">
        <f t="shared" si="11"/>
        <v>0</v>
      </c>
      <c r="X8" s="1620">
        <f t="shared" si="12"/>
        <v>0</v>
      </c>
      <c r="Y8" s="1621">
        <f t="shared" si="13"/>
        <v>0</v>
      </c>
      <c r="Z8" s="1626">
        <f t="shared" si="14"/>
        <v>0</v>
      </c>
      <c r="AA8" s="1625">
        <v>0</v>
      </c>
      <c r="AB8" s="93">
        <f t="shared" si="15"/>
        <v>0</v>
      </c>
      <c r="AC8" s="1620">
        <f t="shared" si="16"/>
        <v>0</v>
      </c>
      <c r="AD8" s="1621">
        <f t="shared" si="17"/>
        <v>0</v>
      </c>
      <c r="AE8" s="1626">
        <f t="shared" si="18"/>
        <v>0</v>
      </c>
      <c r="AF8" s="1625">
        <v>0</v>
      </c>
      <c r="AG8" s="93">
        <f t="shared" si="19"/>
        <v>0</v>
      </c>
      <c r="AH8" s="1620">
        <f t="shared" si="20"/>
        <v>0</v>
      </c>
      <c r="AI8" s="1621">
        <f t="shared" si="21"/>
        <v>0</v>
      </c>
      <c r="AJ8" s="1626">
        <f t="shared" si="22"/>
        <v>0</v>
      </c>
      <c r="AK8" s="1625">
        <v>0</v>
      </c>
      <c r="AL8" s="93">
        <f t="shared" si="1"/>
        <v>0</v>
      </c>
      <c r="AM8" s="1620">
        <f t="shared" si="23"/>
        <v>0</v>
      </c>
      <c r="AN8" s="1621">
        <f t="shared" si="24"/>
        <v>0</v>
      </c>
      <c r="AO8" s="1626">
        <f t="shared" si="25"/>
        <v>0</v>
      </c>
    </row>
    <row r="9" spans="1:42">
      <c r="A9" s="112" t="s">
        <v>395</v>
      </c>
      <c r="B9" s="113"/>
      <c r="C9" s="114">
        <v>5</v>
      </c>
      <c r="D9" s="124">
        <v>4</v>
      </c>
      <c r="E9" s="116">
        <v>0</v>
      </c>
      <c r="F9" s="117">
        <v>0</v>
      </c>
      <c r="G9" s="118">
        <f t="shared" si="2"/>
        <v>0</v>
      </c>
      <c r="H9" s="119">
        <v>0.05</v>
      </c>
      <c r="I9" s="85">
        <f t="shared" si="3"/>
        <v>0.23097479812826807</v>
      </c>
      <c r="J9" s="93">
        <f t="shared" si="4"/>
        <v>0</v>
      </c>
      <c r="K9" s="120">
        <f t="shared" si="0"/>
        <v>0</v>
      </c>
      <c r="L9" s="121">
        <v>0</v>
      </c>
      <c r="M9" s="122">
        <v>0</v>
      </c>
      <c r="N9" s="123">
        <f t="shared" si="5"/>
        <v>0</v>
      </c>
      <c r="O9" s="88" t="s">
        <v>390</v>
      </c>
      <c r="P9" s="1138">
        <f t="shared" si="6"/>
        <v>0</v>
      </c>
      <c r="Q9" s="1625">
        <v>0</v>
      </c>
      <c r="R9" s="93">
        <f t="shared" si="7"/>
        <v>0</v>
      </c>
      <c r="S9" s="1620">
        <f t="shared" si="8"/>
        <v>0</v>
      </c>
      <c r="T9" s="1621">
        <f t="shared" si="9"/>
        <v>0</v>
      </c>
      <c r="U9" s="1626">
        <f t="shared" si="10"/>
        <v>0</v>
      </c>
      <c r="V9" s="1625">
        <v>0</v>
      </c>
      <c r="W9" s="93">
        <f t="shared" si="11"/>
        <v>0</v>
      </c>
      <c r="X9" s="1620">
        <f t="shared" si="12"/>
        <v>0</v>
      </c>
      <c r="Y9" s="1621">
        <f t="shared" si="13"/>
        <v>0</v>
      </c>
      <c r="Z9" s="1626">
        <f t="shared" si="14"/>
        <v>0</v>
      </c>
      <c r="AA9" s="1625">
        <v>0</v>
      </c>
      <c r="AB9" s="93">
        <f t="shared" si="15"/>
        <v>0</v>
      </c>
      <c r="AC9" s="1620">
        <f t="shared" si="16"/>
        <v>0</v>
      </c>
      <c r="AD9" s="1621">
        <f t="shared" si="17"/>
        <v>0</v>
      </c>
      <c r="AE9" s="1626">
        <f t="shared" si="18"/>
        <v>0</v>
      </c>
      <c r="AF9" s="1625">
        <v>0</v>
      </c>
      <c r="AG9" s="93">
        <f t="shared" si="19"/>
        <v>0</v>
      </c>
      <c r="AH9" s="1620">
        <f t="shared" si="20"/>
        <v>0</v>
      </c>
      <c r="AI9" s="1621">
        <f t="shared" si="21"/>
        <v>0</v>
      </c>
      <c r="AJ9" s="1626">
        <f t="shared" si="22"/>
        <v>0</v>
      </c>
      <c r="AK9" s="1625">
        <v>0</v>
      </c>
      <c r="AL9" s="93">
        <f t="shared" si="1"/>
        <v>0</v>
      </c>
      <c r="AM9" s="1620">
        <f t="shared" si="23"/>
        <v>0</v>
      </c>
      <c r="AN9" s="1621">
        <f t="shared" si="24"/>
        <v>0</v>
      </c>
      <c r="AO9" s="1626">
        <f t="shared" si="25"/>
        <v>0</v>
      </c>
    </row>
    <row r="10" spans="1:42">
      <c r="A10" s="112" t="s">
        <v>396</v>
      </c>
      <c r="B10" s="113"/>
      <c r="C10" s="114">
        <v>5</v>
      </c>
      <c r="D10" s="124">
        <v>4</v>
      </c>
      <c r="E10" s="116">
        <v>0</v>
      </c>
      <c r="F10" s="117">
        <v>0</v>
      </c>
      <c r="G10" s="118">
        <f t="shared" si="2"/>
        <v>0</v>
      </c>
      <c r="H10" s="119">
        <v>0.05</v>
      </c>
      <c r="I10" s="85">
        <f t="shared" si="3"/>
        <v>0.23097479812826807</v>
      </c>
      <c r="J10" s="93">
        <f t="shared" si="4"/>
        <v>0</v>
      </c>
      <c r="K10" s="120">
        <f t="shared" si="0"/>
        <v>0</v>
      </c>
      <c r="L10" s="121">
        <v>0</v>
      </c>
      <c r="M10" s="122">
        <v>0</v>
      </c>
      <c r="N10" s="123">
        <f t="shared" si="5"/>
        <v>0</v>
      </c>
      <c r="O10" s="88" t="s">
        <v>390</v>
      </c>
      <c r="P10" s="1138">
        <f t="shared" si="6"/>
        <v>0</v>
      </c>
      <c r="Q10" s="1625">
        <v>0</v>
      </c>
      <c r="R10" s="93">
        <f t="shared" si="7"/>
        <v>0</v>
      </c>
      <c r="S10" s="1620">
        <f t="shared" si="8"/>
        <v>0</v>
      </c>
      <c r="T10" s="1621">
        <f t="shared" si="9"/>
        <v>0</v>
      </c>
      <c r="U10" s="1626">
        <f t="shared" si="10"/>
        <v>0</v>
      </c>
      <c r="V10" s="1625">
        <v>0</v>
      </c>
      <c r="W10" s="93">
        <f t="shared" si="11"/>
        <v>0</v>
      </c>
      <c r="X10" s="1620">
        <f t="shared" si="12"/>
        <v>0</v>
      </c>
      <c r="Y10" s="1621">
        <f t="shared" si="13"/>
        <v>0</v>
      </c>
      <c r="Z10" s="1626">
        <f t="shared" si="14"/>
        <v>0</v>
      </c>
      <c r="AA10" s="1625">
        <v>0</v>
      </c>
      <c r="AB10" s="93">
        <f t="shared" si="15"/>
        <v>0</v>
      </c>
      <c r="AC10" s="1620">
        <f t="shared" si="16"/>
        <v>0</v>
      </c>
      <c r="AD10" s="1621">
        <f t="shared" si="17"/>
        <v>0</v>
      </c>
      <c r="AE10" s="1626">
        <f t="shared" si="18"/>
        <v>0</v>
      </c>
      <c r="AF10" s="1625">
        <v>0</v>
      </c>
      <c r="AG10" s="93">
        <f t="shared" si="19"/>
        <v>0</v>
      </c>
      <c r="AH10" s="1620">
        <f t="shared" si="20"/>
        <v>0</v>
      </c>
      <c r="AI10" s="1621">
        <f t="shared" si="21"/>
        <v>0</v>
      </c>
      <c r="AJ10" s="1626">
        <f t="shared" si="22"/>
        <v>0</v>
      </c>
      <c r="AK10" s="1625">
        <v>0</v>
      </c>
      <c r="AL10" s="93">
        <f t="shared" si="1"/>
        <v>0</v>
      </c>
      <c r="AM10" s="1620">
        <f t="shared" si="23"/>
        <v>0</v>
      </c>
      <c r="AN10" s="1621">
        <f t="shared" si="24"/>
        <v>0</v>
      </c>
      <c r="AO10" s="1626">
        <f t="shared" si="25"/>
        <v>0</v>
      </c>
    </row>
    <row r="11" spans="1:42">
      <c r="A11" s="112" t="s">
        <v>397</v>
      </c>
      <c r="B11" s="113"/>
      <c r="C11" s="114">
        <v>5</v>
      </c>
      <c r="D11" s="124">
        <v>4</v>
      </c>
      <c r="E11" s="116">
        <v>0</v>
      </c>
      <c r="F11" s="117">
        <v>0</v>
      </c>
      <c r="G11" s="118">
        <f t="shared" si="2"/>
        <v>0</v>
      </c>
      <c r="H11" s="119">
        <v>0.05</v>
      </c>
      <c r="I11" s="85">
        <f t="shared" si="3"/>
        <v>0.23097479812826807</v>
      </c>
      <c r="J11" s="93">
        <f t="shared" si="4"/>
        <v>0</v>
      </c>
      <c r="K11" s="120">
        <f t="shared" si="0"/>
        <v>0</v>
      </c>
      <c r="L11" s="121">
        <v>0</v>
      </c>
      <c r="M11" s="122">
        <v>0</v>
      </c>
      <c r="N11" s="123">
        <f t="shared" si="5"/>
        <v>0</v>
      </c>
      <c r="O11" s="88" t="s">
        <v>390</v>
      </c>
      <c r="P11" s="1138">
        <f t="shared" si="6"/>
        <v>0</v>
      </c>
      <c r="Q11" s="1625">
        <v>0</v>
      </c>
      <c r="R11" s="93">
        <f t="shared" si="7"/>
        <v>0</v>
      </c>
      <c r="S11" s="1620">
        <f t="shared" si="8"/>
        <v>0</v>
      </c>
      <c r="T11" s="1621">
        <f t="shared" si="9"/>
        <v>0</v>
      </c>
      <c r="U11" s="1626">
        <f t="shared" si="10"/>
        <v>0</v>
      </c>
      <c r="V11" s="1625">
        <v>0</v>
      </c>
      <c r="W11" s="93">
        <f t="shared" si="11"/>
        <v>0</v>
      </c>
      <c r="X11" s="1620">
        <f t="shared" si="12"/>
        <v>0</v>
      </c>
      <c r="Y11" s="1621">
        <f t="shared" si="13"/>
        <v>0</v>
      </c>
      <c r="Z11" s="1626">
        <f t="shared" si="14"/>
        <v>0</v>
      </c>
      <c r="AA11" s="1625">
        <v>0</v>
      </c>
      <c r="AB11" s="93">
        <f t="shared" si="15"/>
        <v>0</v>
      </c>
      <c r="AC11" s="1620">
        <f t="shared" si="16"/>
        <v>0</v>
      </c>
      <c r="AD11" s="1621">
        <f t="shared" si="17"/>
        <v>0</v>
      </c>
      <c r="AE11" s="1626">
        <f t="shared" si="18"/>
        <v>0</v>
      </c>
      <c r="AF11" s="1625">
        <v>0</v>
      </c>
      <c r="AG11" s="93">
        <f t="shared" si="19"/>
        <v>0</v>
      </c>
      <c r="AH11" s="1620">
        <f t="shared" si="20"/>
        <v>0</v>
      </c>
      <c r="AI11" s="1621">
        <f t="shared" si="21"/>
        <v>0</v>
      </c>
      <c r="AJ11" s="1626">
        <f t="shared" si="22"/>
        <v>0</v>
      </c>
      <c r="AK11" s="1625">
        <v>0</v>
      </c>
      <c r="AL11" s="93">
        <f t="shared" si="1"/>
        <v>0</v>
      </c>
      <c r="AM11" s="1620">
        <f t="shared" si="23"/>
        <v>0</v>
      </c>
      <c r="AN11" s="1621">
        <f t="shared" si="24"/>
        <v>0</v>
      </c>
      <c r="AO11" s="1626">
        <f t="shared" si="25"/>
        <v>0</v>
      </c>
    </row>
    <row r="12" spans="1:42">
      <c r="A12" s="112" t="s">
        <v>398</v>
      </c>
      <c r="B12" s="113"/>
      <c r="C12" s="114">
        <v>5</v>
      </c>
      <c r="D12" s="124">
        <v>4</v>
      </c>
      <c r="E12" s="116">
        <v>0</v>
      </c>
      <c r="F12" s="117">
        <v>0</v>
      </c>
      <c r="G12" s="118">
        <f t="shared" si="2"/>
        <v>0</v>
      </c>
      <c r="H12" s="119">
        <v>0.05</v>
      </c>
      <c r="I12" s="85">
        <f t="shared" si="3"/>
        <v>0.23097479812826807</v>
      </c>
      <c r="J12" s="93">
        <f t="shared" si="4"/>
        <v>0</v>
      </c>
      <c r="K12" s="120">
        <f t="shared" si="0"/>
        <v>0</v>
      </c>
      <c r="L12" s="121">
        <v>0</v>
      </c>
      <c r="M12" s="122">
        <v>0</v>
      </c>
      <c r="N12" s="123">
        <f t="shared" si="5"/>
        <v>0</v>
      </c>
      <c r="O12" s="88" t="s">
        <v>390</v>
      </c>
      <c r="P12" s="1138">
        <f t="shared" si="6"/>
        <v>0</v>
      </c>
      <c r="Q12" s="1625">
        <v>0</v>
      </c>
      <c r="R12" s="93">
        <f t="shared" si="7"/>
        <v>0</v>
      </c>
      <c r="S12" s="1620">
        <f t="shared" si="8"/>
        <v>0</v>
      </c>
      <c r="T12" s="1621">
        <f t="shared" si="9"/>
        <v>0</v>
      </c>
      <c r="U12" s="1626">
        <f t="shared" si="10"/>
        <v>0</v>
      </c>
      <c r="V12" s="1625">
        <v>0</v>
      </c>
      <c r="W12" s="93">
        <f t="shared" si="11"/>
        <v>0</v>
      </c>
      <c r="X12" s="1620">
        <f t="shared" si="12"/>
        <v>0</v>
      </c>
      <c r="Y12" s="1621">
        <f t="shared" si="13"/>
        <v>0</v>
      </c>
      <c r="Z12" s="1626">
        <f t="shared" si="14"/>
        <v>0</v>
      </c>
      <c r="AA12" s="1625">
        <v>0</v>
      </c>
      <c r="AB12" s="93">
        <f t="shared" si="15"/>
        <v>0</v>
      </c>
      <c r="AC12" s="1620">
        <f t="shared" si="16"/>
        <v>0</v>
      </c>
      <c r="AD12" s="1621">
        <f t="shared" si="17"/>
        <v>0</v>
      </c>
      <c r="AE12" s="1626">
        <f t="shared" si="18"/>
        <v>0</v>
      </c>
      <c r="AF12" s="1625">
        <v>0</v>
      </c>
      <c r="AG12" s="93">
        <f t="shared" si="19"/>
        <v>0</v>
      </c>
      <c r="AH12" s="1620">
        <f t="shared" si="20"/>
        <v>0</v>
      </c>
      <c r="AI12" s="1621">
        <f t="shared" si="21"/>
        <v>0</v>
      </c>
      <c r="AJ12" s="1626">
        <f t="shared" si="22"/>
        <v>0</v>
      </c>
      <c r="AK12" s="1625">
        <v>0</v>
      </c>
      <c r="AL12" s="93">
        <f t="shared" si="1"/>
        <v>0</v>
      </c>
      <c r="AM12" s="1620">
        <f t="shared" si="23"/>
        <v>0</v>
      </c>
      <c r="AN12" s="1621">
        <f t="shared" si="24"/>
        <v>0</v>
      </c>
      <c r="AO12" s="1626">
        <f t="shared" si="25"/>
        <v>0</v>
      </c>
    </row>
    <row r="13" spans="1:42">
      <c r="A13" s="112" t="s">
        <v>399</v>
      </c>
      <c r="B13" s="113"/>
      <c r="C13" s="114">
        <v>5</v>
      </c>
      <c r="D13" s="124">
        <v>4</v>
      </c>
      <c r="E13" s="116">
        <v>0</v>
      </c>
      <c r="F13" s="117">
        <v>0</v>
      </c>
      <c r="G13" s="118">
        <f t="shared" si="2"/>
        <v>0</v>
      </c>
      <c r="H13" s="119">
        <v>0.05</v>
      </c>
      <c r="I13" s="85">
        <f t="shared" si="3"/>
        <v>0.23097479812826807</v>
      </c>
      <c r="J13" s="93">
        <f t="shared" si="4"/>
        <v>0</v>
      </c>
      <c r="K13" s="120">
        <f t="shared" si="0"/>
        <v>0</v>
      </c>
      <c r="L13" s="121">
        <v>0</v>
      </c>
      <c r="M13" s="122">
        <v>0</v>
      </c>
      <c r="N13" s="123">
        <f t="shared" si="5"/>
        <v>0</v>
      </c>
      <c r="O13" s="88" t="s">
        <v>390</v>
      </c>
      <c r="P13" s="1138">
        <f t="shared" si="6"/>
        <v>0</v>
      </c>
      <c r="Q13" s="1625">
        <v>0</v>
      </c>
      <c r="R13" s="93">
        <f t="shared" si="7"/>
        <v>0</v>
      </c>
      <c r="S13" s="1620">
        <f t="shared" si="8"/>
        <v>0</v>
      </c>
      <c r="T13" s="1621">
        <f t="shared" si="9"/>
        <v>0</v>
      </c>
      <c r="U13" s="1626">
        <f t="shared" si="10"/>
        <v>0</v>
      </c>
      <c r="V13" s="1625">
        <v>0</v>
      </c>
      <c r="W13" s="93">
        <f t="shared" si="11"/>
        <v>0</v>
      </c>
      <c r="X13" s="1620">
        <f t="shared" si="12"/>
        <v>0</v>
      </c>
      <c r="Y13" s="1621">
        <f t="shared" si="13"/>
        <v>0</v>
      </c>
      <c r="Z13" s="1626">
        <f t="shared" si="14"/>
        <v>0</v>
      </c>
      <c r="AA13" s="1625">
        <v>0</v>
      </c>
      <c r="AB13" s="93">
        <f t="shared" si="15"/>
        <v>0</v>
      </c>
      <c r="AC13" s="1620">
        <f t="shared" si="16"/>
        <v>0</v>
      </c>
      <c r="AD13" s="1621">
        <f t="shared" si="17"/>
        <v>0</v>
      </c>
      <c r="AE13" s="1626">
        <f t="shared" si="18"/>
        <v>0</v>
      </c>
      <c r="AF13" s="1625">
        <v>0</v>
      </c>
      <c r="AG13" s="93">
        <f t="shared" si="19"/>
        <v>0</v>
      </c>
      <c r="AH13" s="1620">
        <f t="shared" si="20"/>
        <v>0</v>
      </c>
      <c r="AI13" s="1621">
        <f t="shared" si="21"/>
        <v>0</v>
      </c>
      <c r="AJ13" s="1626">
        <f t="shared" si="22"/>
        <v>0</v>
      </c>
      <c r="AK13" s="1625">
        <v>0</v>
      </c>
      <c r="AL13" s="93">
        <f t="shared" si="1"/>
        <v>0</v>
      </c>
      <c r="AM13" s="1620">
        <f t="shared" si="23"/>
        <v>0</v>
      </c>
      <c r="AN13" s="1621">
        <f t="shared" si="24"/>
        <v>0</v>
      </c>
      <c r="AO13" s="1626">
        <f t="shared" si="25"/>
        <v>0</v>
      </c>
    </row>
    <row r="14" spans="1:42">
      <c r="A14" s="112" t="s">
        <v>400</v>
      </c>
      <c r="B14" s="113"/>
      <c r="C14" s="114">
        <v>5</v>
      </c>
      <c r="D14" s="124">
        <v>4</v>
      </c>
      <c r="E14" s="116">
        <v>0</v>
      </c>
      <c r="F14" s="117">
        <v>0</v>
      </c>
      <c r="G14" s="118">
        <f t="shared" si="2"/>
        <v>0</v>
      </c>
      <c r="H14" s="119">
        <v>0.05</v>
      </c>
      <c r="I14" s="85">
        <f t="shared" si="3"/>
        <v>0.23097479812826807</v>
      </c>
      <c r="J14" s="93">
        <f>IFERROR(ABS(PMT(H14,C14,SUM(F14:F14),0,0)),0)</f>
        <v>0</v>
      </c>
      <c r="K14" s="120">
        <f t="shared" si="0"/>
        <v>0</v>
      </c>
      <c r="L14" s="121">
        <v>0</v>
      </c>
      <c r="M14" s="122">
        <v>0</v>
      </c>
      <c r="N14" s="123">
        <f t="shared" si="5"/>
        <v>0</v>
      </c>
      <c r="O14" s="88" t="s">
        <v>390</v>
      </c>
      <c r="P14" s="1138">
        <f t="shared" si="6"/>
        <v>0</v>
      </c>
      <c r="Q14" s="1625">
        <v>0</v>
      </c>
      <c r="R14" s="93">
        <f t="shared" si="7"/>
        <v>0</v>
      </c>
      <c r="S14" s="1620">
        <f t="shared" si="8"/>
        <v>0</v>
      </c>
      <c r="T14" s="1621">
        <f t="shared" si="9"/>
        <v>0</v>
      </c>
      <c r="U14" s="1626">
        <f t="shared" si="10"/>
        <v>0</v>
      </c>
      <c r="V14" s="1625">
        <v>0</v>
      </c>
      <c r="W14" s="93">
        <f t="shared" si="11"/>
        <v>0</v>
      </c>
      <c r="X14" s="1620">
        <f t="shared" si="12"/>
        <v>0</v>
      </c>
      <c r="Y14" s="1621">
        <f t="shared" si="13"/>
        <v>0</v>
      </c>
      <c r="Z14" s="1626">
        <f t="shared" si="14"/>
        <v>0</v>
      </c>
      <c r="AA14" s="1625">
        <v>0</v>
      </c>
      <c r="AB14" s="93">
        <f t="shared" si="15"/>
        <v>0</v>
      </c>
      <c r="AC14" s="1620">
        <f t="shared" si="16"/>
        <v>0</v>
      </c>
      <c r="AD14" s="1621">
        <f t="shared" si="17"/>
        <v>0</v>
      </c>
      <c r="AE14" s="1626">
        <f t="shared" si="18"/>
        <v>0</v>
      </c>
      <c r="AF14" s="1625">
        <v>0</v>
      </c>
      <c r="AG14" s="93">
        <f>IFERROR(ABS(PMT($H14,$C14-4,IF(AND($F14&gt;0,AF14&gt;0),AE14-AF14,AE14-AF14),0,0)),0)</f>
        <v>0</v>
      </c>
      <c r="AH14" s="1620">
        <f t="shared" si="20"/>
        <v>0</v>
      </c>
      <c r="AI14" s="1621">
        <f t="shared" si="21"/>
        <v>0</v>
      </c>
      <c r="AJ14" s="1626">
        <f t="shared" si="22"/>
        <v>0</v>
      </c>
      <c r="AK14" s="1625">
        <v>0</v>
      </c>
      <c r="AL14" s="93">
        <f t="shared" si="1"/>
        <v>0</v>
      </c>
      <c r="AM14" s="1620">
        <f t="shared" si="23"/>
        <v>0</v>
      </c>
      <c r="AN14" s="1621">
        <f t="shared" si="24"/>
        <v>0</v>
      </c>
      <c r="AO14" s="1626">
        <f t="shared" si="25"/>
        <v>0</v>
      </c>
    </row>
    <row r="15" spans="1:42">
      <c r="A15" s="112" t="s">
        <v>401</v>
      </c>
      <c r="B15" s="113"/>
      <c r="C15" s="114">
        <v>5</v>
      </c>
      <c r="D15" s="124">
        <v>4</v>
      </c>
      <c r="E15" s="116">
        <v>0</v>
      </c>
      <c r="F15" s="117">
        <v>0</v>
      </c>
      <c r="G15" s="118">
        <f t="shared" si="2"/>
        <v>0</v>
      </c>
      <c r="H15" s="119">
        <v>0.05</v>
      </c>
      <c r="I15" s="85">
        <f t="shared" si="3"/>
        <v>0.23097479812826807</v>
      </c>
      <c r="J15" s="93">
        <f t="shared" si="4"/>
        <v>0</v>
      </c>
      <c r="K15" s="120">
        <f t="shared" si="0"/>
        <v>0</v>
      </c>
      <c r="L15" s="121">
        <v>0</v>
      </c>
      <c r="M15" s="122">
        <v>0</v>
      </c>
      <c r="N15" s="123">
        <f t="shared" si="5"/>
        <v>0</v>
      </c>
      <c r="O15" s="88" t="s">
        <v>390</v>
      </c>
      <c r="P15" s="1138">
        <f t="shared" si="6"/>
        <v>0</v>
      </c>
      <c r="Q15" s="1625">
        <v>0</v>
      </c>
      <c r="R15" s="93">
        <f t="shared" si="7"/>
        <v>0</v>
      </c>
      <c r="S15" s="1620">
        <f t="shared" si="8"/>
        <v>0</v>
      </c>
      <c r="T15" s="1621">
        <f t="shared" si="9"/>
        <v>0</v>
      </c>
      <c r="U15" s="1626">
        <f t="shared" si="10"/>
        <v>0</v>
      </c>
      <c r="V15" s="1625">
        <v>0</v>
      </c>
      <c r="W15" s="93">
        <f t="shared" si="11"/>
        <v>0</v>
      </c>
      <c r="X15" s="1620">
        <f t="shared" si="12"/>
        <v>0</v>
      </c>
      <c r="Y15" s="1621">
        <f t="shared" si="13"/>
        <v>0</v>
      </c>
      <c r="Z15" s="1626">
        <f t="shared" si="14"/>
        <v>0</v>
      </c>
      <c r="AA15" s="1625">
        <v>0</v>
      </c>
      <c r="AB15" s="93">
        <f t="shared" si="15"/>
        <v>0</v>
      </c>
      <c r="AC15" s="1620">
        <f t="shared" si="16"/>
        <v>0</v>
      </c>
      <c r="AD15" s="1621">
        <f t="shared" si="17"/>
        <v>0</v>
      </c>
      <c r="AE15" s="1626">
        <f t="shared" si="18"/>
        <v>0</v>
      </c>
      <c r="AF15" s="1625">
        <v>0</v>
      </c>
      <c r="AG15" s="93">
        <f t="shared" si="19"/>
        <v>0</v>
      </c>
      <c r="AH15" s="1620">
        <f t="shared" si="20"/>
        <v>0</v>
      </c>
      <c r="AI15" s="1621">
        <f t="shared" si="21"/>
        <v>0</v>
      </c>
      <c r="AJ15" s="1626">
        <f t="shared" si="22"/>
        <v>0</v>
      </c>
      <c r="AK15" s="1625">
        <v>0</v>
      </c>
      <c r="AL15" s="93">
        <f t="shared" si="1"/>
        <v>0</v>
      </c>
      <c r="AM15" s="1620">
        <f t="shared" si="23"/>
        <v>0</v>
      </c>
      <c r="AN15" s="1621">
        <f t="shared" si="24"/>
        <v>0</v>
      </c>
      <c r="AO15" s="1626">
        <f t="shared" si="25"/>
        <v>0</v>
      </c>
    </row>
    <row r="16" spans="1:42">
      <c r="A16" s="112" t="s">
        <v>402</v>
      </c>
      <c r="B16" s="113"/>
      <c r="C16" s="114">
        <v>5</v>
      </c>
      <c r="D16" s="124">
        <v>4</v>
      </c>
      <c r="E16" s="116">
        <v>0</v>
      </c>
      <c r="F16" s="117">
        <v>0</v>
      </c>
      <c r="G16" s="118">
        <f t="shared" si="2"/>
        <v>0</v>
      </c>
      <c r="H16" s="119">
        <v>0.05</v>
      </c>
      <c r="I16" s="85">
        <f t="shared" si="3"/>
        <v>0.23097479812826807</v>
      </c>
      <c r="J16" s="93">
        <f t="shared" si="4"/>
        <v>0</v>
      </c>
      <c r="K16" s="120">
        <f t="shared" si="0"/>
        <v>0</v>
      </c>
      <c r="L16" s="121">
        <v>0</v>
      </c>
      <c r="M16" s="122">
        <v>0</v>
      </c>
      <c r="N16" s="123">
        <f t="shared" si="5"/>
        <v>0</v>
      </c>
      <c r="O16" s="88" t="s">
        <v>390</v>
      </c>
      <c r="P16" s="1138">
        <f t="shared" si="6"/>
        <v>0</v>
      </c>
      <c r="Q16" s="1625">
        <v>0</v>
      </c>
      <c r="R16" s="93">
        <f t="shared" si="7"/>
        <v>0</v>
      </c>
      <c r="S16" s="1620">
        <f t="shared" si="8"/>
        <v>0</v>
      </c>
      <c r="T16" s="1621">
        <f t="shared" si="9"/>
        <v>0</v>
      </c>
      <c r="U16" s="1626">
        <f t="shared" si="10"/>
        <v>0</v>
      </c>
      <c r="V16" s="1625">
        <v>0</v>
      </c>
      <c r="W16" s="93">
        <f t="shared" si="11"/>
        <v>0</v>
      </c>
      <c r="X16" s="1620">
        <f t="shared" si="12"/>
        <v>0</v>
      </c>
      <c r="Y16" s="1621">
        <f t="shared" si="13"/>
        <v>0</v>
      </c>
      <c r="Z16" s="1626">
        <f t="shared" si="14"/>
        <v>0</v>
      </c>
      <c r="AA16" s="1625">
        <v>0</v>
      </c>
      <c r="AB16" s="93">
        <f t="shared" si="15"/>
        <v>0</v>
      </c>
      <c r="AC16" s="1620">
        <f t="shared" si="16"/>
        <v>0</v>
      </c>
      <c r="AD16" s="1621">
        <f t="shared" si="17"/>
        <v>0</v>
      </c>
      <c r="AE16" s="1626">
        <f t="shared" si="18"/>
        <v>0</v>
      </c>
      <c r="AF16" s="1625">
        <v>0</v>
      </c>
      <c r="AG16" s="93">
        <f t="shared" si="19"/>
        <v>0</v>
      </c>
      <c r="AH16" s="1620">
        <f t="shared" si="20"/>
        <v>0</v>
      </c>
      <c r="AI16" s="1621">
        <f t="shared" si="21"/>
        <v>0</v>
      </c>
      <c r="AJ16" s="1626">
        <f t="shared" si="22"/>
        <v>0</v>
      </c>
      <c r="AK16" s="1625">
        <v>0</v>
      </c>
      <c r="AL16" s="93">
        <f t="shared" si="1"/>
        <v>0</v>
      </c>
      <c r="AM16" s="1620">
        <f t="shared" si="23"/>
        <v>0</v>
      </c>
      <c r="AN16" s="1621">
        <f t="shared" si="24"/>
        <v>0</v>
      </c>
      <c r="AO16" s="1626">
        <f t="shared" si="25"/>
        <v>0</v>
      </c>
    </row>
    <row r="17" spans="1:41">
      <c r="A17" s="112" t="s">
        <v>403</v>
      </c>
      <c r="B17" s="113"/>
      <c r="C17" s="114">
        <v>5</v>
      </c>
      <c r="D17" s="124"/>
      <c r="E17" s="116">
        <v>0</v>
      </c>
      <c r="F17" s="117">
        <v>0</v>
      </c>
      <c r="G17" s="118">
        <f t="shared" si="2"/>
        <v>0</v>
      </c>
      <c r="H17" s="119">
        <v>0.05</v>
      </c>
      <c r="I17" s="85">
        <f t="shared" si="3"/>
        <v>0.23097479812826807</v>
      </c>
      <c r="J17" s="93">
        <f t="shared" si="4"/>
        <v>0</v>
      </c>
      <c r="K17" s="120">
        <f t="shared" si="0"/>
        <v>0</v>
      </c>
      <c r="L17" s="121">
        <v>0</v>
      </c>
      <c r="M17" s="122">
        <v>0</v>
      </c>
      <c r="N17" s="123">
        <f t="shared" si="5"/>
        <v>0</v>
      </c>
      <c r="O17" s="88" t="s">
        <v>390</v>
      </c>
      <c r="P17" s="1138">
        <f t="shared" si="6"/>
        <v>0</v>
      </c>
      <c r="Q17" s="1625">
        <v>0</v>
      </c>
      <c r="R17" s="93">
        <f t="shared" si="7"/>
        <v>0</v>
      </c>
      <c r="S17" s="1620">
        <f t="shared" si="8"/>
        <v>0</v>
      </c>
      <c r="T17" s="1621">
        <f t="shared" si="9"/>
        <v>0</v>
      </c>
      <c r="U17" s="1626">
        <f t="shared" si="10"/>
        <v>0</v>
      </c>
      <c r="V17" s="1625">
        <v>0</v>
      </c>
      <c r="W17" s="93">
        <f t="shared" si="11"/>
        <v>0</v>
      </c>
      <c r="X17" s="1620">
        <f t="shared" si="12"/>
        <v>0</v>
      </c>
      <c r="Y17" s="1621">
        <f t="shared" si="13"/>
        <v>0</v>
      </c>
      <c r="Z17" s="1626">
        <f t="shared" si="14"/>
        <v>0</v>
      </c>
      <c r="AA17" s="1625">
        <v>0</v>
      </c>
      <c r="AB17" s="93">
        <f t="shared" si="15"/>
        <v>0</v>
      </c>
      <c r="AC17" s="1620">
        <f t="shared" si="16"/>
        <v>0</v>
      </c>
      <c r="AD17" s="1621">
        <f t="shared" si="17"/>
        <v>0</v>
      </c>
      <c r="AE17" s="1626">
        <f t="shared" si="18"/>
        <v>0</v>
      </c>
      <c r="AF17" s="1625">
        <v>0</v>
      </c>
      <c r="AG17" s="93">
        <f t="shared" si="19"/>
        <v>0</v>
      </c>
      <c r="AH17" s="1620">
        <f t="shared" si="20"/>
        <v>0</v>
      </c>
      <c r="AI17" s="1621">
        <f t="shared" si="21"/>
        <v>0</v>
      </c>
      <c r="AJ17" s="1626">
        <f t="shared" si="22"/>
        <v>0</v>
      </c>
      <c r="AK17" s="1625">
        <v>0</v>
      </c>
      <c r="AL17" s="93">
        <f t="shared" si="1"/>
        <v>0</v>
      </c>
      <c r="AM17" s="1620">
        <f t="shared" si="23"/>
        <v>0</v>
      </c>
      <c r="AN17" s="1621">
        <f t="shared" si="24"/>
        <v>0</v>
      </c>
      <c r="AO17" s="1626">
        <f t="shared" si="25"/>
        <v>0</v>
      </c>
    </row>
    <row r="18" spans="1:41">
      <c r="A18" s="112" t="s">
        <v>404</v>
      </c>
      <c r="B18" s="113"/>
      <c r="C18" s="114">
        <v>5</v>
      </c>
      <c r="D18" s="124">
        <v>3</v>
      </c>
      <c r="E18" s="116">
        <v>0</v>
      </c>
      <c r="F18" s="117">
        <v>0</v>
      </c>
      <c r="G18" s="118">
        <f t="shared" si="2"/>
        <v>0</v>
      </c>
      <c r="H18" s="119">
        <v>0.05</v>
      </c>
      <c r="I18" s="85">
        <f t="shared" si="3"/>
        <v>0.23097479812826807</v>
      </c>
      <c r="J18" s="93">
        <f t="shared" si="4"/>
        <v>0</v>
      </c>
      <c r="K18" s="120">
        <f t="shared" si="0"/>
        <v>0</v>
      </c>
      <c r="L18" s="121">
        <v>0</v>
      </c>
      <c r="M18" s="122">
        <v>0</v>
      </c>
      <c r="N18" s="123">
        <f t="shared" si="5"/>
        <v>0</v>
      </c>
      <c r="O18" s="88" t="s">
        <v>390</v>
      </c>
      <c r="P18" s="1138">
        <f t="shared" si="6"/>
        <v>0</v>
      </c>
      <c r="Q18" s="1625">
        <v>0</v>
      </c>
      <c r="R18" s="93">
        <f t="shared" si="7"/>
        <v>0</v>
      </c>
      <c r="S18" s="1620">
        <f t="shared" si="8"/>
        <v>0</v>
      </c>
      <c r="T18" s="1621">
        <f t="shared" si="9"/>
        <v>0</v>
      </c>
      <c r="U18" s="1626">
        <f t="shared" si="10"/>
        <v>0</v>
      </c>
      <c r="V18" s="1625">
        <v>0</v>
      </c>
      <c r="W18" s="93">
        <f t="shared" si="11"/>
        <v>0</v>
      </c>
      <c r="X18" s="1620">
        <f t="shared" si="12"/>
        <v>0</v>
      </c>
      <c r="Y18" s="1621">
        <f t="shared" si="13"/>
        <v>0</v>
      </c>
      <c r="Z18" s="1626">
        <f t="shared" si="14"/>
        <v>0</v>
      </c>
      <c r="AA18" s="1625">
        <v>0</v>
      </c>
      <c r="AB18" s="93">
        <f t="shared" si="15"/>
        <v>0</v>
      </c>
      <c r="AC18" s="1620">
        <f t="shared" si="16"/>
        <v>0</v>
      </c>
      <c r="AD18" s="1621">
        <f t="shared" si="17"/>
        <v>0</v>
      </c>
      <c r="AE18" s="1626">
        <f t="shared" si="18"/>
        <v>0</v>
      </c>
      <c r="AF18" s="1625">
        <v>0</v>
      </c>
      <c r="AG18" s="93">
        <f t="shared" si="19"/>
        <v>0</v>
      </c>
      <c r="AH18" s="1620">
        <f t="shared" si="20"/>
        <v>0</v>
      </c>
      <c r="AI18" s="1621">
        <f t="shared" si="21"/>
        <v>0</v>
      </c>
      <c r="AJ18" s="1626">
        <f t="shared" si="22"/>
        <v>0</v>
      </c>
      <c r="AK18" s="1625">
        <v>0</v>
      </c>
      <c r="AL18" s="93">
        <f t="shared" si="1"/>
        <v>0</v>
      </c>
      <c r="AM18" s="1620">
        <f t="shared" si="23"/>
        <v>0</v>
      </c>
      <c r="AN18" s="1621">
        <f t="shared" si="24"/>
        <v>0</v>
      </c>
      <c r="AO18" s="1626">
        <f t="shared" si="25"/>
        <v>0</v>
      </c>
    </row>
    <row r="19" spans="1:41">
      <c r="A19" s="112" t="s">
        <v>405</v>
      </c>
      <c r="B19" s="113"/>
      <c r="C19" s="114">
        <v>5</v>
      </c>
      <c r="D19" s="124">
        <v>3</v>
      </c>
      <c r="E19" s="116">
        <v>0</v>
      </c>
      <c r="F19" s="117">
        <v>0</v>
      </c>
      <c r="G19" s="118">
        <f t="shared" si="2"/>
        <v>0</v>
      </c>
      <c r="H19" s="119">
        <v>0.05</v>
      </c>
      <c r="I19" s="85">
        <f t="shared" si="3"/>
        <v>0.23097479812826807</v>
      </c>
      <c r="J19" s="93">
        <f t="shared" si="4"/>
        <v>0</v>
      </c>
      <c r="K19" s="120">
        <f t="shared" si="0"/>
        <v>0</v>
      </c>
      <c r="L19" s="121">
        <v>0</v>
      </c>
      <c r="M19" s="122">
        <v>0</v>
      </c>
      <c r="N19" s="123">
        <f t="shared" si="5"/>
        <v>0</v>
      </c>
      <c r="O19" s="88" t="s">
        <v>390</v>
      </c>
      <c r="P19" s="1138">
        <f t="shared" si="6"/>
        <v>0</v>
      </c>
      <c r="Q19" s="1625">
        <v>0</v>
      </c>
      <c r="R19" s="93">
        <f t="shared" si="7"/>
        <v>0</v>
      </c>
      <c r="S19" s="1620">
        <f t="shared" si="8"/>
        <v>0</v>
      </c>
      <c r="T19" s="1621">
        <f t="shared" si="9"/>
        <v>0</v>
      </c>
      <c r="U19" s="1626">
        <f t="shared" si="10"/>
        <v>0</v>
      </c>
      <c r="V19" s="1625">
        <v>0</v>
      </c>
      <c r="W19" s="93">
        <f t="shared" si="11"/>
        <v>0</v>
      </c>
      <c r="X19" s="1620">
        <f t="shared" si="12"/>
        <v>0</v>
      </c>
      <c r="Y19" s="1621">
        <f t="shared" si="13"/>
        <v>0</v>
      </c>
      <c r="Z19" s="1626">
        <f t="shared" si="14"/>
        <v>0</v>
      </c>
      <c r="AA19" s="1625">
        <v>0</v>
      </c>
      <c r="AB19" s="93">
        <f t="shared" si="15"/>
        <v>0</v>
      </c>
      <c r="AC19" s="1620">
        <f t="shared" si="16"/>
        <v>0</v>
      </c>
      <c r="AD19" s="1621">
        <f t="shared" si="17"/>
        <v>0</v>
      </c>
      <c r="AE19" s="1626">
        <f t="shared" si="18"/>
        <v>0</v>
      </c>
      <c r="AF19" s="1625">
        <v>0</v>
      </c>
      <c r="AG19" s="93">
        <f t="shared" si="19"/>
        <v>0</v>
      </c>
      <c r="AH19" s="1620">
        <f t="shared" si="20"/>
        <v>0</v>
      </c>
      <c r="AI19" s="1621">
        <f t="shared" si="21"/>
        <v>0</v>
      </c>
      <c r="AJ19" s="1626">
        <f t="shared" si="22"/>
        <v>0</v>
      </c>
      <c r="AK19" s="1625">
        <v>0</v>
      </c>
      <c r="AL19" s="93">
        <f t="shared" si="1"/>
        <v>0</v>
      </c>
      <c r="AM19" s="1620">
        <f t="shared" si="23"/>
        <v>0</v>
      </c>
      <c r="AN19" s="1621">
        <f t="shared" si="24"/>
        <v>0</v>
      </c>
      <c r="AO19" s="1626">
        <f t="shared" si="25"/>
        <v>0</v>
      </c>
    </row>
    <row r="20" spans="1:41" ht="13.5" thickBot="1">
      <c r="A20" s="112" t="s">
        <v>406</v>
      </c>
      <c r="B20" s="126"/>
      <c r="C20" s="114">
        <v>5</v>
      </c>
      <c r="D20" s="127">
        <v>3</v>
      </c>
      <c r="E20" s="116">
        <v>0</v>
      </c>
      <c r="F20" s="117">
        <v>0</v>
      </c>
      <c r="G20" s="118">
        <f t="shared" si="2"/>
        <v>0</v>
      </c>
      <c r="H20" s="128">
        <v>0.05</v>
      </c>
      <c r="I20" s="85">
        <f t="shared" si="3"/>
        <v>0.23097479812826807</v>
      </c>
      <c r="J20" s="93">
        <f t="shared" si="4"/>
        <v>0</v>
      </c>
      <c r="K20" s="120">
        <f t="shared" si="0"/>
        <v>0</v>
      </c>
      <c r="L20" s="129">
        <v>0</v>
      </c>
      <c r="M20" s="130">
        <v>0</v>
      </c>
      <c r="N20" s="123">
        <f t="shared" si="5"/>
        <v>0</v>
      </c>
      <c r="O20" s="88" t="s">
        <v>390</v>
      </c>
      <c r="P20" s="1138">
        <f t="shared" si="6"/>
        <v>0</v>
      </c>
      <c r="Q20" s="1625">
        <v>0</v>
      </c>
      <c r="R20" s="93">
        <f t="shared" si="7"/>
        <v>0</v>
      </c>
      <c r="S20" s="1620">
        <f t="shared" si="8"/>
        <v>0</v>
      </c>
      <c r="T20" s="1621">
        <f t="shared" si="9"/>
        <v>0</v>
      </c>
      <c r="U20" s="1626">
        <f>IF(P20&gt;0.1,P20-T20-Q20,0)</f>
        <v>0</v>
      </c>
      <c r="V20" s="1625">
        <v>0</v>
      </c>
      <c r="W20" s="93">
        <f t="shared" si="11"/>
        <v>0</v>
      </c>
      <c r="X20" s="1620">
        <f t="shared" si="12"/>
        <v>0</v>
      </c>
      <c r="Y20" s="1621">
        <f t="shared" si="13"/>
        <v>0</v>
      </c>
      <c r="Z20" s="1626">
        <f t="shared" si="14"/>
        <v>0</v>
      </c>
      <c r="AA20" s="1625">
        <v>0</v>
      </c>
      <c r="AB20" s="93">
        <f t="shared" si="15"/>
        <v>0</v>
      </c>
      <c r="AC20" s="1620">
        <f t="shared" si="16"/>
        <v>0</v>
      </c>
      <c r="AD20" s="1621">
        <f t="shared" si="17"/>
        <v>0</v>
      </c>
      <c r="AE20" s="1626">
        <f t="shared" si="18"/>
        <v>0</v>
      </c>
      <c r="AF20" s="1625">
        <v>0</v>
      </c>
      <c r="AG20" s="93">
        <f t="shared" ref="AG20" si="26">IFERROR(ABS(PMT($H20,$C20,IF(AND($F20&gt;0,AF20&gt;0),AE20-AF20,$F20-AF20),0,0)),0)</f>
        <v>0</v>
      </c>
      <c r="AH20" s="1620">
        <f t="shared" si="20"/>
        <v>0</v>
      </c>
      <c r="AI20" s="1621">
        <f t="shared" si="21"/>
        <v>0</v>
      </c>
      <c r="AJ20" s="1626">
        <f t="shared" si="22"/>
        <v>0</v>
      </c>
      <c r="AK20" s="1625">
        <v>0</v>
      </c>
      <c r="AL20" s="93">
        <f t="shared" si="1"/>
        <v>0</v>
      </c>
      <c r="AM20" s="1620">
        <f t="shared" si="23"/>
        <v>0</v>
      </c>
      <c r="AN20" s="1621">
        <f t="shared" si="24"/>
        <v>0</v>
      </c>
      <c r="AO20" s="1626">
        <f t="shared" si="25"/>
        <v>0</v>
      </c>
    </row>
    <row r="21" spans="1:41" ht="13.5" thickBot="1">
      <c r="A21" s="132" t="s">
        <v>3</v>
      </c>
      <c r="B21" s="133"/>
      <c r="C21" s="134"/>
      <c r="D21" s="134"/>
      <c r="E21" s="134"/>
      <c r="F21" s="135">
        <f>SUM(F5:F20)</f>
        <v>0</v>
      </c>
      <c r="G21" s="135">
        <f>SUM(G5:G20)</f>
        <v>0</v>
      </c>
      <c r="H21" s="137"/>
      <c r="I21" s="137"/>
      <c r="J21" s="137"/>
      <c r="K21" s="138">
        <f>SUM(K5:K20)</f>
        <v>0</v>
      </c>
      <c r="L21" s="139">
        <f>SUM(L5:L20)</f>
        <v>0</v>
      </c>
      <c r="M21" s="140">
        <f>SUM(M5:M20)</f>
        <v>0</v>
      </c>
      <c r="N21" s="141">
        <f>SUM(N5:N20)</f>
        <v>0</v>
      </c>
      <c r="O21" s="134"/>
      <c r="P21" s="1622">
        <f>SUM(P5:P20)</f>
        <v>0</v>
      </c>
      <c r="Q21" s="1627">
        <f t="shared" ref="Q21:U21" si="27">SUM(Q5:Q20)</f>
        <v>0</v>
      </c>
      <c r="R21" s="1628"/>
      <c r="S21" s="1628">
        <f t="shared" si="27"/>
        <v>0</v>
      </c>
      <c r="T21" s="1628">
        <f t="shared" si="27"/>
        <v>0</v>
      </c>
      <c r="U21" s="1629">
        <f t="shared" si="27"/>
        <v>0</v>
      </c>
      <c r="V21" s="1627">
        <f t="shared" ref="V21" si="28">SUM(V5:V20)</f>
        <v>0</v>
      </c>
      <c r="W21" s="1628"/>
      <c r="X21" s="1628">
        <f t="shared" ref="X21:AA21" si="29">SUM(X5:X20)</f>
        <v>0</v>
      </c>
      <c r="Y21" s="1628">
        <f t="shared" si="29"/>
        <v>0</v>
      </c>
      <c r="Z21" s="1629">
        <f t="shared" si="29"/>
        <v>0</v>
      </c>
      <c r="AA21" s="1627">
        <f t="shared" si="29"/>
        <v>0</v>
      </c>
      <c r="AB21" s="1628"/>
      <c r="AC21" s="1628">
        <f t="shared" ref="AC21:AF21" si="30">SUM(AC5:AC20)</f>
        <v>0</v>
      </c>
      <c r="AD21" s="1628">
        <f t="shared" si="30"/>
        <v>0</v>
      </c>
      <c r="AE21" s="1629">
        <f t="shared" si="30"/>
        <v>0</v>
      </c>
      <c r="AF21" s="1627">
        <f t="shared" si="30"/>
        <v>0</v>
      </c>
      <c r="AG21" s="1628"/>
      <c r="AH21" s="1628">
        <f t="shared" ref="AH21:AK21" si="31">SUM(AH5:AH20)</f>
        <v>0</v>
      </c>
      <c r="AI21" s="1628">
        <f t="shared" si="31"/>
        <v>0</v>
      </c>
      <c r="AJ21" s="1629">
        <f t="shared" si="31"/>
        <v>0</v>
      </c>
      <c r="AK21" s="1627">
        <f t="shared" si="31"/>
        <v>0</v>
      </c>
      <c r="AL21" s="1628"/>
      <c r="AM21" s="1628">
        <f t="shared" ref="AM21:AO21" si="32">SUM(AM5:AM20)</f>
        <v>0</v>
      </c>
      <c r="AN21" s="1628">
        <f t="shared" si="32"/>
        <v>0</v>
      </c>
      <c r="AO21" s="1629">
        <f t="shared" si="32"/>
        <v>0</v>
      </c>
    </row>
    <row r="22" spans="1:41" ht="13.5" thickBot="1">
      <c r="A22" s="133" t="s">
        <v>135</v>
      </c>
      <c r="B22" s="830" t="e">
        <f>AVERAGE(B5:B20)</f>
        <v>#DIV/0!</v>
      </c>
      <c r="C22" s="142">
        <f>AVERAGE(C5:C12)</f>
        <v>5</v>
      </c>
      <c r="D22" s="142">
        <f>AVERAGE(D5:D12)</f>
        <v>3.75</v>
      </c>
      <c r="E22" s="143"/>
      <c r="F22" s="144"/>
      <c r="G22" s="145"/>
      <c r="H22" s="146">
        <f>AVERAGE(H5:H20)</f>
        <v>5.000000000000001E-2</v>
      </c>
      <c r="I22" s="147"/>
      <c r="J22" s="147"/>
      <c r="K22" s="123"/>
      <c r="L22" s="145"/>
      <c r="M22" s="134"/>
      <c r="N22" s="134"/>
      <c r="O22" s="134"/>
    </row>
    <row r="23" spans="1:41" ht="13.5" hidden="1" thickBot="1">
      <c r="G23" s="150">
        <f>SUMIF(O5:O20,"yritys",G5:G20)</f>
        <v>0</v>
      </c>
      <c r="H23" s="149"/>
      <c r="I23" s="149"/>
      <c r="J23" s="149"/>
      <c r="K23" s="150">
        <f>SUMIF($O$5:$O$20,"yritys",K5:K20)</f>
        <v>0</v>
      </c>
      <c r="L23" s="150">
        <f>SUMIF($O$5:$O$20,"yritys",L5:L20)</f>
        <v>0</v>
      </c>
      <c r="M23" s="150">
        <f>SUMIF($O$5:$O$20,"yritys",M5:M20)</f>
        <v>0</v>
      </c>
      <c r="N23" s="150">
        <f>SUMIF($O$5:$O$20,"yritys",N5:N20)</f>
        <v>0</v>
      </c>
      <c r="O23" s="151" t="str">
        <f>IF(N23=0,"",N23/$N$21)</f>
        <v/>
      </c>
      <c r="P23" s="52" t="s">
        <v>407</v>
      </c>
      <c r="S23" s="1601">
        <f>SUMIF($O$5:$O$20,"yritys",S5:S20)</f>
        <v>0</v>
      </c>
      <c r="T23" s="1601">
        <f>SUMIF($O$5:$O$20,"yritys",T5:T20)</f>
        <v>0</v>
      </c>
      <c r="U23" s="1601">
        <f>SUMIF($O$5:$O$20,"yritys",U5:U20)</f>
        <v>0</v>
      </c>
      <c r="X23" s="1601">
        <f>SUMIF($O$5:$O$20,"yritys",X5:X20)</f>
        <v>0</v>
      </c>
      <c r="Y23" s="1601">
        <f>SUMIF($O$5:$O$20,"yritys",Y5:Y20)</f>
        <v>0</v>
      </c>
      <c r="Z23" s="1601">
        <f>SUMIF($O$5:$O$20,"yritys",Z5:Z20)</f>
        <v>0</v>
      </c>
      <c r="AC23" s="1601">
        <f>SUMIF($O$5:$O$20,"yritys",AC5:AC20)</f>
        <v>0</v>
      </c>
      <c r="AD23" s="1601">
        <f>SUMIF($O$5:$O$20,"yritys",AD5:AD20)</f>
        <v>0</v>
      </c>
      <c r="AE23" s="1601">
        <f>SUMIF($O$5:$O$20,"yritys",AE5:AE20)</f>
        <v>0</v>
      </c>
      <c r="AH23" s="1601">
        <f>SUMIF($O$5:$O$20,"yritys",AH5:AH20)</f>
        <v>0</v>
      </c>
      <c r="AI23" s="1601">
        <f>SUMIF($O$5:$O$20,"yritys",AI5:AI20)</f>
        <v>0</v>
      </c>
      <c r="AJ23" s="1601">
        <f>SUMIF($O$5:$O$20,"yritys",AJ5:AJ20)</f>
        <v>0</v>
      </c>
      <c r="AM23" s="1601">
        <f>SUMIF($O$5:$O$20,"yritys",AM5:AM20)</f>
        <v>0</v>
      </c>
      <c r="AN23" s="1601">
        <f>SUMIF($O$5:$O$20,"yritys",AN5:AN20)</f>
        <v>0</v>
      </c>
      <c r="AO23" s="1601">
        <f>SUMIF($O$5:$O$20,"yritys",AO5:AO20)</f>
        <v>0</v>
      </c>
    </row>
    <row r="24" spans="1:41" ht="12" hidden="1" customHeight="1" thickBot="1">
      <c r="A24" s="105"/>
      <c r="B24" s="105"/>
      <c r="G24" s="101">
        <f>SUMIF(O5:O20,"koti",G5:G20)</f>
        <v>0</v>
      </c>
      <c r="H24" s="149"/>
      <c r="I24" s="149"/>
      <c r="J24" s="149"/>
      <c r="K24" s="101">
        <f>SUMIF($O$5:$O$20,"koti",K5:K20)</f>
        <v>0</v>
      </c>
      <c r="L24" s="101">
        <f>SUMIF($O$5:$O$20,"koti",L5:L20)</f>
        <v>0</v>
      </c>
      <c r="M24" s="101">
        <f>SUMIF($O$5:$O$20,"koti",M5:M20)</f>
        <v>0</v>
      </c>
      <c r="N24" s="101">
        <f>SUMIF($O$5:$O$20,"koti",N5:N20)</f>
        <v>0</v>
      </c>
      <c r="O24" s="151" t="str">
        <f>IF(N24=0,"",N24/$N$21)</f>
        <v/>
      </c>
      <c r="P24" s="52" t="s">
        <v>408</v>
      </c>
      <c r="S24" s="1630">
        <f>SUMIF($O$5:$O$20,"koti",S5:S20)</f>
        <v>0</v>
      </c>
      <c r="T24" s="1630">
        <f>SUMIF($O$5:$O$20,"koti",T5:T20)</f>
        <v>0</v>
      </c>
      <c r="U24" s="1630">
        <f>SUMIF($O$5:$O$20,"koti",U5:U20)</f>
        <v>0</v>
      </c>
      <c r="X24" s="1630">
        <f>SUMIF($O$5:$O$20,"koti",X5:X20)</f>
        <v>0</v>
      </c>
      <c r="Y24" s="1630">
        <f>SUMIF($O$5:$O$20,"koti",Y5:Y20)</f>
        <v>0</v>
      </c>
      <c r="Z24" s="1630">
        <f>SUMIF($O$5:$O$20,"koti",Z5:Z20)</f>
        <v>0</v>
      </c>
      <c r="AC24" s="1630">
        <f>SUMIF($O$5:$O$20,"koti",AC5:AC20)</f>
        <v>0</v>
      </c>
      <c r="AD24" s="1630">
        <f>SUMIF($O$5:$O$20,"koti",AD5:AD20)</f>
        <v>0</v>
      </c>
      <c r="AE24" s="1630">
        <f>SUMIF($O$5:$O$20,"koti",AE5:AE20)</f>
        <v>0</v>
      </c>
      <c r="AH24" s="1630">
        <f>SUMIF($O$5:$O$20,"koti",AH5:AH20)</f>
        <v>0</v>
      </c>
      <c r="AI24" s="1630">
        <f>SUMIF($O$5:$O$20,"koti",AI5:AI20)</f>
        <v>0</v>
      </c>
      <c r="AJ24" s="1630">
        <f>SUMIF($O$5:$O$20,"koti",AJ5:AJ20)</f>
        <v>0</v>
      </c>
      <c r="AM24" s="1630">
        <f>SUMIF($O$5:$O$20,"koti",AM5:AM20)</f>
        <v>0</v>
      </c>
      <c r="AN24" s="1630">
        <f>SUMIF($O$5:$O$20,"koti",AN5:AN20)</f>
        <v>0</v>
      </c>
      <c r="AO24" s="1630">
        <f>SUMIF($O$5:$O$20,"koti",AO5:AO20)</f>
        <v>0</v>
      </c>
    </row>
    <row r="25" spans="1:41" ht="13.5" hidden="1" thickBot="1">
      <c r="G25" s="101">
        <f>SUMIF(O5:O20,"metsä",G5:G20)</f>
        <v>0</v>
      </c>
      <c r="H25" s="149"/>
      <c r="I25" s="149"/>
      <c r="J25" s="149"/>
      <c r="K25" s="101">
        <f>SUMIF($O$5:$O$20,"metsä",K5:K20)</f>
        <v>0</v>
      </c>
      <c r="L25" s="101">
        <f>SUMIF($O$5:$O$20,"metsä",L5:L20)</f>
        <v>0</v>
      </c>
      <c r="M25" s="101">
        <f>SUMIF($O$5:$O$20,"metsä",M5:M20)</f>
        <v>0</v>
      </c>
      <c r="N25" s="101">
        <f>SUMIF($O$5:$O$20,"metsä",N5:N20)</f>
        <v>0</v>
      </c>
      <c r="O25" s="151" t="str">
        <f>IF(N25=0,"",N25/$N$21)</f>
        <v/>
      </c>
      <c r="P25" s="52" t="s">
        <v>409</v>
      </c>
      <c r="S25" s="1630">
        <f>SUMIF($O$5:$O$20,"metsä",S5:S20)</f>
        <v>0</v>
      </c>
      <c r="T25" s="1630">
        <f>SUMIF($O$5:$O$20,"metsä",T5:T20)</f>
        <v>0</v>
      </c>
      <c r="U25" s="1630">
        <f>SUMIF($O$5:$O$20,"metsä",U5:U20)</f>
        <v>0</v>
      </c>
      <c r="X25" s="1630">
        <f>SUMIF($O$5:$O$20,"metsä",X5:X20)</f>
        <v>0</v>
      </c>
      <c r="Y25" s="1630">
        <f>SUMIF($O$5:$O$20,"metsä",Y5:Y20)</f>
        <v>0</v>
      </c>
      <c r="Z25" s="1630">
        <f>SUMIF($O$5:$O$20,"metsä",Z5:Z20)</f>
        <v>0</v>
      </c>
      <c r="AC25" s="1630">
        <f>SUMIF($O$5:$O$20,"metsä",AC5:AC20)</f>
        <v>0</v>
      </c>
      <c r="AD25" s="1630">
        <f>SUMIF($O$5:$O$20,"metsä",AD5:AD20)</f>
        <v>0</v>
      </c>
      <c r="AE25" s="1630">
        <f>SUMIF($O$5:$O$20,"metsä",AE5:AE20)</f>
        <v>0</v>
      </c>
      <c r="AH25" s="1630">
        <f>SUMIF($O$5:$O$20,"metsä",AH5:AH20)</f>
        <v>0</v>
      </c>
      <c r="AI25" s="1630">
        <f>SUMIF($O$5:$O$20,"metsä",AI5:AI20)</f>
        <v>0</v>
      </c>
      <c r="AJ25" s="1630">
        <f>SUMIF($O$5:$O$20,"metsä",AJ5:AJ20)</f>
        <v>0</v>
      </c>
      <c r="AM25" s="1630">
        <f>SUMIF($O$5:$O$20,"metsä",AM5:AM20)</f>
        <v>0</v>
      </c>
      <c r="AN25" s="1630">
        <f>SUMIF($O$5:$O$20,"metsä",AN5:AN20)</f>
        <v>0</v>
      </c>
      <c r="AO25" s="1630">
        <f>SUMIF($O$5:$O$20,"metsä",AO5:AO20)</f>
        <v>0</v>
      </c>
    </row>
    <row r="26" spans="1:41" ht="15.75" customHeight="1" thickBot="1">
      <c r="A26" s="1"/>
      <c r="F26" s="1425" t="s">
        <v>287</v>
      </c>
      <c r="O26" s="1651">
        <f>SUM(O23:O25)</f>
        <v>0</v>
      </c>
    </row>
    <row r="27" spans="1:41" ht="12.75" customHeight="1" thickBot="1">
      <c r="B27"/>
      <c r="C27" s="156"/>
      <c r="D27" s="2738" t="s">
        <v>318</v>
      </c>
      <c r="E27"/>
      <c r="F27" s="1694" t="s">
        <v>410</v>
      </c>
      <c r="G27" s="1647">
        <f>IF(G23&gt;0,G23,0)</f>
        <v>0</v>
      </c>
      <c r="H27" s="521"/>
      <c r="I27" s="521"/>
      <c r="J27" s="521"/>
      <c r="K27" s="1631">
        <f>IF(K23&gt;0,K23,0)</f>
        <v>0</v>
      </c>
      <c r="L27" s="1631">
        <f t="shared" ref="L27:M27" si="33">IF(L23&gt;0,L23,0)</f>
        <v>0</v>
      </c>
      <c r="M27" s="1631">
        <f t="shared" si="33"/>
        <v>0</v>
      </c>
      <c r="N27" s="1631">
        <f t="shared" ref="N27" si="34">IF(N23&gt;0,N23,0)</f>
        <v>0</v>
      </c>
      <c r="O27" s="1652" t="s">
        <v>390</v>
      </c>
      <c r="P27" s="52" t="s">
        <v>407</v>
      </c>
      <c r="S27" s="1631">
        <f>IF(S23&gt;0,S23,0)</f>
        <v>0</v>
      </c>
      <c r="T27" s="1632">
        <f t="shared" ref="T27:U27" si="35">IF(T23&gt;0,T23,0)</f>
        <v>0</v>
      </c>
      <c r="U27" s="1632">
        <f t="shared" si="35"/>
        <v>0</v>
      </c>
      <c r="V27" s="1633"/>
      <c r="W27" s="1633"/>
      <c r="X27" s="1632">
        <f>IF(X23&gt;0,X23,0)</f>
        <v>0</v>
      </c>
      <c r="Y27" s="1632">
        <f t="shared" ref="Y27:Z27" si="36">IF(Y23&gt;0,Y23,0)</f>
        <v>0</v>
      </c>
      <c r="Z27" s="1632">
        <f t="shared" si="36"/>
        <v>0</v>
      </c>
      <c r="AA27" s="1633"/>
      <c r="AB27" s="1633"/>
      <c r="AC27" s="1632">
        <f>IF(AC23&gt;0,AC23,0)</f>
        <v>0</v>
      </c>
      <c r="AD27" s="1632">
        <f t="shared" ref="AD27:AE27" si="37">IF(AD23&gt;0,AD23,0)</f>
        <v>0</v>
      </c>
      <c r="AE27" s="1632">
        <f t="shared" si="37"/>
        <v>0</v>
      </c>
      <c r="AF27" s="1633"/>
      <c r="AG27" s="1633"/>
      <c r="AH27" s="1632">
        <f>IF(AH23&gt;0,AH23,0)</f>
        <v>0</v>
      </c>
      <c r="AI27" s="1632">
        <f t="shared" ref="AI27:AJ27" si="38">IF(AI23&gt;0,AI23,0)</f>
        <v>0</v>
      </c>
      <c r="AJ27" s="1632">
        <f t="shared" si="38"/>
        <v>0</v>
      </c>
      <c r="AK27" s="1633"/>
      <c r="AL27" s="1633"/>
      <c r="AM27" s="1632">
        <f>IF(AM23&gt;0,AM23,0)</f>
        <v>0</v>
      </c>
      <c r="AN27" s="1632">
        <f t="shared" ref="AN27:AO27" si="39">IF(AN23&gt;0,AN23,0)</f>
        <v>0</v>
      </c>
      <c r="AO27" s="1634">
        <f t="shared" si="39"/>
        <v>0</v>
      </c>
    </row>
    <row r="28" spans="1:41" ht="13.5" customHeight="1" thickBot="1">
      <c r="B28"/>
      <c r="C28" s="156"/>
      <c r="D28" s="2738"/>
      <c r="E28"/>
      <c r="F28" s="1694"/>
      <c r="G28" s="1647">
        <f>IF(G24&gt;0,G24,0)</f>
        <v>0</v>
      </c>
      <c r="H28" s="158"/>
      <c r="I28" s="158"/>
      <c r="J28" s="158"/>
      <c r="K28" s="1631">
        <f t="shared" ref="K28:M29" si="40">IF(K24&gt;0,K24,0)</f>
        <v>0</v>
      </c>
      <c r="L28" s="1631">
        <f t="shared" si="40"/>
        <v>0</v>
      </c>
      <c r="M28" s="1631">
        <f t="shared" si="40"/>
        <v>0</v>
      </c>
      <c r="N28" s="1631">
        <f t="shared" ref="N28" si="41">IF(N24&gt;0,N24,0)</f>
        <v>0</v>
      </c>
      <c r="O28" s="1652" t="s">
        <v>393</v>
      </c>
      <c r="P28" s="52" t="s">
        <v>408</v>
      </c>
      <c r="S28" s="1635">
        <f t="shared" ref="S28:U28" si="42">IF(S24&gt;0,S24,0)</f>
        <v>0</v>
      </c>
      <c r="T28" s="1239">
        <f t="shared" si="42"/>
        <v>0</v>
      </c>
      <c r="U28" s="1239">
        <f t="shared" si="42"/>
        <v>0</v>
      </c>
      <c r="X28" s="1239">
        <f t="shared" ref="X28:Z28" si="43">IF(X24&gt;0,X24,0)</f>
        <v>0</v>
      </c>
      <c r="Y28" s="1239">
        <f t="shared" si="43"/>
        <v>0</v>
      </c>
      <c r="Z28" s="1239">
        <f t="shared" si="43"/>
        <v>0</v>
      </c>
      <c r="AC28" s="1239">
        <f t="shared" ref="AC28:AE28" si="44">IF(AC24&gt;0,AC24,0)</f>
        <v>0</v>
      </c>
      <c r="AD28" s="1239">
        <f t="shared" si="44"/>
        <v>0</v>
      </c>
      <c r="AE28" s="1239">
        <f t="shared" si="44"/>
        <v>0</v>
      </c>
      <c r="AH28" s="1239">
        <f t="shared" ref="AH28:AJ28" si="45">IF(AH24&gt;0,AH24,0)</f>
        <v>0</v>
      </c>
      <c r="AI28" s="1239">
        <f t="shared" si="45"/>
        <v>0</v>
      </c>
      <c r="AJ28" s="1239">
        <f t="shared" si="45"/>
        <v>0</v>
      </c>
      <c r="AM28" s="1239">
        <f t="shared" ref="AM28:AO29" si="46">IF(AM24&gt;0,AM24,0)</f>
        <v>0</v>
      </c>
      <c r="AN28" s="1239">
        <f t="shared" si="46"/>
        <v>0</v>
      </c>
      <c r="AO28" s="1636">
        <f t="shared" si="46"/>
        <v>0</v>
      </c>
    </row>
    <row r="29" spans="1:41" ht="13.5" thickBot="1">
      <c r="B29"/>
      <c r="C29" s="156"/>
      <c r="D29" s="2657"/>
      <c r="E29" s="159" t="s">
        <v>319</v>
      </c>
      <c r="F29" s="1694"/>
      <c r="G29" s="1648">
        <f>IF(G25&gt;0,G25,0)</f>
        <v>0</v>
      </c>
      <c r="H29"/>
      <c r="I29"/>
      <c r="J29"/>
      <c r="K29" s="1643">
        <f t="shared" si="40"/>
        <v>0</v>
      </c>
      <c r="L29" s="1643">
        <f t="shared" si="40"/>
        <v>0</v>
      </c>
      <c r="M29" s="1643">
        <f t="shared" si="40"/>
        <v>0</v>
      </c>
      <c r="N29" s="1643">
        <f t="shared" ref="N29" si="47">IF(N25&gt;0,N25,0)</f>
        <v>0</v>
      </c>
      <c r="O29" s="1652" t="s">
        <v>212</v>
      </c>
      <c r="P29" s="52" t="s">
        <v>409</v>
      </c>
      <c r="S29" s="1644">
        <f t="shared" ref="S29:U29" si="48">IF(S25&gt;0,S25,0)</f>
        <v>0</v>
      </c>
      <c r="T29" s="1645">
        <f t="shared" si="48"/>
        <v>0</v>
      </c>
      <c r="U29" s="1645">
        <f t="shared" si="48"/>
        <v>0</v>
      </c>
      <c r="X29" s="1645">
        <f t="shared" ref="X29:Z29" si="49">IF(X25&gt;0,X25,0)</f>
        <v>0</v>
      </c>
      <c r="Y29" s="1645">
        <f t="shared" si="49"/>
        <v>0</v>
      </c>
      <c r="Z29" s="1645">
        <f t="shared" si="49"/>
        <v>0</v>
      </c>
      <c r="AC29" s="1645">
        <f t="shared" ref="AC29:AE29" si="50">IF(AC25&gt;0,AC25,0)</f>
        <v>0</v>
      </c>
      <c r="AD29" s="1645">
        <f t="shared" si="50"/>
        <v>0</v>
      </c>
      <c r="AE29" s="1645">
        <f t="shared" si="50"/>
        <v>0</v>
      </c>
      <c r="AH29" s="1645">
        <f t="shared" ref="AH29:AJ29" si="51">IF(AH25&gt;0,AH25,0)</f>
        <v>0</v>
      </c>
      <c r="AI29" s="1645">
        <f t="shared" si="51"/>
        <v>0</v>
      </c>
      <c r="AJ29" s="1645">
        <f t="shared" si="51"/>
        <v>0</v>
      </c>
      <c r="AM29" s="1645">
        <f t="shared" si="46"/>
        <v>0</v>
      </c>
      <c r="AN29" s="1645">
        <f t="shared" si="46"/>
        <v>0</v>
      </c>
      <c r="AO29" s="1646">
        <f t="shared" si="46"/>
        <v>0</v>
      </c>
    </row>
    <row r="30" spans="1:41" ht="13.5" thickBot="1">
      <c r="B30"/>
      <c r="C30" s="156"/>
      <c r="D30" s="160" t="e">
        <f t="shared" ref="D30:D36" si="52">B30/C30</f>
        <v>#DIV/0!</v>
      </c>
      <c r="E30" s="161"/>
      <c r="F30"/>
      <c r="G30" s="2771" t="s">
        <v>411</v>
      </c>
      <c r="H30" s="2772"/>
      <c r="I30" s="2772"/>
      <c r="J30" s="2772"/>
      <c r="K30" s="2772"/>
      <c r="L30" s="2772"/>
      <c r="M30" s="2772"/>
      <c r="N30" s="2772"/>
      <c r="O30" s="2772"/>
      <c r="P30" s="2772"/>
      <c r="Q30" s="2772"/>
      <c r="R30" s="2772"/>
      <c r="S30" s="2772"/>
      <c r="T30" s="2772"/>
      <c r="U30" s="2772"/>
      <c r="V30" s="2772"/>
      <c r="W30" s="2772"/>
      <c r="X30" s="2772"/>
      <c r="Y30" s="2772"/>
      <c r="Z30" s="2772"/>
      <c r="AA30" s="2772"/>
      <c r="AB30" s="2772"/>
      <c r="AC30" s="2772"/>
      <c r="AD30" s="2772"/>
      <c r="AE30" s="2772"/>
      <c r="AF30" s="2772"/>
      <c r="AG30" s="2772"/>
      <c r="AH30" s="2772"/>
      <c r="AI30" s="2772"/>
      <c r="AJ30" s="2772"/>
      <c r="AK30" s="2772"/>
      <c r="AL30" s="2772"/>
      <c r="AM30" s="2772"/>
      <c r="AN30" s="2772"/>
      <c r="AO30" s="2773"/>
    </row>
    <row r="31" spans="1:41">
      <c r="B31"/>
      <c r="C31" s="156"/>
      <c r="D31" s="160" t="e">
        <f t="shared" si="52"/>
        <v>#DIV/0!</v>
      </c>
      <c r="E31" s="161"/>
      <c r="F31"/>
      <c r="G31"/>
      <c r="H31"/>
      <c r="I31"/>
      <c r="J31"/>
      <c r="K31" s="38"/>
      <c r="L31"/>
      <c r="M31"/>
    </row>
    <row r="32" spans="1:41">
      <c r="B32"/>
      <c r="C32" s="156"/>
      <c r="D32" s="160" t="e">
        <f t="shared" si="52"/>
        <v>#DIV/0!</v>
      </c>
      <c r="E32" s="161"/>
      <c r="F32"/>
      <c r="G32"/>
      <c r="H32"/>
      <c r="I32"/>
      <c r="J32"/>
      <c r="K32" s="38"/>
      <c r="L32"/>
      <c r="M32"/>
    </row>
    <row r="33" spans="2:13">
      <c r="B33"/>
      <c r="C33" s="156"/>
      <c r="D33" s="160" t="e">
        <f t="shared" si="52"/>
        <v>#DIV/0!</v>
      </c>
      <c r="E33" s="161"/>
      <c r="F33"/>
      <c r="G33"/>
      <c r="H33"/>
      <c r="I33"/>
      <c r="J33"/>
      <c r="K33" s="38"/>
      <c r="L33"/>
      <c r="M33"/>
    </row>
    <row r="34" spans="2:13">
      <c r="B34"/>
      <c r="C34" s="156"/>
      <c r="D34" s="160" t="e">
        <f t="shared" si="52"/>
        <v>#DIV/0!</v>
      </c>
      <c r="E34" s="161"/>
      <c r="F34"/>
      <c r="G34"/>
      <c r="H34"/>
      <c r="I34"/>
      <c r="J34"/>
      <c r="K34" s="38"/>
      <c r="L34"/>
      <c r="M34"/>
    </row>
    <row r="35" spans="2:13">
      <c r="B35"/>
      <c r="C35" s="156"/>
      <c r="D35" s="160" t="e">
        <f t="shared" si="52"/>
        <v>#DIV/0!</v>
      </c>
      <c r="E35" s="161"/>
      <c r="F35"/>
      <c r="G35"/>
      <c r="H35"/>
      <c r="I35"/>
      <c r="J35"/>
      <c r="K35" s="38"/>
      <c r="L35"/>
      <c r="M35"/>
    </row>
    <row r="36" spans="2:13">
      <c r="B36"/>
      <c r="C36" s="156"/>
      <c r="D36" s="160" t="e">
        <f t="shared" si="52"/>
        <v>#DIV/0!</v>
      </c>
      <c r="E36" s="161"/>
      <c r="F36"/>
      <c r="G36"/>
      <c r="H36"/>
      <c r="I36"/>
      <c r="J36"/>
      <c r="K36" s="38"/>
      <c r="L36"/>
      <c r="M36"/>
    </row>
    <row r="37" spans="2:13" ht="13.5" thickBot="1">
      <c r="B37"/>
      <c r="C37" s="156"/>
      <c r="D37" s="162" t="e">
        <f>SUM(D29:D33)</f>
        <v>#DIV/0!</v>
      </c>
      <c r="E37" s="163"/>
      <c r="F37"/>
      <c r="G37"/>
      <c r="H37"/>
      <c r="I37"/>
      <c r="J37"/>
      <c r="K37" s="38"/>
      <c r="L37"/>
      <c r="M37"/>
    </row>
    <row r="38" spans="2:13">
      <c r="B38"/>
      <c r="C38" s="156"/>
      <c r="D38" s="4" t="s">
        <v>334</v>
      </c>
      <c r="E38"/>
      <c r="F38"/>
      <c r="G38"/>
      <c r="H38"/>
      <c r="I38"/>
      <c r="J38"/>
      <c r="K38" s="38"/>
      <c r="L38"/>
      <c r="M38"/>
    </row>
    <row r="39" spans="2:13">
      <c r="B39"/>
      <c r="C39" s="156"/>
      <c r="F39"/>
      <c r="G39"/>
    </row>
    <row r="40" spans="2:13">
      <c r="B40"/>
      <c r="C40" s="156"/>
      <c r="F40"/>
      <c r="G40"/>
    </row>
    <row r="41" spans="2:13">
      <c r="C41" s="156"/>
      <c r="F41"/>
      <c r="G41"/>
    </row>
    <row r="42" spans="2:13">
      <c r="C42" s="156"/>
      <c r="G42"/>
    </row>
    <row r="43" spans="2:13">
      <c r="G43"/>
    </row>
    <row r="44" spans="2:13">
      <c r="G44"/>
    </row>
  </sheetData>
  <sheetProtection sheet="1" formatCells="0" formatColumns="0" formatRows="0"/>
  <mergeCells count="8">
    <mergeCell ref="D27:D29"/>
    <mergeCell ref="H3:K3"/>
    <mergeCell ref="G30:AO30"/>
    <mergeCell ref="R3:U3"/>
    <mergeCell ref="W3:Z3"/>
    <mergeCell ref="AB3:AE3"/>
    <mergeCell ref="AL3:AO3"/>
    <mergeCell ref="AG3:AJ3"/>
  </mergeCells>
  <dataValidations count="1">
    <dataValidation type="list" errorStyle="warning" allowBlank="1" showErrorMessage="1" errorTitle="Kohdistus tarvitaan" error="Ilman oikeaa kohdistusta lainan kustannukset eivät päädy oikeaan laskentakohtaan..." sqref="O5:O20" xr:uid="{00000000-0002-0000-0800-000000000000}">
      <formula1>Lainakohdistus</formula1>
    </dataValidation>
  </dataValidations>
  <hyperlinks>
    <hyperlink ref="I4" location="Annuiteettikertoimet!A1" display="Annuiteettikerroin" xr:uid="{00000000-0004-0000-08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ul16"/>
  <dimension ref="A1:Q86"/>
  <sheetViews>
    <sheetView zoomScale="70" zoomScaleNormal="70" workbookViewId="0">
      <selection activeCell="A22" sqref="A22"/>
    </sheetView>
  </sheetViews>
  <sheetFormatPr defaultColWidth="8.85546875" defaultRowHeight="12.75"/>
  <cols>
    <col min="1" max="1" width="47" customWidth="1"/>
    <col min="2" max="2" width="44.85546875" customWidth="1"/>
    <col min="3" max="3" width="18.7109375" customWidth="1"/>
    <col min="4" max="4" width="19.42578125" customWidth="1"/>
    <col min="5" max="5" width="20.5703125" customWidth="1"/>
    <col min="6" max="6" width="17.42578125" customWidth="1"/>
    <col min="7" max="7" width="9.7109375" customWidth="1"/>
    <col min="8" max="8" width="22.85546875" customWidth="1"/>
    <col min="9" max="9" width="18.85546875" customWidth="1"/>
    <col min="10" max="10" width="17.5703125" customWidth="1"/>
    <col min="11" max="11" width="19.85546875" customWidth="1"/>
    <col min="12" max="12" width="21.140625" customWidth="1"/>
    <col min="13" max="13" width="26.7109375" customWidth="1"/>
    <col min="14" max="14" width="16" customWidth="1"/>
    <col min="15" max="15" width="19.42578125" customWidth="1"/>
    <col min="16" max="16" width="17.5703125" customWidth="1"/>
    <col min="17" max="17" width="15.85546875" customWidth="1"/>
  </cols>
  <sheetData>
    <row r="1" spans="1:17" ht="18">
      <c r="A1" s="79" t="s">
        <v>412</v>
      </c>
      <c r="K1" s="2038" t="s">
        <v>1577</v>
      </c>
      <c r="L1" s="2039" t="s">
        <v>1590</v>
      </c>
      <c r="M1" s="2039" t="s">
        <v>1591</v>
      </c>
      <c r="N1" s="2039" t="s">
        <v>1592</v>
      </c>
      <c r="O1" s="2027" t="s">
        <v>1593</v>
      </c>
      <c r="P1" s="2027" t="s">
        <v>1594</v>
      </c>
      <c r="Q1" s="2039" t="s">
        <v>1595</v>
      </c>
    </row>
    <row r="2" spans="1:17" ht="18">
      <c r="A2" s="79" t="s">
        <v>413</v>
      </c>
      <c r="B2" s="1386" t="str">
        <f>Lähtötiedot!A21</f>
        <v>Kasvihuone (puutarhatilat) - Piilossa, aktivoi</v>
      </c>
      <c r="C2" s="246"/>
      <c r="D2" s="1992" t="s">
        <v>189</v>
      </c>
      <c r="E2" s="884" t="str">
        <f>Lähtötiedot!E4</f>
        <v>C</v>
      </c>
    </row>
    <row r="3" spans="1:17" ht="18">
      <c r="A3" s="1603" t="str">
        <f>Lähtötiedot!F21</f>
        <v>puutarha</v>
      </c>
      <c r="B3" s="247" t="s">
        <v>188</v>
      </c>
      <c r="C3" s="247"/>
      <c r="D3" s="247"/>
      <c r="E3" s="248">
        <f>Lähtötiedot!C4</f>
        <v>2027</v>
      </c>
      <c r="F3" s="247"/>
    </row>
    <row r="4" spans="1:17" ht="18.75" thickBot="1">
      <c r="B4" s="249" t="s">
        <v>571</v>
      </c>
      <c r="D4" s="250"/>
      <c r="E4" s="1010">
        <f>Lähtötiedot!C21</f>
        <v>0</v>
      </c>
      <c r="F4" s="247" t="str">
        <f>Lähtötiedot!D21</f>
        <v>m2</v>
      </c>
    </row>
    <row r="5" spans="1:17" ht="18.75" thickBot="1">
      <c r="A5" s="1" t="str">
        <f>IF($E$5&lt;&gt;1,"TUOTOT € "&amp;$E$4&amp;" "&amp; $F$4,"TUOTOT €/1 "&amp;$F$4)</f>
        <v>TUOTOT €/1 m2</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c r="C7" s="255" t="s">
        <v>137</v>
      </c>
      <c r="D7" s="256">
        <v>0</v>
      </c>
      <c r="E7" s="257">
        <v>0</v>
      </c>
      <c r="F7" s="258">
        <f t="shared" ref="F7:F17" si="0">D7*E7</f>
        <v>0</v>
      </c>
      <c r="G7" s="189" t="str">
        <f>IFERROR(F7/$F$18,"")</f>
        <v/>
      </c>
      <c r="H7" s="259">
        <f>IF($E$5&lt;&gt;1,F7,$E$4*F7)</f>
        <v>0</v>
      </c>
    </row>
    <row r="8" spans="1:17" ht="15">
      <c r="A8" s="260" t="s">
        <v>424</v>
      </c>
      <c r="B8" s="261"/>
      <c r="C8" s="262" t="s">
        <v>235</v>
      </c>
      <c r="D8" s="261">
        <v>1</v>
      </c>
      <c r="E8" s="263">
        <v>0</v>
      </c>
      <c r="F8" s="258">
        <f t="shared" si="0"/>
        <v>0</v>
      </c>
      <c r="G8" s="189" t="str">
        <f t="shared" ref="G8:G18" si="1">IFERROR(F8/$F$18,"")</f>
        <v/>
      </c>
      <c r="H8" s="259">
        <f t="shared" ref="H8:H17" si="2">IF($E$5&lt;&gt;1,F8,$E$4*F8)</f>
        <v>0</v>
      </c>
    </row>
    <row r="9" spans="1:17" ht="15">
      <c r="A9" s="264" t="s">
        <v>424</v>
      </c>
      <c r="B9" s="265"/>
      <c r="C9" s="266" t="s">
        <v>235</v>
      </c>
      <c r="D9" s="265">
        <v>1</v>
      </c>
      <c r="E9" s="267">
        <v>0</v>
      </c>
      <c r="F9" s="258">
        <f t="shared" si="0"/>
        <v>0</v>
      </c>
      <c r="G9" s="189" t="str">
        <f t="shared" si="1"/>
        <v/>
      </c>
      <c r="H9" s="259">
        <f t="shared" si="2"/>
        <v>0</v>
      </c>
    </row>
    <row r="10" spans="1:17" ht="15">
      <c r="A10" s="264" t="s">
        <v>572</v>
      </c>
      <c r="B10" s="265"/>
      <c r="C10" s="266" t="s">
        <v>235</v>
      </c>
      <c r="D10" s="265">
        <v>1</v>
      </c>
      <c r="E10" s="267">
        <v>0</v>
      </c>
      <c r="F10" s="258">
        <f t="shared" si="0"/>
        <v>0</v>
      </c>
      <c r="G10" s="189" t="str">
        <f t="shared" si="1"/>
        <v/>
      </c>
      <c r="H10" s="259">
        <f t="shared" si="2"/>
        <v>0</v>
      </c>
    </row>
    <row r="11" spans="1:17" ht="15">
      <c r="A11" s="264" t="s">
        <v>572</v>
      </c>
      <c r="B11" s="265"/>
      <c r="C11" s="266" t="s">
        <v>235</v>
      </c>
      <c r="D11" s="265">
        <v>1</v>
      </c>
      <c r="E11" s="267">
        <v>0</v>
      </c>
      <c r="F11" s="258">
        <f t="shared" si="0"/>
        <v>0</v>
      </c>
      <c r="G11" s="189" t="str">
        <f t="shared" si="1"/>
        <v/>
      </c>
      <c r="H11" s="259">
        <f t="shared" si="2"/>
        <v>0</v>
      </c>
    </row>
    <row r="12" spans="1:17" ht="15">
      <c r="A12" s="264" t="s">
        <v>572</v>
      </c>
      <c r="B12" s="265"/>
      <c r="C12" s="266" t="s">
        <v>235</v>
      </c>
      <c r="D12" s="265">
        <v>1</v>
      </c>
      <c r="E12" s="267">
        <v>0</v>
      </c>
      <c r="F12" s="258">
        <f t="shared" si="0"/>
        <v>0</v>
      </c>
      <c r="G12" s="189" t="str">
        <f t="shared" si="1"/>
        <v/>
      </c>
      <c r="H12" s="259">
        <f t="shared" si="2"/>
        <v>0</v>
      </c>
    </row>
    <row r="13" spans="1:17" ht="15">
      <c r="A13" s="264" t="s">
        <v>572</v>
      </c>
      <c r="B13" s="265"/>
      <c r="C13" s="266" t="s">
        <v>235</v>
      </c>
      <c r="D13" s="265">
        <v>1</v>
      </c>
      <c r="E13" s="267">
        <v>0</v>
      </c>
      <c r="F13" s="258">
        <f t="shared" si="0"/>
        <v>0</v>
      </c>
      <c r="G13" s="189" t="str">
        <f t="shared" si="1"/>
        <v/>
      </c>
      <c r="H13" s="259">
        <f t="shared" si="2"/>
        <v>0</v>
      </c>
    </row>
    <row r="14" spans="1:17" ht="15.75" thickBot="1">
      <c r="A14" s="264" t="s">
        <v>572</v>
      </c>
      <c r="B14" s="269"/>
      <c r="C14" s="270" t="s">
        <v>235</v>
      </c>
      <c r="D14" s="269">
        <v>1</v>
      </c>
      <c r="E14" s="271">
        <v>0</v>
      </c>
      <c r="F14" s="258">
        <f t="shared" si="0"/>
        <v>0</v>
      </c>
      <c r="G14" s="189" t="str">
        <f t="shared" si="1"/>
        <v/>
      </c>
      <c r="H14" s="259">
        <f t="shared" si="2"/>
        <v>0</v>
      </c>
    </row>
    <row r="15" spans="1:17" ht="15.75" thickBot="1">
      <c r="A15" s="272" t="s">
        <v>425</v>
      </c>
      <c r="B15" s="273"/>
      <c r="C15" s="274" t="s">
        <v>137</v>
      </c>
      <c r="D15" s="256">
        <v>0</v>
      </c>
      <c r="E15" s="275">
        <v>0</v>
      </c>
      <c r="F15" s="172">
        <f t="shared" si="0"/>
        <v>0</v>
      </c>
      <c r="G15" s="189" t="str">
        <f t="shared" si="1"/>
        <v/>
      </c>
      <c r="H15" s="259">
        <f t="shared" si="2"/>
        <v>0</v>
      </c>
    </row>
    <row r="16" spans="1:17" ht="15.75" thickBot="1">
      <c r="A16" s="276"/>
      <c r="B16" s="277"/>
      <c r="C16" s="165" t="s">
        <v>137</v>
      </c>
      <c r="D16" s="256">
        <v>0</v>
      </c>
      <c r="E16" s="278">
        <v>0</v>
      </c>
      <c r="F16" s="172">
        <f t="shared" si="0"/>
        <v>0</v>
      </c>
      <c r="G16" s="189" t="str">
        <f t="shared" si="1"/>
        <v/>
      </c>
      <c r="H16" s="259">
        <f t="shared" si="2"/>
        <v>0</v>
      </c>
    </row>
    <row r="17" spans="1:14" ht="15.75" thickBot="1">
      <c r="A17" s="279"/>
      <c r="B17" s="277"/>
      <c r="C17" s="165" t="s">
        <v>137</v>
      </c>
      <c r="D17" s="256">
        <v>0</v>
      </c>
      <c r="E17" s="278">
        <v>0</v>
      </c>
      <c r="F17" s="172">
        <f t="shared" si="0"/>
        <v>0</v>
      </c>
      <c r="G17" s="189" t="str">
        <f t="shared" si="1"/>
        <v/>
      </c>
      <c r="H17" s="259">
        <f t="shared" si="2"/>
        <v>0</v>
      </c>
    </row>
    <row r="18" spans="1:14" ht="16.5" thickTop="1">
      <c r="A18" s="1" t="s">
        <v>426</v>
      </c>
      <c r="B18" s="1"/>
      <c r="C18" s="14"/>
      <c r="D18" s="14"/>
      <c r="E18" s="14"/>
      <c r="F18" s="178">
        <f>SUM(F7:F17)</f>
        <v>0</v>
      </c>
      <c r="G18" s="189" t="str">
        <f t="shared" si="1"/>
        <v/>
      </c>
      <c r="H18" s="259">
        <f>SUM(H7:H17)</f>
        <v>0</v>
      </c>
    </row>
    <row r="19" spans="1:14">
      <c r="G19" s="52"/>
      <c r="H19" s="52"/>
    </row>
    <row r="20" spans="1:14">
      <c r="G20" s="52"/>
      <c r="H20" s="52"/>
    </row>
    <row r="21" spans="1:14" s="247" customFormat="1" ht="18">
      <c r="A21" s="1" t="str">
        <f>IF($E$5&lt;&gt;1,"Muuttuvat kustannukset € "&amp;$E$4&amp;" "&amp; $F$4,"Muuttuvat kustannukset €/1 "&amp;$F$4)</f>
        <v>Muuttuvat kustannukset €/1 m2</v>
      </c>
      <c r="B21" s="1" t="s">
        <v>427</v>
      </c>
      <c r="C21" s="252" t="s">
        <v>146</v>
      </c>
      <c r="D21" s="252" t="s">
        <v>147</v>
      </c>
      <c r="E21" s="252" t="s">
        <v>428</v>
      </c>
      <c r="F21" s="252" t="s">
        <v>235</v>
      </c>
      <c r="G21" s="521" t="s">
        <v>159</v>
      </c>
      <c r="H21" s="252" t="s">
        <v>420</v>
      </c>
    </row>
    <row r="22" spans="1:14" s="14" customFormat="1" ht="18">
      <c r="A22" s="277"/>
      <c r="B22" s="277"/>
      <c r="C22" s="165" t="s">
        <v>137</v>
      </c>
      <c r="D22" s="282">
        <v>0</v>
      </c>
      <c r="E22" s="176">
        <v>0</v>
      </c>
      <c r="F22" s="172">
        <f t="shared" ref="F22:F32" si="3">D22*E22</f>
        <v>0</v>
      </c>
      <c r="G22" s="189" t="e">
        <f t="shared" ref="G22:G38" si="4">F22/$F$61</f>
        <v>#DIV/0!</v>
      </c>
      <c r="H22" s="259">
        <f>IF($E$5&lt;&gt;1,F22,$E$4*F22)</f>
        <v>0</v>
      </c>
      <c r="K22" s="247"/>
      <c r="L22" s="247"/>
      <c r="M22" s="247"/>
      <c r="N22" s="247"/>
    </row>
    <row r="23" spans="1:14" s="14" customFormat="1" ht="18">
      <c r="A23" s="277"/>
      <c r="B23" s="277"/>
      <c r="C23" s="165" t="s">
        <v>137</v>
      </c>
      <c r="D23" s="282">
        <v>0</v>
      </c>
      <c r="E23" s="176">
        <v>0</v>
      </c>
      <c r="F23" s="172">
        <f t="shared" si="3"/>
        <v>0</v>
      </c>
      <c r="G23" s="189" t="e">
        <f t="shared" si="4"/>
        <v>#DIV/0!</v>
      </c>
      <c r="H23" s="259">
        <f t="shared" ref="H23:H37" si="5">IF($E$5&lt;&gt;1,F23,$E$4*F23)</f>
        <v>0</v>
      </c>
      <c r="K23" s="247"/>
      <c r="L23" s="247"/>
      <c r="M23" s="247"/>
      <c r="N23" s="247"/>
    </row>
    <row r="24" spans="1:14" s="14" customFormat="1" ht="15">
      <c r="A24" s="277"/>
      <c r="B24" s="277"/>
      <c r="C24" s="165" t="s">
        <v>137</v>
      </c>
      <c r="D24" s="282">
        <v>0</v>
      </c>
      <c r="E24" s="176">
        <v>0</v>
      </c>
      <c r="F24" s="172">
        <f t="shared" si="3"/>
        <v>0</v>
      </c>
      <c r="G24" s="189" t="e">
        <f t="shared" si="4"/>
        <v>#DIV/0!</v>
      </c>
      <c r="H24" s="259">
        <f t="shared" si="5"/>
        <v>0</v>
      </c>
      <c r="K24"/>
    </row>
    <row r="25" spans="1:14" s="14" customFormat="1" ht="15">
      <c r="A25" s="277"/>
      <c r="B25" s="277"/>
      <c r="C25" s="165" t="s">
        <v>433</v>
      </c>
      <c r="D25" s="282">
        <v>0</v>
      </c>
      <c r="E25" s="176">
        <v>0</v>
      </c>
      <c r="F25" s="172">
        <f t="shared" si="3"/>
        <v>0</v>
      </c>
      <c r="G25" s="189" t="e">
        <f t="shared" si="4"/>
        <v>#DIV/0!</v>
      </c>
      <c r="H25" s="259">
        <f t="shared" si="5"/>
        <v>0</v>
      </c>
      <c r="K25"/>
    </row>
    <row r="26" spans="1:14" s="14" customFormat="1" ht="15">
      <c r="A26" s="277"/>
      <c r="B26" s="277"/>
      <c r="C26" s="165" t="s">
        <v>15</v>
      </c>
      <c r="D26" s="282">
        <v>0</v>
      </c>
      <c r="E26" s="176">
        <v>0</v>
      </c>
      <c r="F26" s="172">
        <f t="shared" si="3"/>
        <v>0</v>
      </c>
      <c r="G26" s="189" t="e">
        <f t="shared" si="4"/>
        <v>#DIV/0!</v>
      </c>
      <c r="H26" s="259">
        <f t="shared" si="5"/>
        <v>0</v>
      </c>
      <c r="K26"/>
    </row>
    <row r="27" spans="1:14" s="14" customFormat="1" ht="15">
      <c r="A27" s="277"/>
      <c r="B27" s="277"/>
      <c r="C27" s="165" t="s">
        <v>137</v>
      </c>
      <c r="D27" s="282">
        <v>0</v>
      </c>
      <c r="E27" s="176">
        <v>0</v>
      </c>
      <c r="F27" s="172">
        <f t="shared" si="3"/>
        <v>0</v>
      </c>
      <c r="G27" s="189" t="e">
        <f t="shared" si="4"/>
        <v>#DIV/0!</v>
      </c>
      <c r="H27" s="259">
        <f t="shared" si="5"/>
        <v>0</v>
      </c>
      <c r="K27"/>
    </row>
    <row r="28" spans="1:14" s="14" customFormat="1" ht="15">
      <c r="A28" s="277"/>
      <c r="B28" s="277"/>
      <c r="C28" s="165" t="s">
        <v>150</v>
      </c>
      <c r="D28" s="282">
        <v>0</v>
      </c>
      <c r="E28" s="176">
        <v>0</v>
      </c>
      <c r="F28" s="172">
        <f t="shared" si="3"/>
        <v>0</v>
      </c>
      <c r="G28" s="189" t="e">
        <f t="shared" si="4"/>
        <v>#DIV/0!</v>
      </c>
      <c r="H28" s="259">
        <f t="shared" si="5"/>
        <v>0</v>
      </c>
      <c r="K28"/>
    </row>
    <row r="29" spans="1:14" s="14" customFormat="1" ht="15">
      <c r="A29" s="277"/>
      <c r="B29" s="277"/>
      <c r="C29" s="165" t="s">
        <v>15</v>
      </c>
      <c r="D29" s="282">
        <v>0</v>
      </c>
      <c r="E29" s="176">
        <v>0</v>
      </c>
      <c r="F29" s="172">
        <f t="shared" si="3"/>
        <v>0</v>
      </c>
      <c r="G29" s="189" t="e">
        <f t="shared" si="4"/>
        <v>#DIV/0!</v>
      </c>
      <c r="H29" s="259">
        <f t="shared" si="5"/>
        <v>0</v>
      </c>
      <c r="K29"/>
    </row>
    <row r="30" spans="1:14" s="14" customFormat="1" ht="15">
      <c r="A30" s="277"/>
      <c r="B30" s="277"/>
      <c r="C30" s="165" t="s">
        <v>137</v>
      </c>
      <c r="D30" s="282">
        <v>0</v>
      </c>
      <c r="E30" s="176">
        <v>0</v>
      </c>
      <c r="F30" s="172">
        <f t="shared" si="3"/>
        <v>0</v>
      </c>
      <c r="G30" s="189" t="e">
        <f t="shared" si="4"/>
        <v>#DIV/0!</v>
      </c>
      <c r="H30" s="259">
        <f t="shared" si="5"/>
        <v>0</v>
      </c>
      <c r="K30"/>
    </row>
    <row r="31" spans="1:14" ht="15">
      <c r="A31" s="277"/>
      <c r="B31" s="277"/>
      <c r="C31" s="165" t="s">
        <v>137</v>
      </c>
      <c r="D31" s="282">
        <v>0</v>
      </c>
      <c r="E31" s="176">
        <v>0</v>
      </c>
      <c r="F31" s="172">
        <f t="shared" si="3"/>
        <v>0</v>
      </c>
      <c r="G31" s="189" t="e">
        <f t="shared" si="4"/>
        <v>#DIV/0!</v>
      </c>
      <c r="H31" s="259">
        <f t="shared" si="5"/>
        <v>0</v>
      </c>
      <c r="L31" s="14"/>
      <c r="M31" s="14"/>
    </row>
    <row r="32" spans="1:14" ht="15">
      <c r="A32" s="277"/>
      <c r="B32" s="277"/>
      <c r="C32" s="165" t="s">
        <v>442</v>
      </c>
      <c r="D32" s="282">
        <v>0</v>
      </c>
      <c r="E32" s="176">
        <v>0</v>
      </c>
      <c r="F32" s="172">
        <f t="shared" si="3"/>
        <v>0</v>
      </c>
      <c r="G32" s="189" t="e">
        <f t="shared" si="4"/>
        <v>#DIV/0!</v>
      </c>
      <c r="H32" s="259">
        <f t="shared" si="5"/>
        <v>0</v>
      </c>
    </row>
    <row r="33" spans="1:17" ht="15.75">
      <c r="A33" s="277" t="s">
        <v>1603</v>
      </c>
      <c r="B33" s="277"/>
      <c r="C33" s="165" t="s">
        <v>442</v>
      </c>
      <c r="D33" s="282">
        <v>0</v>
      </c>
      <c r="E33" s="176">
        <v>0</v>
      </c>
      <c r="F33" s="172">
        <f>IF($E$4&gt;0,D33*E33,0)</f>
        <v>0</v>
      </c>
      <c r="G33" s="189" t="e">
        <f t="shared" si="4"/>
        <v>#DIV/0!</v>
      </c>
      <c r="H33" s="259">
        <f t="shared" si="5"/>
        <v>0</v>
      </c>
      <c r="K33" s="2048" t="s">
        <v>1580</v>
      </c>
      <c r="L33" s="2049">
        <f>IF(AND($E$4&gt;0,D33&gt;0),IF($E$5&lt;&gt;1,D33,D33*E4),0)</f>
        <v>0</v>
      </c>
      <c r="M33" s="2053">
        <f>L33/159</f>
        <v>0</v>
      </c>
      <c r="N33" s="2050">
        <f>VLOOKUP(K33,Lähtötiedot!$A$88:$F$93,6,FALSE)</f>
        <v>2.66</v>
      </c>
      <c r="O33" s="2051">
        <f>L33*N33</f>
        <v>0</v>
      </c>
      <c r="P33" s="2054">
        <f>O33/1000</f>
        <v>0</v>
      </c>
      <c r="Q33" s="2052">
        <f>O33*0.27</f>
        <v>0</v>
      </c>
    </row>
    <row r="34" spans="1:17" ht="15">
      <c r="A34" s="1545" t="s">
        <v>444</v>
      </c>
      <c r="B34" s="1549">
        <f>IF(E4&gt;0,SUMIF('Muut kustannustiedot'!$H$38:$H$48,"puutarha",'Muut kustannustiedot'!$V$38:$V$48),0)</f>
        <v>0</v>
      </c>
      <c r="C34" s="1541" t="s">
        <v>235</v>
      </c>
      <c r="D34" s="1152">
        <v>1</v>
      </c>
      <c r="E34" s="1550" t="e">
        <f>IF(E5=1,B34*D34/E4,B34*D34)</f>
        <v>#DIV/0!</v>
      </c>
      <c r="F34" s="172" t="e">
        <f>D34*E34</f>
        <v>#DIV/0!</v>
      </c>
      <c r="G34" s="189" t="e">
        <f t="shared" ref="G34" si="6">F34/$F$64</f>
        <v>#DIV/0!</v>
      </c>
      <c r="H34" s="259" t="e">
        <f t="shared" si="5"/>
        <v>#DIV/0!</v>
      </c>
    </row>
    <row r="35" spans="1:17" ht="15">
      <c r="A35" s="277" t="s">
        <v>573</v>
      </c>
      <c r="B35" s="277"/>
      <c r="C35" s="165" t="s">
        <v>15</v>
      </c>
      <c r="D35" s="282">
        <v>0.5</v>
      </c>
      <c r="E35" s="176">
        <v>15</v>
      </c>
      <c r="F35" s="172">
        <f>IF($E$4&gt;0,D35*E35,0)</f>
        <v>0</v>
      </c>
      <c r="G35" s="189" t="e">
        <f t="shared" si="4"/>
        <v>#DIV/0!</v>
      </c>
      <c r="H35" s="259">
        <f>IF($E$5&lt;&gt;1,F35,$E$4*F35)</f>
        <v>0</v>
      </c>
      <c r="K35" s="25" t="s">
        <v>1600</v>
      </c>
      <c r="L35" s="2064">
        <f>IF(E4&gt;0,IF(E5&lt;&gt;1,D35,D35*E4),0)</f>
        <v>0</v>
      </c>
    </row>
    <row r="36" spans="1:17" ht="15.75">
      <c r="A36" s="2044" t="s">
        <v>1598</v>
      </c>
      <c r="B36" s="2061" t="s">
        <v>1607</v>
      </c>
      <c r="C36" s="370" t="s">
        <v>1597</v>
      </c>
      <c r="D36" s="2040">
        <v>10</v>
      </c>
      <c r="E36" s="2046"/>
      <c r="F36" s="2045"/>
      <c r="G36" s="2047"/>
      <c r="H36" s="259"/>
      <c r="K36" s="2048" t="s">
        <v>1580</v>
      </c>
      <c r="L36" s="2049">
        <f>IF(AND($E$4&gt;0,D36&gt;0),IF($E$5&lt;&gt;1,D36,D36),0)</f>
        <v>0</v>
      </c>
      <c r="M36" s="2053">
        <f>L36/159</f>
        <v>0</v>
      </c>
      <c r="N36" s="2050">
        <f>VLOOKUP(K36,Lähtötiedot!$A$88:$F$93,6,FALSE)</f>
        <v>2.66</v>
      </c>
      <c r="O36" s="2051">
        <f>L36*N36</f>
        <v>0</v>
      </c>
      <c r="P36" s="2054">
        <f>O36/1000</f>
        <v>0</v>
      </c>
      <c r="Q36" s="2052">
        <f>O36*0.27</f>
        <v>0</v>
      </c>
    </row>
    <row r="37" spans="1:17" ht="16.5" thickBot="1">
      <c r="A37" s="284" t="s">
        <v>447</v>
      </c>
      <c r="B37" s="279"/>
      <c r="C37" s="285" t="s">
        <v>159</v>
      </c>
      <c r="D37" s="286" t="e">
        <f>C42*D42</f>
        <v>#DIV/0!</v>
      </c>
      <c r="E37" s="287">
        <v>0.05</v>
      </c>
      <c r="F37" s="172">
        <f>IF($E$4&gt;0,D37*E37,0)</f>
        <v>0</v>
      </c>
      <c r="G37" s="189" t="e">
        <f t="shared" si="4"/>
        <v>#DIV/0!</v>
      </c>
      <c r="H37" s="259">
        <f t="shared" si="5"/>
        <v>0</v>
      </c>
      <c r="K37" s="12" t="s">
        <v>3</v>
      </c>
      <c r="L37" s="2058">
        <f>SUM(L33,L36)</f>
        <v>0</v>
      </c>
      <c r="M37" s="2058">
        <f t="shared" ref="M37:Q37" si="7">SUM(M33,M36)</f>
        <v>0</v>
      </c>
      <c r="N37" s="2058">
        <f t="shared" si="7"/>
        <v>5.32</v>
      </c>
      <c r="O37" s="2058">
        <f>SUM(O33,O36)</f>
        <v>0</v>
      </c>
      <c r="P37" s="2058">
        <f t="shared" si="7"/>
        <v>0</v>
      </c>
      <c r="Q37" s="2058">
        <f t="shared" si="7"/>
        <v>0</v>
      </c>
    </row>
    <row r="38" spans="1:17" ht="16.5" thickTop="1">
      <c r="A38" s="1" t="s">
        <v>448</v>
      </c>
      <c r="B38" s="1"/>
      <c r="D38" s="14"/>
      <c r="E38" s="14"/>
      <c r="F38" s="178" t="e">
        <f>SUM(F22:F37)</f>
        <v>#DIV/0!</v>
      </c>
      <c r="G38" s="189" t="e">
        <f t="shared" si="4"/>
        <v>#DIV/0!</v>
      </c>
      <c r="H38" s="259" t="e">
        <f>SUM(H22:H37)</f>
        <v>#DIV/0!</v>
      </c>
      <c r="K38" s="1677" t="s">
        <v>1596</v>
      </c>
      <c r="L38" s="1656"/>
      <c r="M38" s="1656"/>
      <c r="N38" s="1656"/>
      <c r="O38" s="2056">
        <f>IF($E$4&gt;0,$O$36/L35,0)</f>
        <v>0</v>
      </c>
      <c r="P38" s="1656"/>
      <c r="Q38" s="1656"/>
    </row>
    <row r="39" spans="1:17" ht="18">
      <c r="A39" s="1" t="s">
        <v>449</v>
      </c>
      <c r="B39" s="52" t="s">
        <v>450</v>
      </c>
      <c r="D39" s="14"/>
      <c r="E39" s="14"/>
      <c r="F39" s="289" t="e">
        <f>F18-F38</f>
        <v>#DIV/0!</v>
      </c>
      <c r="G39" s="189"/>
      <c r="H39" s="290" t="e">
        <f>H18-H38</f>
        <v>#DIV/0!</v>
      </c>
      <c r="K39" s="1677" t="s">
        <v>1604</v>
      </c>
      <c r="O39" s="2057" t="e">
        <f>O37/E4</f>
        <v>#DIV/0!</v>
      </c>
    </row>
    <row r="40" spans="1:17" ht="15.75">
      <c r="A40" s="1"/>
      <c r="B40" s="1"/>
      <c r="D40" s="14"/>
      <c r="E40" s="14"/>
      <c r="F40" s="291"/>
      <c r="G40" s="52"/>
      <c r="H40" s="52"/>
      <c r="K40" s="1677" t="s">
        <v>1601</v>
      </c>
      <c r="O40" s="2055">
        <f>IF($E$4&gt;0,$O$37/D7,0)</f>
        <v>0</v>
      </c>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8">
      <c r="A46" s="168" t="s">
        <v>458</v>
      </c>
      <c r="C46" s="165" t="s">
        <v>15</v>
      </c>
      <c r="D46" s="90">
        <v>0</v>
      </c>
      <c r="E46" s="299">
        <v>15.9</v>
      </c>
      <c r="F46" s="172">
        <f>D46*E46</f>
        <v>0</v>
      </c>
      <c r="G46" s="189" t="e">
        <f>F46/$F$61</f>
        <v>#DIV/0!</v>
      </c>
      <c r="H46" s="1521">
        <f>IF($E$5&lt;&gt;1,F46,$E$4*F46)</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21">
      <c r="A50" s="1" t="s">
        <v>462</v>
      </c>
      <c r="B50" s="303" t="str">
        <f>A3</f>
        <v>puutarha</v>
      </c>
      <c r="D50" s="304">
        <f>E4</f>
        <v>0</v>
      </c>
      <c r="E50" s="3" t="s">
        <v>574</v>
      </c>
      <c r="G50" s="52"/>
      <c r="H50" s="52"/>
    </row>
    <row r="51" spans="1:9">
      <c r="G51" s="52"/>
      <c r="H51" s="52"/>
    </row>
    <row r="52" spans="1:9" ht="16.5" thickBot="1">
      <c r="A52" s="168"/>
      <c r="B52" s="168"/>
      <c r="C52" s="169"/>
      <c r="D52" s="1387" t="s">
        <v>465</v>
      </c>
      <c r="E52" s="169"/>
      <c r="F52" s="171" t="s">
        <v>259</v>
      </c>
      <c r="G52" s="52"/>
      <c r="H52" s="252" t="s">
        <v>420</v>
      </c>
    </row>
    <row r="53" spans="1:9" ht="16.5" thickBot="1">
      <c r="A53" s="2701" t="str">
        <f>IF(E5&lt;&gt;1,"Kiinteät kustannukset tilikaudella /"&amp;E4&amp;" "&amp;F4,"Kiinteät kustannukset tilikaudella /1 "&amp;F4)</f>
        <v>Kiinteät kustannukset tilikaudella /1 m2</v>
      </c>
      <c r="B53" s="878" t="s">
        <v>231</v>
      </c>
      <c r="C53" s="305"/>
      <c r="D53" s="1500">
        <f>SUMIF(Lähtötiedot!$A$60:$A$70,$B$50,Lähtötiedot!$D$60:$D$70)</f>
        <v>0</v>
      </c>
      <c r="E53" s="306"/>
      <c r="F53" s="306" t="e">
        <f>IF($E$5&lt;&gt;1,D53,D53/$D$50)</f>
        <v>#DIV/0!</v>
      </c>
      <c r="G53" s="189"/>
      <c r="H53" s="259" t="e">
        <f t="shared" ref="H53:H56" si="8">IF($E$5&lt;&gt;1,F53,$E$4*F53)</f>
        <v>#DIV/0!</v>
      </c>
    </row>
    <row r="54" spans="1:9" ht="16.5" thickBot="1">
      <c r="A54" s="2702"/>
      <c r="B54" s="878" t="s">
        <v>232</v>
      </c>
      <c r="C54" s="305"/>
      <c r="D54" s="1500">
        <f>SUMIF(Lähtötiedot!$A$60:$A$70,$B$50,Lähtötiedot!$E$60:$E$70)</f>
        <v>0</v>
      </c>
      <c r="E54" s="306"/>
      <c r="F54" s="306" t="e">
        <f t="shared" ref="F54:F56" si="9">IF($E$5&lt;&gt;1,D54,D54/$D$50)</f>
        <v>#DIV/0!</v>
      </c>
      <c r="G54" s="189"/>
      <c r="H54" s="259" t="e">
        <f>IF($E$5&lt;&gt;1,F54,$E$4*F54)</f>
        <v>#DIV/0!</v>
      </c>
    </row>
    <row r="55" spans="1:9" ht="16.5" thickBot="1">
      <c r="A55" s="2703"/>
      <c r="B55" s="874" t="s">
        <v>468</v>
      </c>
      <c r="C55" s="1065"/>
      <c r="D55" s="1500">
        <f>SUMIF(Lähtötiedot!$A$60:$A$70,$B$50,Lähtötiedot!$F$60:$F$70)</f>
        <v>0</v>
      </c>
      <c r="E55" s="1096"/>
      <c r="F55" s="306" t="e">
        <f t="shared" si="9"/>
        <v>#DIV/0!</v>
      </c>
      <c r="G55" s="189"/>
      <c r="H55" s="259" t="e">
        <f t="shared" si="8"/>
        <v>#DIV/0!</v>
      </c>
    </row>
    <row r="56" spans="1:9" ht="16.5" thickBot="1">
      <c r="A56" s="356"/>
      <c r="B56" s="874" t="s">
        <v>469</v>
      </c>
      <c r="C56" s="1065"/>
      <c r="D56" s="1500">
        <f>SUMIF(Lähtötiedot!$A$60:$A$70,$B$50,Lähtötiedot!$G$60:$G$70)</f>
        <v>0</v>
      </c>
      <c r="E56" s="306"/>
      <c r="F56" s="306" t="e">
        <f t="shared" si="9"/>
        <v>#DIV/0!</v>
      </c>
      <c r="G56" s="189" t="e">
        <f>F56/$F$61</f>
        <v>#DIV/0!</v>
      </c>
      <c r="H56" s="259" t="e">
        <f t="shared" si="8"/>
        <v>#DIV/0!</v>
      </c>
    </row>
    <row r="57" spans="1:9" ht="15.75">
      <c r="A57" s="1" t="s">
        <v>470</v>
      </c>
      <c r="B57" s="1"/>
      <c r="C57" s="14"/>
      <c r="D57" s="1078">
        <f>SUM(D53:D56)</f>
        <v>0</v>
      </c>
      <c r="E57" s="14"/>
      <c r="F57" s="178" t="e">
        <f>SUM(F53:F56)</f>
        <v>#DIV/0!</v>
      </c>
      <c r="H57" s="281" t="e">
        <f>SUM(H53:H56)</f>
        <v>#DIV/0!</v>
      </c>
      <c r="I57" s="10"/>
    </row>
    <row r="58" spans="1:9" ht="15.75">
      <c r="A58" s="1"/>
      <c r="B58" s="1"/>
      <c r="C58" s="14"/>
      <c r="D58" s="14"/>
      <c r="E58" s="14"/>
      <c r="F58" s="301"/>
    </row>
    <row r="59" spans="1:9" ht="18">
      <c r="A59" s="1" t="s">
        <v>471</v>
      </c>
      <c r="B59" s="52" t="s">
        <v>472</v>
      </c>
      <c r="C59" s="14"/>
      <c r="D59" s="14"/>
      <c r="E59" s="14"/>
      <c r="F59" s="289" t="e">
        <f>F48-F57</f>
        <v>#DIV/0!</v>
      </c>
      <c r="H59" s="290" t="e">
        <f>H48-H57</f>
        <v>#DIV/0!</v>
      </c>
      <c r="I59" s="10"/>
    </row>
    <row r="60" spans="1:9" ht="15">
      <c r="D60" s="14"/>
      <c r="E60" s="14"/>
      <c r="F60" s="301"/>
    </row>
    <row r="61" spans="1:9" ht="15.75">
      <c r="A61" s="1" t="s">
        <v>473</v>
      </c>
      <c r="B61" s="1"/>
      <c r="D61" s="14"/>
      <c r="E61" s="14"/>
      <c r="F61" s="308" t="e">
        <f>F38+F46+F57</f>
        <v>#DIV/0!</v>
      </c>
      <c r="G61" s="280" t="e">
        <f>SUM(G54:G56,G46,G38)</f>
        <v>#DIV/0!</v>
      </c>
      <c r="H61" s="309"/>
    </row>
    <row r="62" spans="1:9" ht="15.75">
      <c r="A62" s="1" t="s">
        <v>575</v>
      </c>
      <c r="F62" s="308">
        <f>F18</f>
        <v>0</v>
      </c>
      <c r="H62" s="173"/>
    </row>
    <row r="63" spans="1:9" ht="15.75">
      <c r="A63" s="1" t="s">
        <v>476</v>
      </c>
      <c r="F63" s="308">
        <f>SUM(F7,F15:F16)</f>
        <v>0</v>
      </c>
      <c r="H63" s="173"/>
    </row>
    <row r="64" spans="1:9" ht="15.75">
      <c r="A64" s="1" t="s">
        <v>477</v>
      </c>
      <c r="B64" s="1"/>
      <c r="F64" s="308" t="e">
        <f>F62-F61</f>
        <v>#DIV/0!</v>
      </c>
      <c r="G64" s="189" t="str">
        <f>IFERROR(F64/F62,"")</f>
        <v/>
      </c>
      <c r="H64" s="310"/>
      <c r="I64" t="s">
        <v>478</v>
      </c>
    </row>
    <row r="65" spans="1:9" ht="15.75">
      <c r="A65" s="1" t="s">
        <v>479</v>
      </c>
      <c r="B65" s="1"/>
      <c r="F65" s="308" t="e">
        <f>F63-F61</f>
        <v>#DIV/0!</v>
      </c>
      <c r="G65" s="189" t="str">
        <f>IFERROR(F65/F63,"")</f>
        <v/>
      </c>
      <c r="H65" s="310"/>
      <c r="I65" t="s">
        <v>480</v>
      </c>
    </row>
    <row r="67" spans="1:9" ht="15.75">
      <c r="A67" s="1" t="s">
        <v>576</v>
      </c>
      <c r="B67" s="1"/>
    </row>
    <row r="68" spans="1:9">
      <c r="C68" s="311" t="s">
        <v>147</v>
      </c>
      <c r="D68" s="311" t="s">
        <v>577</v>
      </c>
      <c r="E68" s="1151" t="s">
        <v>578</v>
      </c>
    </row>
    <row r="69" spans="1:9" ht="15.75">
      <c r="A69" s="357" t="s">
        <v>579</v>
      </c>
      <c r="B69" s="357"/>
      <c r="C69" s="357"/>
      <c r="D69" s="1150" t="e">
        <f>F61</f>
        <v>#DIV/0!</v>
      </c>
      <c r="E69" s="1167" t="str">
        <f>IFERROR(D69/E4,"")</f>
        <v/>
      </c>
    </row>
    <row r="70" spans="1:9" ht="15">
      <c r="A70" s="357" t="s">
        <v>580</v>
      </c>
      <c r="B70" s="357"/>
      <c r="C70" s="357"/>
      <c r="D70" s="359"/>
      <c r="E70" s="358"/>
    </row>
    <row r="71" spans="1:9" ht="15">
      <c r="A71" s="357" t="s">
        <v>483</v>
      </c>
      <c r="B71" s="357"/>
      <c r="C71" s="357"/>
      <c r="D71" s="306" t="e">
        <f>D69-D70</f>
        <v>#DIV/0!</v>
      </c>
      <c r="E71" s="358"/>
    </row>
    <row r="72" spans="1:9" ht="15">
      <c r="A72" s="360" t="s">
        <v>581</v>
      </c>
      <c r="B72" s="360"/>
      <c r="C72" s="1099">
        <f>D7+D15+D16+D17</f>
        <v>0</v>
      </c>
      <c r="D72" s="361"/>
      <c r="E72" s="358"/>
    </row>
    <row r="73" spans="1:9" ht="15.75">
      <c r="A73" s="362" t="s">
        <v>582</v>
      </c>
      <c r="B73" s="362"/>
      <c r="C73" s="357"/>
      <c r="D73" s="358"/>
      <c r="E73" s="363" t="str">
        <f>IFERROR(D71/C72,"")</f>
        <v/>
      </c>
      <c r="I73" t="s">
        <v>486</v>
      </c>
    </row>
    <row r="74" spans="1:9" ht="15">
      <c r="A74" s="360" t="s">
        <v>583</v>
      </c>
      <c r="B74" s="360" t="s">
        <v>488</v>
      </c>
      <c r="C74" s="360"/>
      <c r="D74" s="364">
        <f>SUM(F8:F14)</f>
        <v>0</v>
      </c>
      <c r="E74" s="365" t="str">
        <f>IFERROR(D74/D7,"")</f>
        <v/>
      </c>
      <c r="G74" s="81"/>
      <c r="H74" s="81"/>
      <c r="I74" t="s">
        <v>489</v>
      </c>
    </row>
    <row r="75" spans="1:9" ht="15.75">
      <c r="A75" s="362" t="s">
        <v>584</v>
      </c>
      <c r="B75" s="362"/>
      <c r="C75" s="357"/>
      <c r="D75" s="366"/>
      <c r="E75" s="363" t="str">
        <f>IFERROR(E73-E74,"")</f>
        <v/>
      </c>
      <c r="G75" s="81"/>
      <c r="H75" s="81"/>
      <c r="I75" t="s">
        <v>491</v>
      </c>
    </row>
    <row r="76" spans="1:9" ht="15">
      <c r="C76" s="14"/>
      <c r="D76" s="14"/>
      <c r="E76" s="14"/>
    </row>
    <row r="78" spans="1:9">
      <c r="A78" s="3" t="s">
        <v>97</v>
      </c>
    </row>
    <row r="79" spans="1:9">
      <c r="A79" t="s">
        <v>492</v>
      </c>
    </row>
    <row r="80" spans="1:9">
      <c r="B80" t="s">
        <v>493</v>
      </c>
      <c r="E80" s="10" t="e">
        <f>F38</f>
        <v>#DIV/0!</v>
      </c>
    </row>
    <row r="81" spans="2:5">
      <c r="B81" t="str">
        <f>A46</f>
        <v>Työkustannus (ihmistyö)</v>
      </c>
      <c r="E81" s="10">
        <f>F46</f>
        <v>0</v>
      </c>
    </row>
    <row r="82" spans="2:5">
      <c r="B82" t="s">
        <v>470</v>
      </c>
      <c r="E82" s="10" t="e">
        <f>F57</f>
        <v>#DIV/0!</v>
      </c>
    </row>
    <row r="83" spans="2:5">
      <c r="B83" s="3" t="s">
        <v>494</v>
      </c>
      <c r="E83" s="9" t="e">
        <f>SUM(E80:E82)</f>
        <v>#DIV/0!</v>
      </c>
    </row>
    <row r="84" spans="2:5">
      <c r="B84" t="s">
        <v>495</v>
      </c>
      <c r="E84" s="19">
        <f>C72</f>
        <v>0</v>
      </c>
    </row>
    <row r="85" spans="2:5">
      <c r="B85" t="s">
        <v>496</v>
      </c>
      <c r="C85" t="s">
        <v>497</v>
      </c>
      <c r="E85" s="399" t="str">
        <f>IFERROR(E83/E84,"")</f>
        <v/>
      </c>
    </row>
    <row r="86" spans="2:5" ht="14.25">
      <c r="B86" t="s">
        <v>585</v>
      </c>
      <c r="E86" t="str">
        <f>IFERROR(E83/E4,"")</f>
        <v/>
      </c>
    </row>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Lähtötiedot!$A$88:$A$93</xm:f>
          </x14:formula1>
          <xm:sqref>K36 K33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ul25"/>
  <dimension ref="A1:AA266"/>
  <sheetViews>
    <sheetView zoomScale="80" zoomScaleNormal="80" workbookViewId="0">
      <selection activeCell="I36" sqref="I36"/>
    </sheetView>
  </sheetViews>
  <sheetFormatPr defaultRowHeight="12.75"/>
  <cols>
    <col min="1" max="1" width="4.140625" customWidth="1"/>
    <col min="2" max="2" width="33.7109375" customWidth="1"/>
    <col min="3" max="3" width="27.28515625" customWidth="1"/>
    <col min="4" max="4" width="38.140625" customWidth="1"/>
    <col min="5" max="5" width="24.7109375" customWidth="1"/>
    <col min="6" max="6" width="20.85546875" customWidth="1"/>
    <col min="7" max="7" width="25.85546875" customWidth="1"/>
    <col min="8" max="8" width="25.42578125" customWidth="1"/>
    <col min="9" max="9" width="15.140625" customWidth="1"/>
    <col min="11" max="11" width="12.28515625" customWidth="1"/>
    <col min="12" max="12" width="13" customWidth="1"/>
    <col min="13" max="13" width="15.5703125" customWidth="1"/>
  </cols>
  <sheetData>
    <row r="1" spans="1:14" ht="20.25">
      <c r="B1" s="1229" t="str">
        <f>IF(Lähtötiedot!B1&lt;&gt;"",Lähtötiedot!A1&amp;" :  "&amp;Lähtötiedot!B1&amp;" "&amp;Lähtötiedot!A2&amp;"  : "&amp;Lähtötiedot!B2&amp;" "&amp;Lähtötiedot!A3&amp;" "&amp;Lähtötiedot!B3&amp;IF(Ely="ely"," Ely-versio",""),Lähtötiedot!A3&amp;" "&amp;Lähtötiedot!B3&amp;" ")</f>
        <v>Yrityksen nimi :  Nimi Tekijän nimi  :  Laskelmaversio 1</v>
      </c>
      <c r="L1" s="2794" t="s">
        <v>893</v>
      </c>
      <c r="M1" s="2795"/>
      <c r="N1" s="2796"/>
    </row>
    <row r="2" spans="1:14" ht="27.75">
      <c r="B2" s="2799" t="s">
        <v>946</v>
      </c>
      <c r="C2" s="2799"/>
      <c r="D2" s="2799"/>
      <c r="E2" s="2799"/>
      <c r="F2" s="2799"/>
      <c r="G2" s="2799"/>
      <c r="H2" s="2799"/>
      <c r="L2" s="521"/>
      <c r="M2" s="521"/>
      <c r="N2" s="521"/>
    </row>
    <row r="3" spans="1:14" ht="18.75" customHeight="1" thickBot="1">
      <c r="B3" s="3" t="s">
        <v>947</v>
      </c>
      <c r="C3" s="2800" t="s">
        <v>948</v>
      </c>
      <c r="D3" s="2800"/>
      <c r="E3" s="2738" t="s">
        <v>949</v>
      </c>
      <c r="F3" s="521"/>
      <c r="G3" s="689" t="s">
        <v>235</v>
      </c>
      <c r="K3" s="893">
        <f>Lähtötiedot!F5</f>
        <v>0.255</v>
      </c>
      <c r="L3" s="894">
        <f>Lähtötiedot!F6</f>
        <v>0.14000000000000001</v>
      </c>
      <c r="M3" s="895">
        <f>Lähtötiedot!F7</f>
        <v>0.1</v>
      </c>
    </row>
    <row r="4" spans="1:14" ht="13.5" thickBot="1">
      <c r="A4" s="2" t="s">
        <v>287</v>
      </c>
      <c r="B4" s="521" t="s">
        <v>950</v>
      </c>
      <c r="C4" s="1999" t="s">
        <v>951</v>
      </c>
      <c r="D4" s="1999"/>
      <c r="E4" s="2798"/>
      <c r="F4" s="521"/>
      <c r="G4" s="3"/>
      <c r="H4" s="3"/>
      <c r="I4" s="521" t="s">
        <v>952</v>
      </c>
    </row>
    <row r="5" spans="1:14">
      <c r="A5" s="1251" t="s">
        <v>410</v>
      </c>
      <c r="B5" s="1584" t="str">
        <f>IF(LaskeKasvi1!E5=1, LaskeKasvi1!D7*LaskeKasvi1!E4&amp;" "&amp;LaskeKasvi1!C7,LaskeKasvi1!D7&amp;" "&amp;LaskeKasvi1!C7)</f>
        <v>0 kg</v>
      </c>
      <c r="C5" s="1590" t="str">
        <f>IF(LaskeKasvi1!E5=1,"Hävikki "&amp; LaskeKasvi1!D7*LaskeKasvi1!E4*E5&amp;" "&amp;LaskeKasvi1!C7,"Hävikki "&amp;LaskeKasvi1!D7*E5&amp;" "&amp;LaskeKasvi1!C7)</f>
        <v>Hävikki 0 kg</v>
      </c>
      <c r="D5" s="157" t="str">
        <f>LaskeKasvi1!B2</f>
        <v>LaskeKasvi1</v>
      </c>
      <c r="E5" s="1129">
        <v>0.01</v>
      </c>
      <c r="F5" s="1130">
        <v>1</v>
      </c>
      <c r="G5" s="10">
        <f>IF(Ely&lt;&gt;"ely",IF((F5-E5)&lt;0,0,SUM(LaskeKasvi1!$H$7,LaskeKasvi1!$H$15:$H$17)*(F5-E5)),IF(A5="x",IF((F5-E5)&lt;0,0,SUM(LaskeKasvi1!$H$7,LaskeKasvi1!$H$15:$H$17)*(F5-E5)),0))</f>
        <v>0</v>
      </c>
      <c r="H5" s="26" t="str">
        <f t="shared" ref="H5:H11" si="0">IFERROR(G5/$G$39,"")</f>
        <v/>
      </c>
      <c r="I5" s="164">
        <f>LaskeKasvi1!E4</f>
        <v>0</v>
      </c>
      <c r="K5" s="2534">
        <f t="shared" ref="K5:K16" si="1">$L$3</f>
        <v>0.14000000000000001</v>
      </c>
      <c r="L5" s="691">
        <f t="shared" ref="L5:L16" si="2">G5*K5</f>
        <v>0</v>
      </c>
    </row>
    <row r="6" spans="1:14">
      <c r="A6" s="1251" t="s">
        <v>410</v>
      </c>
      <c r="B6" s="890" t="str">
        <f>IF(LaskeKasvi2!E5=1,LaskeKasvi2!D7*LaskeKasvi2!E4&amp;" "&amp;LaskeKasvi2!C7,LaskeKasvi2!D7&amp;" "&amp;LaskeKasvi2!C7)</f>
        <v>0 kg</v>
      </c>
      <c r="C6" s="1591" t="str">
        <f>LaskeKasvi2!D7*LaskeKasvi2!E4*E6&amp;" "&amp;LaskeKasvi2!C7</f>
        <v>0 kg</v>
      </c>
      <c r="D6" s="157" t="str">
        <f>LaskeKasvi2!B2</f>
        <v>LaskeKasvi 2</v>
      </c>
      <c r="E6" s="1129">
        <v>0.01</v>
      </c>
      <c r="F6" s="1128">
        <v>1</v>
      </c>
      <c r="G6" s="10">
        <f>IF(Ely&lt;&gt;"ely",IF((F6-E6)&lt;0,0,SUM(LaskeKasvi2!$H$7,LaskeKasvi2!$H$15:$H$17)*(F6-E6)),IF(A6="x",IF((F6-E6)&lt;0,0,SUM(LaskeKasvi2!$H$7,LaskeKasvi2!$H$15:$H$17)*(F6-E6)),0))</f>
        <v>0</v>
      </c>
      <c r="H6" s="26" t="str">
        <f t="shared" si="0"/>
        <v/>
      </c>
      <c r="I6" s="164">
        <f>LaskeKasvi2!E4</f>
        <v>0</v>
      </c>
      <c r="K6" s="2534">
        <f t="shared" si="1"/>
        <v>0.14000000000000001</v>
      </c>
      <c r="L6" s="691">
        <f t="shared" si="2"/>
        <v>0</v>
      </c>
    </row>
    <row r="7" spans="1:14">
      <c r="A7" s="1251" t="s">
        <v>410</v>
      </c>
      <c r="B7" s="890" t="str">
        <f>IF(LaskeSäilörehu!$E$5=1,LaskeSäilörehu!$D$8*LaskeSäilörehu!$E$4&amp;" kg KA",LaskeSäilörehu!$D$8&amp;" kg KA")</f>
        <v>0 kg KA</v>
      </c>
      <c r="C7" s="1591" t="str">
        <f>IF(LaskeSäilörehu!E5=1,LaskeSäilörehu!D8*LaskeSäilörehu!E4*E7&amp;" kg KA",LaskeSäilörehu!D8*E7&amp;" kg KA")</f>
        <v>0 kg KA</v>
      </c>
      <c r="D7" s="157" t="str">
        <f>LaskeSäilörehu!B2</f>
        <v>LaskeSäilörehu</v>
      </c>
      <c r="E7" s="1129">
        <v>0.01</v>
      </c>
      <c r="F7" s="1128">
        <v>1</v>
      </c>
      <c r="G7" s="10">
        <f>IF(Ely&lt;&gt;"ely",IF((F7-E7)&lt;0,0,SUM(LaskeSäilörehu!$H$8,LaskeSäilörehu!$H$17:$H$19)*(F7-E7)),IF(A7="x",IF((F7-E7)&lt;0,0,SUM(LaskeSäilörehu!$H$8,LaskeSäilörehu!$H$17:$H$19)*(F7-E7)),0))</f>
        <v>0</v>
      </c>
      <c r="H7" s="26" t="str">
        <f t="shared" si="0"/>
        <v/>
      </c>
      <c r="I7" s="164">
        <f>LaskeSäilörehu!E4</f>
        <v>0</v>
      </c>
      <c r="K7" s="2534">
        <f t="shared" si="1"/>
        <v>0.14000000000000001</v>
      </c>
      <c r="L7" s="691">
        <f t="shared" si="2"/>
        <v>0</v>
      </c>
    </row>
    <row r="8" spans="1:14" ht="25.5">
      <c r="A8" s="1251" t="s">
        <v>410</v>
      </c>
      <c r="B8" s="890" t="str">
        <f>IF(LaskeKasvi4!E5=1,LaskeKasvi4!D7*LaskeKasvi4!E4&amp;" "&amp;LaskeKasvi4!C7,LaskeKasvi4!D7&amp;" "&amp;LaskeKasvi4!C7)</f>
        <v>0 kg</v>
      </c>
      <c r="C8" s="1591" t="str">
        <f>LaskeKasvi4!D7*LaskeKasvi4!E4*E8&amp;" "&amp;LaskeKasvi4!C7</f>
        <v>0 kg</v>
      </c>
      <c r="D8" s="157" t="str">
        <f>LaskeKasvi4!B2</f>
        <v>LaskeKasvi 4 - Piilossa, aktivoi (hiiren oikea, näytä)</v>
      </c>
      <c r="E8" s="1129">
        <v>0.01</v>
      </c>
      <c r="F8" s="1128">
        <v>1</v>
      </c>
      <c r="G8" s="10">
        <f>IF(Ely&lt;&gt;"ely",IF((F8-E8)&lt;0,0,SUM(LaskeKasvi4!$H$7,LaskeKasvi4!$H$15:$H$17)*(F8-E8)),IF(A8="x",IF((F8-E8)&lt;0,0,SUM(LaskeKasvi4!$H$7,LaskeKasvi4!$H$15:$H$17)*(F8-E8)),0))</f>
        <v>0</v>
      </c>
      <c r="H8" s="26" t="str">
        <f t="shared" si="0"/>
        <v/>
      </c>
      <c r="I8" s="164">
        <f>LaskeKasvi4!E4</f>
        <v>0</v>
      </c>
      <c r="K8" s="2534">
        <f t="shared" si="1"/>
        <v>0.14000000000000001</v>
      </c>
      <c r="L8" s="691">
        <f t="shared" si="2"/>
        <v>0</v>
      </c>
    </row>
    <row r="9" spans="1:14" ht="25.5">
      <c r="A9" s="1251" t="s">
        <v>410</v>
      </c>
      <c r="B9" s="900">
        <f>IF(LaskeKasvi5!E5=1,LaskeKasvi5!D7*LaskeKasvi5!E4,LaskeKasvi5!D7&amp;" "&amp;LaskeKasvi5!C7)</f>
        <v>0</v>
      </c>
      <c r="C9" s="1592">
        <f>LaskeKasvi5!D7*LaskeKasvi5!E4*E9</f>
        <v>0</v>
      </c>
      <c r="D9" s="157" t="str">
        <f>LaskeKasvi5!B2</f>
        <v>LaskeKasvi 5 - Piilossa, aktivoi (hiiren oikea, näytä)</v>
      </c>
      <c r="E9" s="1129">
        <v>0.01</v>
      </c>
      <c r="F9" s="1128">
        <v>1</v>
      </c>
      <c r="G9" s="10">
        <f>IF(Ely&lt;&gt;"ely",IF((F9-E9)&lt;0,0,SUM(LaskeKasvi5!$H$7,LaskeKasvi5!$H$15:$H$17)*(F9-E9)),IF(A9="x",IF((F9-E9)&lt;0,0,SUM(LaskeKasvi5!$H$7,LaskeKasvi5!$H$15:$H$17)*(F9-E9)),0))</f>
        <v>0</v>
      </c>
      <c r="H9" s="26" t="str">
        <f t="shared" si="0"/>
        <v/>
      </c>
      <c r="I9" s="164">
        <f>LaskeKasvi5!E4</f>
        <v>0</v>
      </c>
      <c r="K9" s="2534">
        <f t="shared" si="1"/>
        <v>0.14000000000000001</v>
      </c>
      <c r="L9" s="691">
        <f t="shared" si="2"/>
        <v>0</v>
      </c>
    </row>
    <row r="10" spans="1:14">
      <c r="A10" s="1251" t="s">
        <v>410</v>
      </c>
      <c r="B10" s="1816" t="str">
        <f>'LaskeMonivuotinenMarja 1'!AC8&amp;" "&amp;'LaskeMonivuotinenMarja 1'!AD8</f>
        <v>0 kg</v>
      </c>
      <c r="C10" s="1592">
        <f>'LaskeMonivuotinenMarja 1'!AC8*E10</f>
        <v>0</v>
      </c>
      <c r="D10" s="157" t="str">
        <f>'LaskeMonivuotinenMarja 1'!$B$2</f>
        <v>LaskeMonivuotinen Marja1 esim. mansikka</v>
      </c>
      <c r="E10" s="1129">
        <v>0.01</v>
      </c>
      <c r="F10" s="1128">
        <v>1</v>
      </c>
      <c r="G10" s="10">
        <f>IF(Ely&lt;&gt;"ely",IF((F10-E10)&lt;0,0,SUM('LaskeMonivuotinenMarja 1'!$AA$8:$AA$10,'LaskeMonivuotinenMarja 1'!$AA$14:$AA$16)*(F10-E10)),IF(A10="x",IF((F10-E10)&lt;0,0,SUM('LaskeMonivuotinenMarja 1'!$AA$8:$AA$10,'LaskeMonivuotinenMarja 1'!$AA$14:$AA$16)*(F10-E10)),0))</f>
        <v>0</v>
      </c>
      <c r="H10" s="26" t="str">
        <f t="shared" si="0"/>
        <v/>
      </c>
      <c r="I10" s="164">
        <f>'LaskeMonivuotinenMarja 1'!$E$4</f>
        <v>0</v>
      </c>
      <c r="K10" s="2534">
        <f t="shared" si="1"/>
        <v>0.14000000000000001</v>
      </c>
      <c r="L10" s="691">
        <f t="shared" si="2"/>
        <v>0</v>
      </c>
    </row>
    <row r="11" spans="1:14">
      <c r="A11" s="1251" t="s">
        <v>410</v>
      </c>
      <c r="B11" s="1816" t="str">
        <f>'LaskeMonivuotinenMarja 2'!$AC$8&amp;" "&amp;'LaskeMonivuotinenMarja 2'!$AD$8</f>
        <v>0 kg</v>
      </c>
      <c r="C11" s="1592">
        <f>'LaskeMonivuotinenMarja 2'!$AC$8*E11</f>
        <v>0</v>
      </c>
      <c r="D11" s="157" t="str">
        <f>'LaskeMonivuotinenMarja 2'!$B$2</f>
        <v xml:space="preserve">LaskeMonivuotiset marjakasvit 2 </v>
      </c>
      <c r="E11" s="1129">
        <v>0.01</v>
      </c>
      <c r="F11" s="1128">
        <v>1</v>
      </c>
      <c r="G11" s="10">
        <f>IF(Ely&lt;&gt;"ely",IF((F11-E11)&lt;0,0,SUM('LaskeMonivuotinenMarja 2'!$AA$8:$AA$10,'LaskeMonivuotinenMarja 2'!$AA$14:$AA$16)*(F11-E11)),IF(A11="x",IF((F11-E11)&lt;0,0,SUM('LaskeMonivuotinenMarja 2'!$AA$8:$AA$10,'LaskeMonivuotinenMarja 2'!$AA$14:$AA$16)*(F11-E11)),0))</f>
        <v>0</v>
      </c>
      <c r="H11" s="26" t="str">
        <f t="shared" si="0"/>
        <v/>
      </c>
      <c r="I11" s="164">
        <f>'LaskeMonivuotinenMarja 2'!$E$4</f>
        <v>0</v>
      </c>
      <c r="K11" s="2534">
        <f t="shared" si="1"/>
        <v>0.14000000000000001</v>
      </c>
      <c r="L11" s="691">
        <f t="shared" si="2"/>
        <v>0</v>
      </c>
    </row>
    <row r="12" spans="1:14">
      <c r="A12" s="1251" t="s">
        <v>410</v>
      </c>
      <c r="B12" s="1816" t="str">
        <f>'LaskeMonivuotinenMarja 3'!$AC$8&amp;" "&amp;'LaskeMonivuotinenMarja 3'!$AD$8</f>
        <v>0 kg</v>
      </c>
      <c r="C12" s="1592">
        <f>'LaskeMonivuotinenMarja 3'!$AC$8*E12</f>
        <v>0</v>
      </c>
      <c r="D12" s="157" t="str">
        <f>'LaskeMonivuotinenMarja 3'!$B$2</f>
        <v>LaskeMonivuotiset marjakasvit 3</v>
      </c>
      <c r="E12" s="1129">
        <v>0.01</v>
      </c>
      <c r="F12" s="1128">
        <v>1</v>
      </c>
      <c r="G12" s="10">
        <f>IF(Ely&lt;&gt;"ely",IF((F12-E12)&lt;0,0,SUM('LaskeMonivuotinenMarja 3'!$AA$8:$AA$10,'LaskeMonivuotinenMarja 3'!$AA$14:$AA$16)*(F12-E12)),IF(A12="x",IF((F12-E12)&lt;0,0,SUM('LaskeMonivuotinenMarja 3'!$AA$8:$AA$10,'LaskeMonivuotinenMarja 3'!$AA$14:$AA$16)*(F12-E12)),0))</f>
        <v>0</v>
      </c>
      <c r="H12" s="26" t="str">
        <f t="shared" ref="H12:H15" si="3">IFERROR(G12/$G$39,"")</f>
        <v/>
      </c>
      <c r="I12" s="164">
        <f>'LaskeMonivuotinenMarja 3'!$E$4</f>
        <v>0</v>
      </c>
      <c r="K12" s="2534">
        <f t="shared" si="1"/>
        <v>0.14000000000000001</v>
      </c>
      <c r="L12" s="691">
        <f t="shared" si="2"/>
        <v>0</v>
      </c>
    </row>
    <row r="13" spans="1:14" ht="25.5">
      <c r="A13" s="1251" t="s">
        <v>410</v>
      </c>
      <c r="B13" s="1816" t="str">
        <f>'LaskeMonivuotinenMarja 4'!$AC$8&amp;" "&amp;'LaskeMonivuotinenMarja 4'!$AD$8</f>
        <v>0 kg</v>
      </c>
      <c r="C13" s="1592">
        <f>'LaskeMonivuotinenMarja 4'!$AC$8*E13</f>
        <v>0</v>
      </c>
      <c r="D13" s="157" t="str">
        <f>'LaskeMonivuotinenMarja 4'!$B$2</f>
        <v>LaskeMonivuotiset marjakasvit 4 - Piilossa, aktivoi (hiiren oikea, näytä)</v>
      </c>
      <c r="E13" s="1129">
        <v>0.01</v>
      </c>
      <c r="F13" s="1128">
        <v>1</v>
      </c>
      <c r="G13" s="10">
        <f>IF(Ely&lt;&gt;"ely",IF((F13-E13)&lt;0,0,SUM('LaskeMonivuotinenMarja 4'!$AA$8:$AA$10,'LaskeMonivuotinenMarja 4'!$AA$14:$AA$16)*(F13-E13)),IF(A13="x",IF((F13-E13)&lt;0,0,SUM('LaskeMonivuotinenMarja 4'!$AA$8:$AA$10,'LaskeMonivuotinenMarja 4'!$AA$14:$AA$16)*(F13-E13)),0))</f>
        <v>0</v>
      </c>
      <c r="H13" s="26" t="str">
        <f t="shared" si="3"/>
        <v/>
      </c>
      <c r="I13" s="164">
        <f>'LaskeMonivuotinenMarja 4'!$E$4</f>
        <v>0</v>
      </c>
      <c r="K13" s="2534">
        <f t="shared" si="1"/>
        <v>0.14000000000000001</v>
      </c>
      <c r="L13" s="691">
        <f t="shared" si="2"/>
        <v>0</v>
      </c>
    </row>
    <row r="14" spans="1:14" ht="25.5">
      <c r="A14" s="1251" t="s">
        <v>410</v>
      </c>
      <c r="B14" s="1816" t="str">
        <f>'LaskeMonivuotinenMarja 5'!$AC$8&amp;" "&amp;'LaskeMonivuotinenMarja 5'!$AD$8</f>
        <v>0 kg</v>
      </c>
      <c r="C14" s="1592">
        <f>'LaskeMonivuotinenMarja 5'!$AC$8*E14</f>
        <v>0</v>
      </c>
      <c r="D14" s="157" t="str">
        <f>'LaskeMonivuotinenMarja 5'!$B$2</f>
        <v>LaskeMonivuotiset marjakasvit 5 - Piilossa, aktivoi (hiiren oikea, näytä)</v>
      </c>
      <c r="E14" s="1129">
        <v>0.01</v>
      </c>
      <c r="F14" s="1128">
        <v>1</v>
      </c>
      <c r="G14" s="10">
        <f>IF(Ely&lt;&gt;"ely",IF((F14-E14)&lt;0,0,SUM('LaskeMonivuotinenMarja 5'!$AA$8:$AA$10,'LaskeMonivuotinenMarja 5'!$AA$14:$AA$16)*(F14-E14)),IF(A14="x",IF((F14-E14)&lt;0,0,SUM('LaskeMonivuotinenMarja 5'!$AA$8:$AA$10,'LaskeMonivuotinenMarja 5'!$AA$14:$AA$16)*(F14-E14)),0))</f>
        <v>0</v>
      </c>
      <c r="H14" s="26" t="str">
        <f t="shared" si="3"/>
        <v/>
      </c>
      <c r="I14" s="164">
        <f>'LaskeMonivuotinenMarja 5'!$E$4</f>
        <v>0</v>
      </c>
      <c r="K14" s="2534">
        <f t="shared" si="1"/>
        <v>0.14000000000000001</v>
      </c>
      <c r="L14" s="691">
        <f>G14*K14</f>
        <v>0</v>
      </c>
    </row>
    <row r="15" spans="1:14" ht="25.5">
      <c r="A15" s="1251" t="s">
        <v>410</v>
      </c>
      <c r="B15" s="1816" t="str">
        <f>'LaskeMonivuotinenMarja 6'!$AC$8&amp;" "&amp;'LaskeMonivuotinenMarja 6'!$AD$8</f>
        <v>0 kg</v>
      </c>
      <c r="C15" s="1592">
        <f>'LaskeMonivuotinenMarja 6'!$AC$8*E15</f>
        <v>0</v>
      </c>
      <c r="D15" s="157" t="str">
        <f>'LaskeMonivuotinenMarja 6'!$B$2</f>
        <v>LaskeMonivuotiset marjakasvit 6 - Piilossa, aktivoi (hiiren oikea, näytä)</v>
      </c>
      <c r="E15" s="1129">
        <v>0.01</v>
      </c>
      <c r="F15" s="1128">
        <v>1</v>
      </c>
      <c r="G15" s="10">
        <f>IF(Ely&lt;&gt;"ely",IF((F15-E15)&lt;0,0,SUM('LaskeMonivuotinenMarja 6'!$AA$8:$AA$10,'LaskeMonivuotinenMarja 6'!$AA$14:$AA$16)*(F15-E15)),IF(A15="x",IF((F15-E15)&lt;0,0,SUM('LaskeMonivuotinenMarja 6'!$AA$8:$AA$10,'LaskeMonivuotinenMarja 6'!$AA$14:$AA$16)*(F15-E15)),0))</f>
        <v>0</v>
      </c>
      <c r="H15" s="26" t="str">
        <f t="shared" si="3"/>
        <v/>
      </c>
      <c r="I15" s="164">
        <f>'LaskeMonivuotinenMarja 6'!$E$4</f>
        <v>0</v>
      </c>
      <c r="K15" s="2534">
        <f t="shared" si="1"/>
        <v>0.14000000000000001</v>
      </c>
      <c r="L15" s="691">
        <f t="shared" si="2"/>
        <v>0</v>
      </c>
    </row>
    <row r="16" spans="1:14">
      <c r="A16" s="1251" t="s">
        <v>410</v>
      </c>
      <c r="B16" s="900">
        <f>LaskeKasvihuoneenkasvi!D7</f>
        <v>0</v>
      </c>
      <c r="C16" s="1592">
        <f>LaskeKasvihuoneenkasvi!E7*E16</f>
        <v>0</v>
      </c>
      <c r="D16" s="157" t="str">
        <f>LaskeKasvihuoneenkasvi!B2</f>
        <v>Kasvihuone (puutarhatilat) - Piilossa, aktivoi</v>
      </c>
      <c r="E16" s="1129">
        <v>0.01</v>
      </c>
      <c r="F16" s="1128">
        <v>1</v>
      </c>
      <c r="G16" s="10">
        <f>IF(Ely&lt;&gt;"ely",IF((F16-E16)&lt;0,0,SUM(LaskeKasvihuoneenkasvi!$H$7,LaskeKasvihuoneenkasvi!$H$15:$H$17)*(F16-E16)),IF(A16="x",IF((F16-E16)&lt;0,0,SUM(LaskeKasvihuoneenkasvi!$H$7,LaskeKasvihuoneenkasvi!$H$15:$H$17)*(F16-E16)),0))</f>
        <v>0</v>
      </c>
      <c r="H16" s="26" t="str">
        <f>IFERROR(G16/$G$39,"")</f>
        <v/>
      </c>
      <c r="I16" s="164"/>
      <c r="K16" s="2534">
        <f t="shared" si="1"/>
        <v>0.14000000000000001</v>
      </c>
      <c r="L16" s="691">
        <f t="shared" si="2"/>
        <v>0</v>
      </c>
    </row>
    <row r="17" spans="1:12">
      <c r="A17" s="18"/>
      <c r="B17" s="888"/>
      <c r="C17" s="1133"/>
      <c r="G17" s="10"/>
      <c r="H17" s="654" t="s">
        <v>953</v>
      </c>
      <c r="I17" s="242">
        <f>SUM(I5:I15)</f>
        <v>0</v>
      </c>
      <c r="K17" s="18"/>
      <c r="L17" s="52"/>
    </row>
    <row r="18" spans="1:12" ht="13.5" thickBot="1">
      <c r="A18" s="18"/>
      <c r="B18" s="694"/>
      <c r="C18" s="1134"/>
      <c r="G18" s="10"/>
      <c r="H18" s="26"/>
      <c r="K18" s="18"/>
      <c r="L18" s="52"/>
    </row>
    <row r="19" spans="1:12">
      <c r="A19" s="1251" t="s">
        <v>410</v>
      </c>
      <c r="B19" s="694"/>
      <c r="C19" s="3" t="s">
        <v>954</v>
      </c>
      <c r="F19" s="37">
        <v>1</v>
      </c>
      <c r="G19" s="10">
        <f>IF(Ely&lt;&gt;"ely",SUM(LaskeKasvi1!H8:H14,LaskeKasvi2!H8:H14,LaskeSäilörehu!H10:H16,LaskeKasvi4!H8:H14,LaskeKasvi5!H8:H14,'LaskeMonivuotinenMarja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6'!$AA$11:$AA$13,LaskeKasvihuoneenkasvi!H8:H14)*F19,IF(A19="x",SUM(LaskeKasvi1!H8:H14,LaskeKasvi2!H8:H14,LaskeSäilörehu!H10:H16,LaskeKasvi4!H8:H14,LaskeKasvi5!H8:H14,'LaskeMonivuotinenMarja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6'!$AA$11:$AA$13,LaskeKasvihuoneenkasvi!H8:H14)*F19,0))</f>
        <v>0</v>
      </c>
      <c r="H19" s="26" t="str">
        <f>IFERROR(G19/$G$39,"")</f>
        <v/>
      </c>
      <c r="K19" s="18"/>
      <c r="L19" s="52"/>
    </row>
    <row r="20" spans="1:12">
      <c r="A20" s="18"/>
      <c r="B20" s="694"/>
      <c r="C20" s="3" t="s">
        <v>955</v>
      </c>
      <c r="G20" s="10">
        <f>SUM(G5:G19)</f>
        <v>0</v>
      </c>
      <c r="H20" s="26" t="str">
        <f>IFERROR(G20/$G$39,"")</f>
        <v/>
      </c>
      <c r="K20" s="18"/>
      <c r="L20" s="52"/>
    </row>
    <row r="21" spans="1:12">
      <c r="B21" s="694"/>
      <c r="C21" s="3"/>
      <c r="H21" s="26"/>
      <c r="K21" s="18"/>
      <c r="L21" s="52"/>
    </row>
    <row r="22" spans="1:12" ht="13.5" thickBot="1">
      <c r="A22" s="1251" t="s">
        <v>410</v>
      </c>
      <c r="B22" s="692"/>
      <c r="C22" s="3" t="s">
        <v>956</v>
      </c>
      <c r="H22" s="26"/>
      <c r="K22" s="18"/>
      <c r="L22" s="52"/>
    </row>
    <row r="23" spans="1:12" ht="13.5" thickBot="1">
      <c r="A23" s="1251" t="s">
        <v>410</v>
      </c>
      <c r="B23" s="1587" t="str">
        <f>IF(LaskeMaito1!E5=1,LaskeMaito1!D7*LaskeMaito1!E4&amp;" "&amp;LaskeMaito1!C7,LaskeMaito1!D7)</f>
        <v>0 l</v>
      </c>
      <c r="C23" s="1588" t="str">
        <f>IF(LaskeMaito1!E5=1,"Hävikki "&amp;LaskeMaito1!D7*LaskeMaito1!E4*'Rakenna TULOSENNUSTE'!E23&amp;" litraa",LaskeMaito1!D7*'Rakenna TULOSENNUSTE'!E23&amp;" l")</f>
        <v>Hävikki 0 litraa</v>
      </c>
      <c r="D23" s="1543" t="str">
        <f>LaskeMaito1!B2</f>
        <v>Maito (LaskeMaito1)</v>
      </c>
      <c r="E23" s="1129">
        <v>0.01</v>
      </c>
      <c r="F23" s="1130">
        <v>1</v>
      </c>
      <c r="G23" s="10">
        <f>IF(Ely&lt;&gt;"ely",IF((F23-E23)&lt;0,0,SUM(LaskeMaito1!$H$7,LaskeMaito1!$H$13:$H$17)*(F23-E23)),IF(A23="x",IF((F23-E23)&lt;0,0,SUM(LaskeMaito1!$H$7,LaskeMaito1!$H$13:$H$17)*(F23-E23)),0))</f>
        <v>0</v>
      </c>
      <c r="H23" s="26" t="str">
        <f t="shared" ref="H23:H29" si="4">IFERROR(G23/$G$39,"")</f>
        <v/>
      </c>
      <c r="K23" s="2534">
        <f t="shared" ref="K23:K29" si="5">$L$3</f>
        <v>0.14000000000000001</v>
      </c>
      <c r="L23" s="691">
        <f t="shared" ref="L23:L29" si="6">G23*K23</f>
        <v>0</v>
      </c>
    </row>
    <row r="24" spans="1:12" ht="13.5" hidden="1" thickBot="1">
      <c r="A24" s="1251" t="s">
        <v>410</v>
      </c>
      <c r="B24" s="1587" t="str">
        <f>'LaskeMaito 2'!D7*'LaskeMaito 2'!E4&amp;" "&amp;'LaskeMaito 2'!C7</f>
        <v>0 litraa</v>
      </c>
      <c r="C24" s="1589" t="str">
        <f>"Hävikki "&amp;'LaskeMaito 2'!D7*'LaskeMaito 2'!E4*'Rakenna TULOSENNUSTE'!E24&amp;" litraa"</f>
        <v>Hävikki 0 litraa</v>
      </c>
      <c r="D24" s="1543" t="str">
        <f>'LaskeMaito 2'!B2</f>
        <v>LaskeMaito2 laskelma 2. Piilossa, aktivoi</v>
      </c>
      <c r="E24" s="1129">
        <v>0.01</v>
      </c>
      <c r="F24" s="1130">
        <v>1</v>
      </c>
      <c r="G24" s="10">
        <f>IF(Ely&lt;&gt;"ely",IF((F24-E24)&lt;0,0,SUM('LaskeMaito 2'!$H$7,'LaskeMaito 2'!$H$13:$H$17)*(F24-E24)),IF(A24="x",IF((F24-E24)&lt;0,0,SUM('LaskeMaito 2'!$H$7,'LaskeMaito 2'!$H$13:$H$17)*(F24-E24)),0))</f>
        <v>0</v>
      </c>
      <c r="H24" s="26" t="str">
        <f t="shared" si="4"/>
        <v/>
      </c>
      <c r="K24" s="2534">
        <f t="shared" si="5"/>
        <v>0.14000000000000001</v>
      </c>
      <c r="L24" s="691">
        <f t="shared" si="6"/>
        <v>0</v>
      </c>
    </row>
    <row r="25" spans="1:12" ht="13.5" hidden="1" thickBot="1">
      <c r="A25" s="1251" t="s">
        <v>410</v>
      </c>
      <c r="B25" s="1587" t="str">
        <f>'LaskeMaito 3'!D7*'LaskeMaito 3'!E4&amp;" "&amp;'LaskeMaito 3'!C7</f>
        <v>0 litraa</v>
      </c>
      <c r="C25" s="1589" t="str">
        <f>"Hävikki "&amp;'LaskeMaito 3'!D7*'LaskeMaito 3'!E4*'Rakenna TULOSENNUSTE'!E25&amp;" litraa"</f>
        <v>Hävikki 0 litraa</v>
      </c>
      <c r="D25" s="1543" t="str">
        <f>'LaskeMaito 3'!B2</f>
        <v>LaskeMaito3 laskelma 3. Piilossa, aktivoi</v>
      </c>
      <c r="E25" s="1129">
        <v>0.01</v>
      </c>
      <c r="F25" s="1130">
        <v>1</v>
      </c>
      <c r="G25" s="10">
        <f>IF(Ely&lt;&gt;"ely",IF((F25-E25)&lt;0,0,SUM('LaskeMaito 3'!$H$7,'LaskeMaito 3'!$H$13:$H$17)*(F25-E25)),IF(A25="x",IF((F25-E25)&lt;0,0,SUM('LaskeMaito 3'!$H$7,'LaskeMaito 3'!$H$13:$H$17)*(F25-E25)),0))</f>
        <v>0</v>
      </c>
      <c r="H25" s="26" t="str">
        <f t="shared" si="4"/>
        <v/>
      </c>
      <c r="K25" s="2534">
        <f t="shared" si="5"/>
        <v>0.14000000000000001</v>
      </c>
      <c r="L25" s="691">
        <f t="shared" si="6"/>
        <v>0</v>
      </c>
    </row>
    <row r="26" spans="1:12" ht="22.5">
      <c r="A26" s="1251" t="s">
        <v>410</v>
      </c>
      <c r="B26" s="1587" t="str">
        <f>'LaskeMaito special'!R8&amp;" "&amp;'LaskeMaito special'!S8</f>
        <v>0 kg</v>
      </c>
      <c r="C26" s="1589" t="str">
        <f>"Hävikki "&amp;'LaskeMaito special'!R8*E26&amp;""</f>
        <v>Hävikki 0</v>
      </c>
      <c r="D26" s="1543" t="str">
        <f>Lähtötiedot!A42</f>
        <v>Laske Maito special  -Suurtilalle (ota tarvittaessa käyttöön, piilotettu)</v>
      </c>
      <c r="E26" s="1129">
        <v>0.01</v>
      </c>
      <c r="F26" s="1130">
        <v>1</v>
      </c>
      <c r="G26" s="10">
        <f>IF(Ely&lt;&gt;"ely",IF(AND('LaskeMaito special'!$H$2="kyllä",'LaskeMaito special'!$E$4&gt;0),IF((F26-E26)&lt;0,0,SUM('LaskeMaito special'!P8,'LaskeMaito special'!P14:P18)*(F26-E26)),0),IF(AND('LaskeMaito special'!$H$2="kyllä",'LaskeMaito special'!$E$4&gt;0,A26="x"),IF((F26-E26)&lt;0,0,SUM('LaskeMaito special'!P8,'LaskeMaito special'!P14:P18)*(F26-E26)),0))</f>
        <v>0</v>
      </c>
      <c r="H26" s="26" t="str">
        <f t="shared" si="4"/>
        <v/>
      </c>
      <c r="K26" s="2534">
        <f t="shared" si="5"/>
        <v>0.14000000000000001</v>
      </c>
      <c r="L26" s="691">
        <f t="shared" si="6"/>
        <v>0</v>
      </c>
    </row>
    <row r="27" spans="1:12" ht="13.5" thickBot="1">
      <c r="A27" s="1251" t="s">
        <v>410</v>
      </c>
      <c r="B27" s="1585" t="str">
        <f>LaskeLiha!D7*LaskeLiha!E4&amp;" "&amp;LaskeLiha!C7</f>
        <v>0 kg</v>
      </c>
      <c r="C27" s="1589" t="str">
        <f>"Hävikki "&amp;LaskeLiha!D7*E27&amp;" kg"</f>
        <v>Hävikki 0 kg</v>
      </c>
      <c r="D27" s="1543" t="str">
        <f>LaskeLiha!B2</f>
        <v>Laske Liha</v>
      </c>
      <c r="E27" s="1129">
        <v>0.01</v>
      </c>
      <c r="F27" s="1130">
        <v>1</v>
      </c>
      <c r="G27" s="15">
        <f>IFERROR(IF(Ely&lt;&gt;"ely",IF((F27-E27)&lt;0,0,(LaskeLiha!D7/LaskeLiha!E5)*I27*(F27-E27)*LaskeLiha!E7*LaskeLiha!E4),IF(A27="x",IF((F27-E27)&lt;0,0,(LaskeLiha!D7/LaskeLiha!E5)*I27*(F27-E27)*LaskeLiha!E7*LaskeLiha!E4),0)),0)</f>
        <v>0</v>
      </c>
      <c r="H27" s="26" t="str">
        <f t="shared" si="4"/>
        <v/>
      </c>
      <c r="I27" s="8">
        <v>12</v>
      </c>
      <c r="J27" t="s">
        <v>957</v>
      </c>
      <c r="K27" s="2534">
        <f t="shared" si="5"/>
        <v>0.14000000000000001</v>
      </c>
      <c r="L27" s="691">
        <f>G27*K27</f>
        <v>0</v>
      </c>
    </row>
    <row r="28" spans="1:12" ht="22.5">
      <c r="A28" s="1251" t="s">
        <v>410</v>
      </c>
      <c r="B28" s="1587" t="str">
        <f>ROUND('LaskeLiha special'!V9,0)&amp;" kg"</f>
        <v>0 kg</v>
      </c>
      <c r="C28" s="1589" t="str">
        <f>"Hävikki "&amp;ROUND('LaskeLiha special'!V9,0)*E28&amp;" kg"</f>
        <v>Hävikki 0 kg</v>
      </c>
      <c r="D28" s="1543" t="str">
        <f>Lähtötiedot!A44</f>
        <v>Laske Liha special  --Suurtilalle (ota tarvittaessa käyttöön, piilotettu)</v>
      </c>
      <c r="E28" s="1129">
        <v>0.01</v>
      </c>
      <c r="F28" s="1130">
        <v>1</v>
      </c>
      <c r="G28" s="10">
        <f>IFERROR(IF(Ely&lt;&gt;"ely",IF(AND('LaskeLiha special'!$H$2="kyllä",'LaskeLiha special'!$E$4&gt;0),IF((F28-E28)&lt;0,0,SUM('LaskeLiha special'!R10,'LaskeLiha special'!R18)/'LaskeLiha special'!P7*I28*(F28-E28)),0),IF(AND('LaskeLiha special'!$H$2="kyllä",'LaskeLiha special'!$E$4&gt;0,A28="x"),IF((F28-E28)&lt;0,0,SUM('LaskeLiha special'!R10,'LaskeLiha special'!R18)/'LaskeLiha special'!P7*I28*(F28-E28)),0)),0)</f>
        <v>0</v>
      </c>
      <c r="H28" s="26" t="str">
        <f t="shared" si="4"/>
        <v/>
      </c>
      <c r="I28" s="8">
        <v>12</v>
      </c>
      <c r="J28" t="s">
        <v>957</v>
      </c>
      <c r="K28" s="2534">
        <f t="shared" si="5"/>
        <v>0.14000000000000001</v>
      </c>
      <c r="L28" s="691">
        <f>G28*K28</f>
        <v>0</v>
      </c>
    </row>
    <row r="29" spans="1:12" ht="13.5" thickBot="1">
      <c r="A29" s="1251" t="s">
        <v>410</v>
      </c>
      <c r="B29" s="1586" t="str">
        <f>(Laskeliha2!D7+Laskeliha2!D8)*Laskeliha2!E4&amp;" "&amp;Laskeliha2!C7</f>
        <v>0 kg</v>
      </c>
      <c r="C29" s="1938">
        <f>SUM(Laskeliha2!H7:'Laskeliha2'!H8,Laskeliha2!H14:H18)</f>
        <v>0</v>
      </c>
      <c r="D29" s="1543" t="str">
        <f>Laskeliha2!B2</f>
        <v>Laske Liha 2  - Piilossa, aktivoi (hiiren oikea, näytä)</v>
      </c>
      <c r="E29" s="1129">
        <v>0.01</v>
      </c>
      <c r="F29" s="1130">
        <v>1</v>
      </c>
      <c r="G29" s="15">
        <f>IF(Ely&lt;&gt;"ely",IF((F29-E29)&lt;0,0,(C29/Laskeliha2!E5)*I29*(F29-E29)),IF(A29="x",IF((F29-E29)&lt;0,0,(C29/Laskeliha2!E5)*I29*(F29-E29)),0))</f>
        <v>0</v>
      </c>
      <c r="H29" s="26" t="str">
        <f t="shared" si="4"/>
        <v/>
      </c>
      <c r="I29" s="8">
        <v>12</v>
      </c>
      <c r="J29" t="s">
        <v>957</v>
      </c>
      <c r="K29" s="2534">
        <f t="shared" si="5"/>
        <v>0.14000000000000001</v>
      </c>
      <c r="L29" s="691">
        <f t="shared" si="6"/>
        <v>0</v>
      </c>
    </row>
    <row r="30" spans="1:12">
      <c r="G30" s="10"/>
      <c r="H30" s="26"/>
      <c r="K30" s="18"/>
      <c r="L30" s="52"/>
    </row>
    <row r="31" spans="1:12">
      <c r="A31" s="1251" t="s">
        <v>410</v>
      </c>
      <c r="C31" s="3" t="s">
        <v>958</v>
      </c>
      <c r="D31" t="s">
        <v>959</v>
      </c>
      <c r="F31" s="37">
        <v>1</v>
      </c>
      <c r="G31" s="10">
        <f>IF(AND(A31="x",Ely="ely"),(SUM(LaskeMaito1!H8:H12)+SUM('LaskeMaito 2'!H8:H12)+SUM('LaskeMaito 3'!H8:H12)+IF(AND('LaskeMaito special'!$H$2="kyllä",'LaskeMaito special'!$E$4&gt;0),SUM('LaskeMaito special'!P9:P13),0)+IF(AND('LaskeLiha special'!$H$2="kyllä",'LaskeLiha special'!$E$4&gt;0),SUM('LaskeLiha special'!R13),0)+((LaskeLiha!H8+LaskeLiha!H9+LaskeLiha!H10+LaskeLiha!H11+LaskeLiha!H12)/LaskeLiha!E5*I31)+(SUM(Laskeliha2!H9:H13)/Laskeliha2!E5*'Rakenna TULOSENNUSTE'!I31))*F31,IF(Ely&lt;&gt;"ely",(SUM(LaskeMaito1!H8:H12)+SUM('LaskeMaito 2'!H8:H12)+SUM('LaskeMaito 3'!H8:H12)+IF(AND('LaskeMaito special'!$H$2="kyllä",'LaskeMaito special'!$E$4&gt;0),SUM('LaskeMaito special'!P9:P13),0)+((LaskeLiha!H8+LaskeLiha!H9+LaskeLiha!H10+LaskeLiha!H11+LaskeLiha!H12)/LaskeLiha!E5*I31)+(SUM(Laskeliha2!H9:H13)/Laskeliha2!E5*'Rakenna TULOSENNUSTE'!I31)+IF(AND('LaskeLiha special'!$H$2="kyllä",'LaskeLiha special'!$E$4&gt;0),SUM('LaskeLiha special'!R13),0))*F31,0))</f>
        <v>0</v>
      </c>
      <c r="H31" s="26" t="str">
        <f>IFERROR(G31/$G$39,"")</f>
        <v/>
      </c>
      <c r="I31" s="8">
        <v>12</v>
      </c>
      <c r="J31" t="s">
        <v>957</v>
      </c>
      <c r="K31" s="1097"/>
      <c r="L31" s="52"/>
    </row>
    <row r="32" spans="1:12">
      <c r="C32" s="3" t="s">
        <v>960</v>
      </c>
      <c r="G32" s="10">
        <f>SUM(G23:G31)</f>
        <v>0</v>
      </c>
      <c r="H32" s="26" t="str">
        <f>IFERROR(G32/$G$39,"")</f>
        <v/>
      </c>
      <c r="K32" s="18"/>
      <c r="L32" s="52"/>
    </row>
    <row r="33" spans="1:13">
      <c r="C33" s="3"/>
      <c r="G33" s="10"/>
      <c r="H33" s="26"/>
      <c r="K33" s="1098"/>
      <c r="L33" s="52"/>
    </row>
    <row r="34" spans="1:13" ht="18.75" customHeight="1">
      <c r="A34" s="1251"/>
      <c r="B34" s="4">
        <f>LaskeKoneurakointi!D15</f>
        <v>0</v>
      </c>
      <c r="C34" s="3" t="s">
        <v>961</v>
      </c>
      <c r="F34" s="37">
        <v>1</v>
      </c>
      <c r="G34" s="10">
        <f>IF(AND(Ely&lt;&gt;"ely",LaskeKoneurakointi!F2="kyllä"),LaskeKoneurakointi!H15*F34,IF(AND(LaskeKoneurakointi!F2="kyllä",A34="x"),LaskeKoneurakointi!H15*F34,0))</f>
        <v>0</v>
      </c>
      <c r="H34" s="26" t="str">
        <f>IFERROR(G34/$G$39,"")</f>
        <v/>
      </c>
      <c r="I34" s="2797"/>
      <c r="J34" s="2797"/>
      <c r="K34" s="2536">
        <f>$K$3</f>
        <v>0.255</v>
      </c>
      <c r="L34" s="691">
        <f>G34*K34</f>
        <v>0</v>
      </c>
    </row>
    <row r="35" spans="1:13" ht="16.5" customHeight="1">
      <c r="A35" s="1251" t="s">
        <v>410</v>
      </c>
      <c r="B35" s="4"/>
      <c r="C35" s="3" t="s">
        <v>28</v>
      </c>
      <c r="D35" t="str">
        <f>'Hinnoittele jatkojalostus'!J1</f>
        <v>Hinnoittelu esim. torimyyntiin (muuta tämä teksti halumaksesi).</v>
      </c>
      <c r="F35" s="37">
        <v>1</v>
      </c>
      <c r="G35" s="10">
        <f>IF(Ely&lt;&gt;"ely",IF('Hinnoittele jatkojalostus'!$J$2="kyllä",F35*'Hinnoittele jatkojalostus'!$X$53,0),IF(AND(A35="x",'Hinnoittele jatkojalostus'!$J$2="kyllä"),F35*'Hinnoittele jatkojalostus'!$X$53,0))</f>
        <v>0</v>
      </c>
      <c r="H35" s="26" t="str">
        <f>IFERROR(G35/$G$39,"")</f>
        <v/>
      </c>
      <c r="I35" s="1003"/>
      <c r="J35" s="1003"/>
      <c r="K35" s="2537"/>
      <c r="L35" s="691"/>
    </row>
    <row r="36" spans="1:13" ht="16.5" customHeight="1">
      <c r="A36" s="1251"/>
      <c r="B36" s="4" t="str">
        <f>SUM(Metsä!D7:D11)&amp;" m3"</f>
        <v>0 m3</v>
      </c>
      <c r="C36" s="186" t="str">
        <f>Metsä!B2</f>
        <v>Metsä  - Piilossa, aktivoi (hiiren oikea, näytä)</v>
      </c>
      <c r="F36" s="37">
        <v>1</v>
      </c>
      <c r="G36" s="10">
        <f>IF(Ely&lt;&gt;"ely",F36*Metsä!H18,IF(AND(Ely="ely",A36="x"),F36*Metsä!H18,0))</f>
        <v>0</v>
      </c>
      <c r="H36" s="26" t="str">
        <f>IFERROR(G36/$G$39,"")</f>
        <v/>
      </c>
      <c r="I36" s="1003"/>
      <c r="J36" s="1003"/>
      <c r="K36" s="2536">
        <v>0.255</v>
      </c>
      <c r="L36" s="691">
        <f>G36*K36</f>
        <v>0</v>
      </c>
    </row>
    <row r="37" spans="1:13" ht="16.5" customHeight="1">
      <c r="A37" s="1251" t="s">
        <v>410</v>
      </c>
      <c r="B37" s="4"/>
      <c r="C37" s="186" t="s">
        <v>962</v>
      </c>
      <c r="D37" s="59" t="str">
        <f>'EVL yrityksen 1 katelaskenta'!B2</f>
        <v>x</v>
      </c>
      <c r="F37" s="37">
        <v>1</v>
      </c>
      <c r="G37" s="10">
        <f>IF(Ely&lt;&gt;"ely",IF('EVL yrityksen 1 katelaskenta'!$F$2="kyllä",F37*'EVL yrityksen 1 katelaskenta'!H15,0),IF(AND(A37="x",'EVL yrityksen 1 katelaskenta'!$F$2="kyllä"),F37*'EVL yrityksen 1 katelaskenta'!H15,0))</f>
        <v>0</v>
      </c>
      <c r="H37" s="26" t="str">
        <f>IFERROR(G37/$G$39,"")</f>
        <v/>
      </c>
      <c r="I37" s="2797" t="str">
        <f>"EVL "&amp;'EVL yrityksen 1 katelaskenta'!F2</f>
        <v>EVL KYLLÄ</v>
      </c>
      <c r="J37" s="2797"/>
      <c r="K37" s="2536">
        <f>$K$3</f>
        <v>0.255</v>
      </c>
      <c r="L37" s="691">
        <f>G37*K37</f>
        <v>0</v>
      </c>
    </row>
    <row r="38" spans="1:13" ht="16.5" customHeight="1" thickBot="1">
      <c r="A38" s="1251" t="s">
        <v>410</v>
      </c>
      <c r="B38" s="4"/>
      <c r="C38" s="186" t="s">
        <v>963</v>
      </c>
      <c r="D38" s="59" t="str">
        <f>'EVL yrityksen 2 katelaskenta'!B2</f>
        <v>Muu EVL</v>
      </c>
      <c r="F38" s="37">
        <v>1</v>
      </c>
      <c r="G38" s="10">
        <f>IF(Ely&lt;&gt;"ely",IF('EVL yrityksen 2 katelaskenta'!$F$2="kyllä",F38*'EVL yrityksen 2 katelaskenta'!H15,0),IF(AND(A38="x",'EVL yrityksen 2 katelaskenta'!$F$2="kyllä"),F38*'EVL yrityksen 2 katelaskenta'!H15,0))</f>
        <v>0</v>
      </c>
      <c r="H38" s="26" t="str">
        <f>IFERROR(G38/$G$39,"")</f>
        <v/>
      </c>
      <c r="I38" s="2797" t="str">
        <f>"EVL "&amp;'EVL yrityksen 2 katelaskenta'!F2</f>
        <v>EVL KYLLÄ</v>
      </c>
      <c r="J38" s="2797"/>
      <c r="K38" s="2536">
        <f>$K$3</f>
        <v>0.255</v>
      </c>
      <c r="L38" s="691">
        <f>G38*K38</f>
        <v>0</v>
      </c>
    </row>
    <row r="39" spans="1:13" ht="18.75" thickBot="1">
      <c r="A39" s="4">
        <f>COUNTIF(A5:A38,"x")</f>
        <v>25</v>
      </c>
      <c r="C39" s="655" t="s">
        <v>964</v>
      </c>
      <c r="D39" s="656"/>
      <c r="E39" s="656"/>
      <c r="F39" s="656"/>
      <c r="G39" s="1071">
        <f>SUM(G20,G32,G34,G35,G36,G37,G38)</f>
        <v>0</v>
      </c>
      <c r="H39" s="26">
        <f>SUM(H5:H16,H19,H23:H29,H31,H34,H35,H36,H37,H38)</f>
        <v>0</v>
      </c>
      <c r="K39" s="18"/>
      <c r="L39" s="822">
        <f>SUM(L5:L38)</f>
        <v>0</v>
      </c>
      <c r="M39" t="s">
        <v>965</v>
      </c>
    </row>
    <row r="40" spans="1:13">
      <c r="C40" s="655"/>
      <c r="D40" s="656"/>
      <c r="E40" s="656"/>
      <c r="F40" s="656"/>
      <c r="G40" s="657"/>
      <c r="H40" s="658"/>
      <c r="K40" s="18"/>
      <c r="L40" s="52"/>
    </row>
    <row r="41" spans="1:13">
      <c r="B41" s="3" t="s">
        <v>966</v>
      </c>
      <c r="G41" s="10"/>
      <c r="K41" s="18"/>
      <c r="L41" s="52"/>
    </row>
    <row r="42" spans="1:13">
      <c r="C42" s="3" t="s">
        <v>967</v>
      </c>
      <c r="D42" s="3"/>
      <c r="G42" s="10"/>
      <c r="H42" s="521" t="s">
        <v>968</v>
      </c>
      <c r="K42" s="18"/>
      <c r="L42" s="52"/>
    </row>
    <row r="43" spans="1:13">
      <c r="A43" s="1251" t="s">
        <v>410</v>
      </c>
      <c r="D43" s="157" t="str">
        <f t="shared" ref="D43:D48" si="7">D5</f>
        <v>LaskeKasvi1</v>
      </c>
      <c r="F43" s="37">
        <v>1</v>
      </c>
      <c r="G43" s="10">
        <f>IFERROR(IF(AND(A43="x",Ely="Ely"),LaskeKasvi1!H38*F43,IF(Ely&lt;&gt;"ely",LaskeKasvi1!H38*F43,0)),0)</f>
        <v>0</v>
      </c>
      <c r="H43" s="26">
        <f>IFERROR(G43/$G$39,0)</f>
        <v>0</v>
      </c>
      <c r="I43" t="s">
        <v>969</v>
      </c>
      <c r="K43" s="2535">
        <f>($K$3+$L$3)/2</f>
        <v>0.19750000000000001</v>
      </c>
      <c r="L43" s="691">
        <f t="shared" ref="L43:L54" si="8">G43*K43</f>
        <v>0</v>
      </c>
    </row>
    <row r="44" spans="1:13">
      <c r="A44" s="1251" t="s">
        <v>410</v>
      </c>
      <c r="D44" s="157" t="str">
        <f t="shared" si="7"/>
        <v>LaskeKasvi 2</v>
      </c>
      <c r="F44" s="37">
        <v>1</v>
      </c>
      <c r="G44" s="10">
        <f>IFERROR(IF(AND(A44="x",Ely="Ely"),LaskeKasvi2!H38*F44,IF(Ely&lt;&gt;"ely",LaskeKasvi2!H38*F44,0)),0)</f>
        <v>0</v>
      </c>
      <c r="H44" s="26">
        <f t="shared" ref="H44:H75" si="9">IFERROR(G44/$G$39,0)</f>
        <v>0</v>
      </c>
      <c r="I44" t="s">
        <v>970</v>
      </c>
      <c r="J44" s="10"/>
      <c r="K44" s="2535">
        <f t="shared" ref="K44:K54" si="10">($K$3+$L$3)/2</f>
        <v>0.19750000000000001</v>
      </c>
      <c r="L44" s="691">
        <f t="shared" si="8"/>
        <v>0</v>
      </c>
    </row>
    <row r="45" spans="1:13">
      <c r="A45" s="1251" t="s">
        <v>410</v>
      </c>
      <c r="D45" s="157" t="str">
        <f t="shared" si="7"/>
        <v>LaskeSäilörehu</v>
      </c>
      <c r="F45" s="37">
        <v>1</v>
      </c>
      <c r="G45" s="10">
        <f>IFERROR(IF(AND(A45="x",Ely="Ely"),LaskeSäilörehu!H40*F45,IF(Ely&lt;&gt;"ely",LaskeSäilörehu!H40*F45,0)),0)</f>
        <v>0</v>
      </c>
      <c r="H45" s="26">
        <f t="shared" si="9"/>
        <v>0</v>
      </c>
      <c r="I45" t="s">
        <v>970</v>
      </c>
      <c r="J45" s="10"/>
      <c r="K45" s="2535">
        <f t="shared" si="10"/>
        <v>0.19750000000000001</v>
      </c>
      <c r="L45" s="691">
        <f t="shared" si="8"/>
        <v>0</v>
      </c>
    </row>
    <row r="46" spans="1:13" ht="25.5">
      <c r="A46" s="1251" t="s">
        <v>410</v>
      </c>
      <c r="D46" s="157" t="str">
        <f t="shared" si="7"/>
        <v>LaskeKasvi 4 - Piilossa, aktivoi (hiiren oikea, näytä)</v>
      </c>
      <c r="F46" s="37">
        <v>1</v>
      </c>
      <c r="G46" s="10">
        <f>IFERROR(IF(AND(A46="x",Ely="Ely"),LaskeKasvi4!H38*F46,IF(Ely&lt;&gt;"ely",LaskeKasvi4!H38*F46,0)),0)</f>
        <v>0</v>
      </c>
      <c r="H46" s="26">
        <f t="shared" si="9"/>
        <v>0</v>
      </c>
      <c r="I46" t="s">
        <v>970</v>
      </c>
      <c r="J46" s="10"/>
      <c r="K46" s="2535">
        <f t="shared" si="10"/>
        <v>0.19750000000000001</v>
      </c>
      <c r="L46" s="691">
        <f t="shared" si="8"/>
        <v>0</v>
      </c>
    </row>
    <row r="47" spans="1:13" ht="25.5">
      <c r="A47" s="1251" t="s">
        <v>410</v>
      </c>
      <c r="D47" s="157" t="str">
        <f t="shared" si="7"/>
        <v>LaskeKasvi 5 - Piilossa, aktivoi (hiiren oikea, näytä)</v>
      </c>
      <c r="F47" s="37">
        <v>1</v>
      </c>
      <c r="G47" s="10">
        <f>IFERROR(IF(AND(A47="x",Ely="Ely"),LaskeKasvi5!H38*F47,IF(Ely&lt;&gt;"ely",LaskeKasvi5!H38*F47,0)),0)</f>
        <v>0</v>
      </c>
      <c r="H47" s="26">
        <f t="shared" si="9"/>
        <v>0</v>
      </c>
      <c r="I47" t="s">
        <v>970</v>
      </c>
      <c r="J47" s="10"/>
      <c r="K47" s="2535">
        <f t="shared" si="10"/>
        <v>0.19750000000000001</v>
      </c>
      <c r="L47" s="691">
        <f t="shared" si="8"/>
        <v>0</v>
      </c>
    </row>
    <row r="48" spans="1:13">
      <c r="A48" s="1251" t="s">
        <v>410</v>
      </c>
      <c r="D48" s="157" t="str">
        <f t="shared" si="7"/>
        <v>LaskeMonivuotinen Marja1 esim. mansikka</v>
      </c>
      <c r="F48" s="37">
        <v>1</v>
      </c>
      <c r="G48" s="10">
        <f>IFERROR(IF(AND(A48="x",Ely="Ely"),'LaskeMonivuotinenMarja 1'!$AA$36*F48,IF(Ely&lt;&gt;"ely",'LaskeMonivuotinenMarja 1'!$AA$36*F48,0)),0)</f>
        <v>0</v>
      </c>
      <c r="H48" s="26">
        <f t="shared" si="9"/>
        <v>0</v>
      </c>
      <c r="I48" t="s">
        <v>970</v>
      </c>
      <c r="J48" s="10"/>
      <c r="K48" s="2535">
        <f t="shared" si="10"/>
        <v>0.19750000000000001</v>
      </c>
      <c r="L48" s="691">
        <f t="shared" si="8"/>
        <v>0</v>
      </c>
    </row>
    <row r="49" spans="1:13">
      <c r="A49" s="1251" t="s">
        <v>410</v>
      </c>
      <c r="D49" s="157" t="str">
        <f t="shared" ref="D49:D52" si="11">D11</f>
        <v xml:space="preserve">LaskeMonivuotiset marjakasvit 2 </v>
      </c>
      <c r="F49" s="37">
        <v>1</v>
      </c>
      <c r="G49" s="10">
        <f>IFERROR(IF(AND(A49="x",Ely="Ely"),'LaskeMonivuotinenMarja 2'!$AA$36*F49,IF(Ely&lt;&gt;"ely",'LaskeMonivuotinenMarja 2'!$AA$36*F49,0)),0)</f>
        <v>0</v>
      </c>
      <c r="H49" s="26">
        <f>IFERROR(G53/$G$39,0)</f>
        <v>0</v>
      </c>
      <c r="I49" t="s">
        <v>970</v>
      </c>
      <c r="J49" s="10"/>
      <c r="K49" s="2535">
        <f t="shared" si="10"/>
        <v>0.19750000000000001</v>
      </c>
      <c r="L49" s="691">
        <f>G53*K49</f>
        <v>0</v>
      </c>
    </row>
    <row r="50" spans="1:13">
      <c r="A50" s="1251" t="s">
        <v>410</v>
      </c>
      <c r="D50" s="157" t="str">
        <f t="shared" si="11"/>
        <v>LaskeMonivuotiset marjakasvit 3</v>
      </c>
      <c r="F50" s="37">
        <v>1</v>
      </c>
      <c r="G50" s="10">
        <f>IFERROR(IF(AND(A50="x",Ely="Ely"),'LaskeMonivuotinenMarja 3'!$AA$36*F50,IF(Ely&lt;&gt;"ely",'LaskeMonivuotinenMarja 3'!$AA$36*F50,0)),0)</f>
        <v>0</v>
      </c>
      <c r="H50" s="26">
        <f t="shared" ref="H50:H53" si="12">IFERROR(G54/$G$39,0)</f>
        <v>0</v>
      </c>
      <c r="I50" t="s">
        <v>970</v>
      </c>
      <c r="J50" s="10"/>
      <c r="K50" s="2535">
        <f t="shared" si="10"/>
        <v>0.19750000000000001</v>
      </c>
      <c r="L50" s="691">
        <f t="shared" si="8"/>
        <v>0</v>
      </c>
    </row>
    <row r="51" spans="1:13" ht="25.5">
      <c r="A51" s="1251" t="s">
        <v>410</v>
      </c>
      <c r="D51" s="157" t="str">
        <f t="shared" si="11"/>
        <v>LaskeMonivuotiset marjakasvit 4 - Piilossa, aktivoi (hiiren oikea, näytä)</v>
      </c>
      <c r="F51" s="37">
        <v>1</v>
      </c>
      <c r="G51" s="10">
        <f>IFERROR(IF(AND(A51="x",Ely="Ely"),'LaskeMonivuotinenMarja 4'!$AA$36*F51,IF(Ely&lt;&gt;"ely",'LaskeMonivuotinenMarja 4'!$AA$36*F51,0)),0)</f>
        <v>0</v>
      </c>
      <c r="H51" s="26">
        <f t="shared" si="12"/>
        <v>0</v>
      </c>
      <c r="I51" t="s">
        <v>970</v>
      </c>
      <c r="J51" s="10"/>
      <c r="K51" s="2535">
        <f t="shared" si="10"/>
        <v>0.19750000000000001</v>
      </c>
      <c r="L51" s="691">
        <f t="shared" si="8"/>
        <v>0</v>
      </c>
    </row>
    <row r="52" spans="1:13" ht="25.5">
      <c r="A52" s="1251" t="s">
        <v>410</v>
      </c>
      <c r="D52" s="157" t="str">
        <f t="shared" si="11"/>
        <v>LaskeMonivuotiset marjakasvit 5 - Piilossa, aktivoi (hiiren oikea, näytä)</v>
      </c>
      <c r="F52" s="37">
        <v>1</v>
      </c>
      <c r="G52" s="10">
        <f>IFERROR(IF(AND(A52="x",Ely="Ely"),'LaskeMonivuotinenMarja 5'!$AA$36*F52,IF(Ely&lt;&gt;"ely",'LaskeMonivuotinenMarja 5'!$AA$36*F52,0)),0)</f>
        <v>0</v>
      </c>
      <c r="H52" s="26">
        <f t="shared" si="12"/>
        <v>0</v>
      </c>
      <c r="I52" t="s">
        <v>970</v>
      </c>
      <c r="J52" s="10"/>
      <c r="K52" s="2535">
        <f t="shared" si="10"/>
        <v>0.19750000000000001</v>
      </c>
      <c r="L52" s="691">
        <f t="shared" si="8"/>
        <v>0</v>
      </c>
    </row>
    <row r="53" spans="1:13" ht="25.5">
      <c r="A53" s="1251" t="s">
        <v>410</v>
      </c>
      <c r="D53" s="157" t="str">
        <f>D15</f>
        <v>LaskeMonivuotiset marjakasvit 6 - Piilossa, aktivoi (hiiren oikea, näytä)</v>
      </c>
      <c r="F53" s="37">
        <v>1</v>
      </c>
      <c r="G53" s="10">
        <f>IFERROR(IF(AND(A49="x",Ely="Ely"),'LaskeMonivuotinenMarja 6'!$AA$36*F49,IF(Ely&lt;&gt;"ely",'LaskeMonivuotinenMarja 6'!$AA$36*F49,0)),0)</f>
        <v>0</v>
      </c>
      <c r="H53" s="26">
        <f t="shared" si="12"/>
        <v>0</v>
      </c>
      <c r="I53" t="s">
        <v>970</v>
      </c>
      <c r="J53" s="10"/>
      <c r="K53" s="2535">
        <f t="shared" si="10"/>
        <v>0.19750000000000001</v>
      </c>
      <c r="L53" s="691">
        <f t="shared" si="8"/>
        <v>0</v>
      </c>
    </row>
    <row r="54" spans="1:13">
      <c r="A54" s="1251" t="s">
        <v>410</v>
      </c>
      <c r="D54" s="157" t="str">
        <f>LaskeKasvihuoneenkasvi!B2</f>
        <v>Kasvihuone (puutarhatilat) - Piilossa, aktivoi</v>
      </c>
      <c r="F54" s="37">
        <v>1</v>
      </c>
      <c r="G54" s="10">
        <f>IFERROR(IF(AND(A54="x",Ely="Ely"),LaskeKasvihuoneenkasvi!H38*F54,IF(Ely&lt;&gt;"ely",LaskeKasvihuoneenkasvi!H38*F54,0)),0)</f>
        <v>0</v>
      </c>
      <c r="H54" s="26">
        <f t="shared" si="9"/>
        <v>0</v>
      </c>
      <c r="I54" t="s">
        <v>970</v>
      </c>
      <c r="J54" s="10"/>
      <c r="K54" s="2535">
        <f t="shared" si="10"/>
        <v>0.19750000000000001</v>
      </c>
      <c r="L54" s="691">
        <f t="shared" si="8"/>
        <v>0</v>
      </c>
    </row>
    <row r="55" spans="1:13">
      <c r="D55" s="157"/>
      <c r="G55" s="10"/>
      <c r="H55" s="910"/>
      <c r="J55" s="10"/>
      <c r="K55" s="18"/>
      <c r="L55" s="691"/>
    </row>
    <row r="56" spans="1:13" ht="25.5">
      <c r="D56" s="155" t="s">
        <v>971</v>
      </c>
      <c r="G56" s="9">
        <f>SUM(G43:G55)</f>
        <v>0</v>
      </c>
      <c r="H56" s="26">
        <f t="shared" si="9"/>
        <v>0</v>
      </c>
      <c r="I56" t="s">
        <v>969</v>
      </c>
      <c r="J56" s="10"/>
      <c r="K56" s="18"/>
      <c r="L56" s="52"/>
    </row>
    <row r="57" spans="1:13">
      <c r="D57" s="157"/>
      <c r="G57" s="10"/>
      <c r="H57" s="910"/>
      <c r="J57" s="10"/>
      <c r="K57" s="18"/>
      <c r="L57" s="52"/>
    </row>
    <row r="58" spans="1:13">
      <c r="A58" s="1251" t="s">
        <v>410</v>
      </c>
      <c r="D58" s="157" t="str">
        <f t="shared" ref="D58:D63" si="13">D23</f>
        <v>Maito (LaskeMaito1)</v>
      </c>
      <c r="F58" s="37">
        <v>1</v>
      </c>
      <c r="G58" s="10">
        <f>IFERROR(IF(Ely&lt;&gt;"ely",(LaskeMaito1!$H$39-LaskeMaito1!$H$22-LaskeMaito1!$H$23-LaskeMaito1!$H$24)*F58,IF(A58="x",(LaskeMaito1!$H$39-LaskeMaito1!$H$22-LaskeMaito1!$H$23-LaskeMaito1!$H$24)*F58,0)),0)</f>
        <v>0</v>
      </c>
      <c r="H58" s="26">
        <f t="shared" si="9"/>
        <v>0</v>
      </c>
      <c r="I58" t="s">
        <v>969</v>
      </c>
      <c r="J58" s="23"/>
      <c r="K58" s="1249">
        <f>AVERAGE($K$3:$L$3)</f>
        <v>0.19750000000000001</v>
      </c>
      <c r="L58" s="691">
        <f>G58*K58</f>
        <v>0</v>
      </c>
      <c r="M58" s="52" t="s">
        <v>972</v>
      </c>
    </row>
    <row r="59" spans="1:13" hidden="1">
      <c r="A59" s="1251" t="s">
        <v>410</v>
      </c>
      <c r="D59" s="157" t="str">
        <f t="shared" si="13"/>
        <v>LaskeMaito2 laskelma 2. Piilossa, aktivoi</v>
      </c>
      <c r="F59" s="37">
        <v>1</v>
      </c>
      <c r="G59" s="10">
        <f>IFERROR(IF(Ely&lt;&gt;"ely",('LaskeMaito 2'!$H$39-'LaskeMaito 2'!$H$22-'LaskeMaito 2'!$H$23-'LaskeMaito 2'!$H$24)*F59,IF(A59="x",('LaskeMaito 2'!$H$39-'LaskeMaito 2'!$H$22-'LaskeMaito 2'!$H$23-'LaskeMaito 2'!$H$24)*F59,0)),0)</f>
        <v>0</v>
      </c>
      <c r="H59" s="26">
        <f t="shared" si="9"/>
        <v>0</v>
      </c>
      <c r="I59" t="s">
        <v>969</v>
      </c>
      <c r="J59" s="23"/>
      <c r="K59" s="1249">
        <f t="shared" ref="K59:K64" si="14">AVERAGE($K$3:$L$3)</f>
        <v>0.19750000000000001</v>
      </c>
      <c r="L59" s="691">
        <f t="shared" ref="L59:L60" si="15">G59*K59</f>
        <v>0</v>
      </c>
      <c r="M59" s="52" t="s">
        <v>972</v>
      </c>
    </row>
    <row r="60" spans="1:13" hidden="1">
      <c r="A60" s="1251" t="s">
        <v>410</v>
      </c>
      <c r="D60" s="157" t="str">
        <f t="shared" si="13"/>
        <v>LaskeMaito3 laskelma 3. Piilossa, aktivoi</v>
      </c>
      <c r="F60" s="37">
        <v>1</v>
      </c>
      <c r="G60" s="10">
        <f>IFERROR(IF(Ely&lt;&gt;"ely",('LaskeMaito 3'!$H$39-'LaskeMaito 3'!$H$22-'LaskeMaito 3'!$H$23-'LaskeMaito 3'!$H$24)*F60,IF(A60="x",('LaskeMaito 3'!$H$39-'LaskeMaito 3'!$H$22-'LaskeMaito 3'!$H$23-'LaskeMaito 3'!$H$24)*F60,0)),0)</f>
        <v>0</v>
      </c>
      <c r="H60" s="26">
        <f t="shared" si="9"/>
        <v>0</v>
      </c>
      <c r="I60" t="s">
        <v>969</v>
      </c>
      <c r="J60" s="23"/>
      <c r="K60" s="1249">
        <f t="shared" si="14"/>
        <v>0.19750000000000001</v>
      </c>
      <c r="L60" s="691">
        <f t="shared" si="15"/>
        <v>0</v>
      </c>
      <c r="M60" s="52" t="s">
        <v>972</v>
      </c>
    </row>
    <row r="61" spans="1:13" ht="25.5">
      <c r="A61" s="1251" t="s">
        <v>973</v>
      </c>
      <c r="D61" s="157" t="str">
        <f t="shared" si="13"/>
        <v>Laske Maito special  -Suurtilalle (ota tarvittaessa käyttöön, piilotettu)</v>
      </c>
      <c r="F61" s="37">
        <v>1</v>
      </c>
      <c r="G61" s="10">
        <f>IFERROR(IF(Ely&lt;&gt;"ELY",IF(AND('LaskeMaito special'!$H$2="kyllä",'LaskeMaito special'!$E$4&gt;0),('LaskeMaito special'!P40-'LaskeMaito special'!P23-'LaskeMaito special'!P24-'LaskeMaito special'!P25)*F61,),IF(AND('LaskeMaito special'!$H$2="kyllä",'LaskeMaito special'!$E$4&gt;0,A61="X"),('LaskeMaito special'!P40-'LaskeMaito special'!P23-'LaskeMaito special'!P24-'LaskeMaito special'!P25)*F61,0)),0)</f>
        <v>0</v>
      </c>
      <c r="H61" s="26">
        <f t="shared" si="9"/>
        <v>0</v>
      </c>
      <c r="I61" t="s">
        <v>969</v>
      </c>
      <c r="J61" s="23"/>
      <c r="K61" s="1249">
        <f t="shared" si="14"/>
        <v>0.19750000000000001</v>
      </c>
      <c r="L61" s="691">
        <f t="shared" ref="L61" si="16">G61*K61</f>
        <v>0</v>
      </c>
      <c r="M61" s="52" t="s">
        <v>972</v>
      </c>
    </row>
    <row r="62" spans="1:13">
      <c r="A62" s="1251" t="s">
        <v>973</v>
      </c>
      <c r="C62" s="1179">
        <f>IFERROR(LaskeLiha!H39-LaskeLiha!H22-LaskeLiha!F23,0)</f>
        <v>0</v>
      </c>
      <c r="D62" s="157" t="str">
        <f t="shared" si="13"/>
        <v>Laske Liha</v>
      </c>
      <c r="E62" t="s">
        <v>974</v>
      </c>
      <c r="F62" s="37">
        <v>1</v>
      </c>
      <c r="G62" s="7">
        <f>IFERROR(IF(Ely&lt;&gt;"ELY",C62/LaskeLiha!E5*I62*F62,IF(A62="X",C62/LaskeLiha!E5*I62*F62,0)),0)</f>
        <v>0</v>
      </c>
      <c r="H62" s="26">
        <f t="shared" si="9"/>
        <v>0</v>
      </c>
      <c r="I62" s="8">
        <v>12</v>
      </c>
      <c r="J62" t="s">
        <v>957</v>
      </c>
      <c r="K62" s="1249">
        <f t="shared" si="14"/>
        <v>0.19750000000000001</v>
      </c>
      <c r="L62" s="691">
        <f>G62*K62</f>
        <v>0</v>
      </c>
      <c r="M62" s="52" t="s">
        <v>972</v>
      </c>
    </row>
    <row r="63" spans="1:13" ht="25.5">
      <c r="A63" s="1251" t="s">
        <v>410</v>
      </c>
      <c r="C63" s="1179"/>
      <c r="D63" s="157" t="str">
        <f t="shared" si="13"/>
        <v>Laske Liha special  --Suurtilalle (ota tarvittaessa käyttöön, piilotettu)</v>
      </c>
      <c r="F63" s="37">
        <v>1</v>
      </c>
      <c r="G63" s="10">
        <f>IFERROR(IF(Ely&lt;&gt;"ELY",IF(AND('LaskeLiha special'!$H$2="kyllä",'LaskeLiha special'!$E$4&gt;0),('LaskeLiha special'!P44-'LaskeLiha special'!P27-'LaskeLiha special'!P28-'LaskeLiha special'!P29)/'LaskeLiha special'!P7*I63*F63,),IF(AND('LaskeLiha special'!$H$2="kyllä",'LaskeLiha special'!$E$4&gt;0,A63="X"),('LaskeLiha special'!P44-'LaskeLiha special'!P27-'LaskeLiha special'!P28-'LaskeLiha special'!P29)/'LaskeLiha special'!P7*I63*F63,0)),0)</f>
        <v>0</v>
      </c>
      <c r="H63" s="26">
        <f t="shared" si="9"/>
        <v>0</v>
      </c>
      <c r="I63" s="8">
        <v>12</v>
      </c>
      <c r="J63" t="s">
        <v>957</v>
      </c>
      <c r="K63" s="1249">
        <f t="shared" si="14"/>
        <v>0.19750000000000001</v>
      </c>
      <c r="L63" s="691">
        <f>G63*K63</f>
        <v>0</v>
      </c>
      <c r="M63" s="52"/>
    </row>
    <row r="64" spans="1:13" ht="25.5">
      <c r="A64" s="1251" t="s">
        <v>410</v>
      </c>
      <c r="C64" s="1179">
        <f>IFERROR(Laskeliha2!H40-Laskeliha2!H23-Laskeliha2!F24,0)</f>
        <v>0</v>
      </c>
      <c r="D64" s="157" t="str">
        <f t="shared" ref="D64" si="17">D29</f>
        <v>Laske Liha 2  - Piilossa, aktivoi (hiiren oikea, näytä)</v>
      </c>
      <c r="F64" s="37">
        <v>1</v>
      </c>
      <c r="G64" s="10">
        <f>IFERROR(IF(Ely&lt;&gt;"ELY",C64/Laskeliha2!E5*'Rakenna TULOSENNUSTE'!I64*F64,IF(A64="X",C64/Laskeliha2!E5*'Rakenna TULOSENNUSTE'!I64*F64,0)),0)</f>
        <v>0</v>
      </c>
      <c r="H64" s="26">
        <f t="shared" si="9"/>
        <v>0</v>
      </c>
      <c r="I64" s="8">
        <v>12</v>
      </c>
      <c r="J64" t="s">
        <v>957</v>
      </c>
      <c r="K64" s="1249">
        <f t="shared" si="14"/>
        <v>0.19750000000000001</v>
      </c>
      <c r="L64" s="691">
        <f>G64*K64</f>
        <v>0</v>
      </c>
      <c r="M64" s="52" t="s">
        <v>972</v>
      </c>
    </row>
    <row r="65" spans="1:12">
      <c r="D65" s="157"/>
      <c r="G65" s="10"/>
      <c r="J65" s="10"/>
      <c r="K65" s="18"/>
      <c r="L65" s="52"/>
    </row>
    <row r="66" spans="1:12">
      <c r="D66" s="155" t="s">
        <v>975</v>
      </c>
      <c r="G66" s="9">
        <f>SUM(G58:G65)</f>
        <v>0</v>
      </c>
      <c r="H66" s="26">
        <f t="shared" si="9"/>
        <v>0</v>
      </c>
      <c r="I66" t="s">
        <v>969</v>
      </c>
      <c r="J66" s="10"/>
      <c r="K66" s="18"/>
      <c r="L66" s="52"/>
    </row>
    <row r="67" spans="1:12">
      <c r="D67" s="157"/>
      <c r="G67" s="10"/>
      <c r="H67" s="910"/>
      <c r="J67" s="10"/>
      <c r="K67" s="18"/>
      <c r="L67" s="52"/>
    </row>
    <row r="68" spans="1:12">
      <c r="A68" s="1251"/>
      <c r="D68" s="157" t="s">
        <v>934</v>
      </c>
      <c r="F68" s="37">
        <v>1</v>
      </c>
      <c r="G68" s="10">
        <f>IF(Ely&lt;&gt;"ELY",IF(LaskeKoneurakointi!F2="kyllä",LaskeKoneurakointi!H32*F68,0),IF(A68="X",IF(LaskeKoneurakointi!F2="kyllä",LaskeKoneurakointi!H32*F68),0))</f>
        <v>0</v>
      </c>
      <c r="H68" s="26">
        <f t="shared" si="9"/>
        <v>0</v>
      </c>
      <c r="I68" t="s">
        <v>969</v>
      </c>
      <c r="J68" s="10"/>
      <c r="K68" s="2536">
        <f>$K$3</f>
        <v>0.255</v>
      </c>
      <c r="L68" s="1140">
        <f>G68*K68</f>
        <v>0</v>
      </c>
    </row>
    <row r="69" spans="1:12" ht="25.5">
      <c r="A69" s="1251" t="s">
        <v>410</v>
      </c>
      <c r="D69" s="157" t="str">
        <f>D35</f>
        <v>Hinnoittelu esim. torimyyntiin (muuta tämä teksti halumaksesi).</v>
      </c>
      <c r="F69" s="37">
        <v>1</v>
      </c>
      <c r="G69" s="10">
        <f>IF(Ely&lt;&gt;"ELY",IF('Hinnoittele jatkojalostus'!$J$2="kyllä",'Hinnoittele jatkojalostus'!AA53*F69,0),IF(A69="X",IF('Hinnoittele jatkojalostus'!$J$2="kyllä",'Hinnoittele jatkojalostus'!AA53*F68),0))</f>
        <v>0</v>
      </c>
      <c r="H69" s="26">
        <f t="shared" si="9"/>
        <v>0</v>
      </c>
      <c r="I69" t="s">
        <v>969</v>
      </c>
      <c r="J69" s="10"/>
      <c r="K69" s="2536">
        <f>L3</f>
        <v>0.14000000000000001</v>
      </c>
      <c r="L69" s="1140">
        <f>G69*K69</f>
        <v>0</v>
      </c>
    </row>
    <row r="70" spans="1:12" ht="25.5">
      <c r="A70" s="1251"/>
      <c r="D70" s="2423" t="str">
        <f>Metsä!B2</f>
        <v>Metsä  - Piilossa, aktivoi (hiiren oikea, näytä)</v>
      </c>
      <c r="F70" s="37">
        <v>1</v>
      </c>
      <c r="G70" s="10">
        <f>IF(Ely&lt;&gt;"ELY",F70*Metsä!F37,IF(A70="X",F70*Metsä!F37,0))</f>
        <v>0</v>
      </c>
      <c r="H70" s="26">
        <f t="shared" si="9"/>
        <v>0</v>
      </c>
      <c r="I70" t="s">
        <v>969</v>
      </c>
      <c r="J70" s="10"/>
      <c r="K70" s="2536">
        <f>$K$3</f>
        <v>0.255</v>
      </c>
      <c r="L70" s="1140">
        <f>G70*K70</f>
        <v>0</v>
      </c>
    </row>
    <row r="71" spans="1:12">
      <c r="A71" s="1251"/>
      <c r="C71" s="186" t="str">
        <f>C37</f>
        <v>EVL:n mukainen toiminta 1</v>
      </c>
      <c r="D71" s="59" t="str">
        <f>'EVL yrityksen 1 katelaskenta'!B2</f>
        <v>x</v>
      </c>
      <c r="F71" s="37">
        <v>1</v>
      </c>
      <c r="G71" s="10">
        <f>IF(AND(Ely="Ely",A71="x",'EVL yrityksen 1 katelaskenta'!$F$2="kyllä"),F71*('EVL yrityksen 1 katelaskenta'!$H$32+'EVL yrityksen 1 katelaskenta'!$H$42),IF(AND(Ely&lt;&gt;"ely",'EVL yrityksen 1 katelaskenta'!$F$2="kyllä"),F71*('EVL yrityksen 1 katelaskenta'!$H$32+'EVL yrityksen 1 katelaskenta'!$H$42),0))</f>
        <v>0</v>
      </c>
      <c r="H71" s="26">
        <f t="shared" si="9"/>
        <v>0</v>
      </c>
      <c r="I71" t="s">
        <v>969</v>
      </c>
      <c r="J71" s="10"/>
      <c r="K71" s="2534">
        <f>$K$3</f>
        <v>0.255</v>
      </c>
      <c r="L71" s="1140">
        <f>G71*K71</f>
        <v>0</v>
      </c>
    </row>
    <row r="72" spans="1:12" ht="13.5" thickBot="1">
      <c r="A72" s="1251"/>
      <c r="C72" s="186" t="str">
        <f>C38</f>
        <v>EVL:n mukainen toiminta 2</v>
      </c>
      <c r="D72" s="59" t="str">
        <f>'EVL yrityksen 2 katelaskenta'!B2</f>
        <v>Muu EVL</v>
      </c>
      <c r="F72" s="37">
        <v>1</v>
      </c>
      <c r="G72" s="10">
        <f>IF(AND(Ely="Ely",A72="x",'EVL yrityksen 2 katelaskenta'!$F$2="kyllä"),F72*('EVL yrityksen 2 katelaskenta'!$H$32+'EVL yrityksen 2 katelaskenta'!$H$42),IF(AND(Ely&lt;&gt;"ely",'EVL yrityksen 2 katelaskenta'!$F$2="kyllä"),F72*('EVL yrityksen 2 katelaskenta'!$H$32+'EVL yrityksen 2 katelaskenta'!$H$42),0))</f>
        <v>0</v>
      </c>
      <c r="H72" s="26">
        <f t="shared" si="9"/>
        <v>0</v>
      </c>
      <c r="I72" t="s">
        <v>969</v>
      </c>
      <c r="J72" s="10"/>
      <c r="K72" s="2534">
        <f>$K$3</f>
        <v>0.255</v>
      </c>
      <c r="L72" s="1140">
        <f>G72*K72</f>
        <v>0</v>
      </c>
    </row>
    <row r="73" spans="1:12" ht="16.5" thickBot="1">
      <c r="A73" s="4">
        <f>COUNTIF(A43:A72,"x")</f>
        <v>20</v>
      </c>
      <c r="C73" s="655" t="s">
        <v>3</v>
      </c>
      <c r="D73" s="656"/>
      <c r="E73" s="656"/>
      <c r="F73" s="656"/>
      <c r="G73" s="1070">
        <f>IF(Ely&lt;&gt;"ely",SUM(G56,G66,G68:G72),SUMIF(A43:A72,"x",G43:G72))</f>
        <v>0</v>
      </c>
      <c r="H73" s="26">
        <f t="shared" si="9"/>
        <v>0</v>
      </c>
      <c r="I73" t="s">
        <v>969</v>
      </c>
      <c r="J73" s="10"/>
      <c r="L73" s="52"/>
    </row>
    <row r="74" spans="1:12" ht="13.5" thickBot="1">
      <c r="D74" s="3"/>
      <c r="G74" s="10"/>
      <c r="J74" s="10"/>
      <c r="L74" s="52"/>
    </row>
    <row r="75" spans="1:12" ht="18.75" thickBot="1">
      <c r="C75" s="558" t="s">
        <v>976</v>
      </c>
      <c r="D75" s="567"/>
      <c r="E75" s="567"/>
      <c r="F75" s="567"/>
      <c r="G75" s="1072">
        <f>G39-G73</f>
        <v>0</v>
      </c>
      <c r="H75" s="26">
        <f t="shared" si="9"/>
        <v>0</v>
      </c>
      <c r="I75" t="s">
        <v>969</v>
      </c>
      <c r="J75" s="10"/>
      <c r="L75" s="96"/>
    </row>
    <row r="76" spans="1:12">
      <c r="C76" s="2793" t="s">
        <v>977</v>
      </c>
      <c r="D76" s="2793"/>
      <c r="E76" s="4" t="s">
        <v>677</v>
      </c>
      <c r="F76" t="s">
        <v>148</v>
      </c>
      <c r="G76" s="10"/>
      <c r="J76" s="10"/>
      <c r="L76" s="52"/>
    </row>
    <row r="77" spans="1:12">
      <c r="A77" s="1251" t="s">
        <v>410</v>
      </c>
      <c r="B77" s="37">
        <v>1</v>
      </c>
      <c r="C77" s="2778" t="str">
        <f>D43</f>
        <v>LaskeKasvi1</v>
      </c>
      <c r="D77" s="2779"/>
      <c r="E77" s="2419">
        <f>LaskeKasvi1!D47</f>
        <v>0</v>
      </c>
      <c r="F77" s="659">
        <f>LaskeKasvi1!E46</f>
        <v>15.9</v>
      </c>
      <c r="G77" s="10">
        <f>IF(Ely&lt;&gt;"ely",E77*F77*B77,IF(A77="x",E77*$F$101*B77,0))</f>
        <v>0</v>
      </c>
      <c r="H77" s="26">
        <f t="shared" ref="H77:H83" si="18">IFERROR(G77/SUM($G$73,$G$100,$G$165),0)</f>
        <v>0</v>
      </c>
      <c r="I77" t="s">
        <v>978</v>
      </c>
      <c r="J77" s="10"/>
      <c r="L77" s="52"/>
    </row>
    <row r="78" spans="1:12">
      <c r="A78" s="1251" t="s">
        <v>410</v>
      </c>
      <c r="B78" s="37">
        <v>1</v>
      </c>
      <c r="C78" s="2778" t="str">
        <f>D44</f>
        <v>LaskeKasvi 2</v>
      </c>
      <c r="D78" s="2779"/>
      <c r="E78" s="2419">
        <f>LaskeKasvi2!D47</f>
        <v>0</v>
      </c>
      <c r="F78" s="659">
        <f>LaskeKasvi2!E46</f>
        <v>15.9</v>
      </c>
      <c r="G78" s="10">
        <f>IF(Ely&lt;&gt;"ely",E78*F78*B78,IF(A78="x",E78*$F$101*B78,0))</f>
        <v>0</v>
      </c>
      <c r="H78" s="26">
        <f t="shared" si="18"/>
        <v>0</v>
      </c>
      <c r="I78" t="s">
        <v>970</v>
      </c>
      <c r="J78" s="10"/>
      <c r="L78" s="52"/>
    </row>
    <row r="79" spans="1:12">
      <c r="A79" s="1251" t="s">
        <v>410</v>
      </c>
      <c r="B79" s="37">
        <v>1</v>
      </c>
      <c r="C79" s="2778" t="str">
        <f>D45</f>
        <v>LaskeSäilörehu</v>
      </c>
      <c r="D79" s="2779"/>
      <c r="E79" s="2419">
        <f>LaskeSäilörehu!D49</f>
        <v>0</v>
      </c>
      <c r="F79" s="659">
        <f>LaskeSäilörehu!E48</f>
        <v>15.9</v>
      </c>
      <c r="G79" s="10">
        <f>IF(Ely&lt;&gt;"ely",E79*F79*B79,IF(A79="x",E79*$F$101*B79,0))</f>
        <v>0</v>
      </c>
      <c r="H79" s="26">
        <f t="shared" si="18"/>
        <v>0</v>
      </c>
      <c r="I79" t="s">
        <v>970</v>
      </c>
      <c r="J79" s="10"/>
      <c r="L79" s="52"/>
    </row>
    <row r="80" spans="1:12">
      <c r="A80" s="1251" t="s">
        <v>410</v>
      </c>
      <c r="B80" s="37">
        <v>1</v>
      </c>
      <c r="C80" s="2778" t="str">
        <f>D46</f>
        <v>LaskeKasvi 4 - Piilossa, aktivoi (hiiren oikea, näytä)</v>
      </c>
      <c r="D80" s="2779"/>
      <c r="E80" s="2419">
        <f>LaskeKasvi4!D47</f>
        <v>0</v>
      </c>
      <c r="F80" s="659">
        <f>LaskeKasvi4!E46</f>
        <v>15.9</v>
      </c>
      <c r="G80" s="10">
        <f>IF(Ely&lt;&gt;"ely",E80*F80*B80,IF(A80="x",E80*$F$101*B80,0))</f>
        <v>0</v>
      </c>
      <c r="H80" s="26">
        <f t="shared" si="18"/>
        <v>0</v>
      </c>
      <c r="I80" t="s">
        <v>970</v>
      </c>
      <c r="J80" s="10"/>
      <c r="L80" s="52"/>
    </row>
    <row r="81" spans="1:27">
      <c r="A81" s="1251" t="s">
        <v>410</v>
      </c>
      <c r="B81" s="37">
        <v>1</v>
      </c>
      <c r="C81" s="2778" t="str">
        <f>D47</f>
        <v>LaskeKasvi 5 - Piilossa, aktivoi (hiiren oikea, näytä)</v>
      </c>
      <c r="D81" s="2779"/>
      <c r="E81" s="2419">
        <f>LaskeKasvi5!D47</f>
        <v>0</v>
      </c>
      <c r="F81" s="659">
        <f>LaskeKasvi5!E46</f>
        <v>15.9</v>
      </c>
      <c r="G81" s="10">
        <f>IF(Ely&lt;&gt;"ely",E81*F81*B81,IF(A81="x",E81*$F$101*B81,0))</f>
        <v>0</v>
      </c>
      <c r="H81" s="26">
        <f t="shared" si="18"/>
        <v>0</v>
      </c>
      <c r="I81" t="s">
        <v>970</v>
      </c>
      <c r="J81" s="10"/>
      <c r="L81" s="52"/>
    </row>
    <row r="82" spans="1:27">
      <c r="A82" s="1251" t="s">
        <v>410</v>
      </c>
      <c r="B82" s="37">
        <v>1</v>
      </c>
      <c r="C82" s="2778" t="str">
        <f t="shared" ref="C82" si="19">D48</f>
        <v>LaskeMonivuotinen Marja1 esim. mansikka</v>
      </c>
      <c r="D82" s="2779"/>
      <c r="E82" s="2419">
        <f>'LaskeMonivuotinenMarja 1'!$AC$43</f>
        <v>0</v>
      </c>
      <c r="F82" s="659">
        <f>IFERROR('LaskeMonivuotinenMarja 1'!$AC$44,0)</f>
        <v>0</v>
      </c>
      <c r="G82" s="10">
        <f>IF(Ely&lt;&gt;"ely",'LaskeMonivuotinenMarja 1'!AA42*B82,IF(A82="x",E82*$F$101*B82,0))</f>
        <v>0</v>
      </c>
      <c r="H82" s="26">
        <f t="shared" si="18"/>
        <v>0</v>
      </c>
      <c r="I82" t="s">
        <v>970</v>
      </c>
      <c r="J82" s="10"/>
      <c r="L82" s="52"/>
    </row>
    <row r="83" spans="1:27">
      <c r="A83" s="1251" t="s">
        <v>410</v>
      </c>
      <c r="B83" s="37">
        <v>1</v>
      </c>
      <c r="C83" s="2778" t="str">
        <f t="shared" ref="C83:C87" si="20">D49</f>
        <v xml:space="preserve">LaskeMonivuotiset marjakasvit 2 </v>
      </c>
      <c r="D83" s="2779"/>
      <c r="E83" s="2419">
        <f>'LaskeMonivuotinenMarja 2'!$AH$43</f>
        <v>0</v>
      </c>
      <c r="F83" s="659">
        <f>IFERROR('LaskeMonivuotinenMarja 2'!$AC$44,0)</f>
        <v>0</v>
      </c>
      <c r="G83" s="10">
        <f>IF(Ely&lt;&gt;"ely",'LaskeMonivuotinenMarja 2'!$AA$42*B83,IF(A83="x",E83*$F$101*B83,0))</f>
        <v>0</v>
      </c>
      <c r="H83" s="26">
        <f t="shared" si="18"/>
        <v>0</v>
      </c>
      <c r="I83" t="s">
        <v>970</v>
      </c>
      <c r="J83" s="10"/>
      <c r="L83" s="52"/>
    </row>
    <row r="84" spans="1:27">
      <c r="A84" s="1251" t="s">
        <v>410</v>
      </c>
      <c r="B84" s="37">
        <v>1</v>
      </c>
      <c r="C84" s="2778" t="str">
        <f t="shared" si="20"/>
        <v>LaskeMonivuotiset marjakasvit 3</v>
      </c>
      <c r="D84" s="2779"/>
      <c r="E84" s="2419">
        <f>'LaskeMonivuotinenMarja 3'!$AC$43</f>
        <v>0</v>
      </c>
      <c r="F84" s="659">
        <f>IFERROR('LaskeMonivuotinenMarja 3'!$AC$44,0)</f>
        <v>0</v>
      </c>
      <c r="G84" s="10">
        <f>IF(Ely&lt;&gt;"ely",'LaskeMonivuotinenMarja 3'!$AA$42*B84,IF(A84="x",E84*$F$101*B84,0))</f>
        <v>0</v>
      </c>
      <c r="H84" s="26">
        <f t="shared" ref="H84:H87" si="21">IFERROR(G84/SUM($G$73,$G$100,$G$165),0)</f>
        <v>0</v>
      </c>
      <c r="I84" t="s">
        <v>970</v>
      </c>
      <c r="J84" s="10"/>
      <c r="L84" s="52"/>
    </row>
    <row r="85" spans="1:27">
      <c r="A85" s="1251" t="s">
        <v>410</v>
      </c>
      <c r="B85" s="37">
        <v>1</v>
      </c>
      <c r="C85" s="2778" t="str">
        <f t="shared" si="20"/>
        <v>LaskeMonivuotiset marjakasvit 4 - Piilossa, aktivoi (hiiren oikea, näytä)</v>
      </c>
      <c r="D85" s="2779"/>
      <c r="E85" s="2419">
        <f>'LaskeMonivuotinenMarja 4'!$AC$43</f>
        <v>0</v>
      </c>
      <c r="F85" s="659">
        <f>IFERROR('LaskeMonivuotinenMarja 4'!$AC$44,0)</f>
        <v>0</v>
      </c>
      <c r="G85" s="10">
        <f>IF(Ely&lt;&gt;"ely",'LaskeMonivuotinenMarja 4'!$AA$42*B85,IF(A85="x",E85*$F$101*B85,0))</f>
        <v>0</v>
      </c>
      <c r="H85" s="26">
        <f t="shared" si="21"/>
        <v>0</v>
      </c>
      <c r="I85" t="s">
        <v>970</v>
      </c>
      <c r="J85" s="10"/>
      <c r="L85" s="52"/>
    </row>
    <row r="86" spans="1:27">
      <c r="A86" s="1251" t="s">
        <v>410</v>
      </c>
      <c r="B86" s="37">
        <v>1</v>
      </c>
      <c r="C86" s="2778" t="str">
        <f t="shared" si="20"/>
        <v>LaskeMonivuotiset marjakasvit 5 - Piilossa, aktivoi (hiiren oikea, näytä)</v>
      </c>
      <c r="D86" s="2779"/>
      <c r="E86" s="2419">
        <f>'LaskeMonivuotinenMarja 5'!$AC$43</f>
        <v>0</v>
      </c>
      <c r="F86" s="659">
        <f>IFERROR('LaskeMonivuotinenMarja 5'!$AC$44,0)</f>
        <v>0</v>
      </c>
      <c r="G86" s="10">
        <f>IF(Ely&lt;&gt;"ely",'LaskeMonivuotinenMarja 5'!$AA$42*B86,IF(A86="x",E86*$F$101*B86,0))</f>
        <v>0</v>
      </c>
      <c r="H86" s="26">
        <f t="shared" si="21"/>
        <v>0</v>
      </c>
      <c r="I86" t="s">
        <v>970</v>
      </c>
      <c r="J86" s="10"/>
      <c r="L86" s="52"/>
    </row>
    <row r="87" spans="1:27">
      <c r="A87" s="1251" t="s">
        <v>410</v>
      </c>
      <c r="B87" s="37">
        <v>1</v>
      </c>
      <c r="C87" s="2778" t="str">
        <f t="shared" si="20"/>
        <v>LaskeMonivuotiset marjakasvit 6 - Piilossa, aktivoi (hiiren oikea, näytä)</v>
      </c>
      <c r="D87" s="2779"/>
      <c r="E87" s="2419">
        <f>'LaskeMonivuotinenMarja 6'!$AC$43</f>
        <v>0</v>
      </c>
      <c r="F87" s="659">
        <f>IFERROR('LaskeMonivuotinenMarja 6'!$AC$44,0)</f>
        <v>0</v>
      </c>
      <c r="G87" s="10">
        <f>IF(Ely&lt;&gt;"ely",'LaskeMonivuotinenMarja 6'!$AA$42*B87,IF(A87="x",E87*$F$101*B87,0))</f>
        <v>0</v>
      </c>
      <c r="H87" s="26">
        <f t="shared" si="21"/>
        <v>0</v>
      </c>
      <c r="I87" t="s">
        <v>970</v>
      </c>
      <c r="J87" s="10"/>
      <c r="L87" s="52"/>
    </row>
    <row r="88" spans="1:27">
      <c r="A88" s="1251" t="s">
        <v>410</v>
      </c>
      <c r="B88" s="37">
        <v>1</v>
      </c>
      <c r="C88" s="2778" t="str">
        <f>LaskeKasvihuoneenkasvi!B2</f>
        <v>Kasvihuone (puutarhatilat) - Piilossa, aktivoi</v>
      </c>
      <c r="D88" s="2779"/>
      <c r="E88" s="2419">
        <f>LaskeKasvihuoneenkasvi!D47</f>
        <v>0</v>
      </c>
      <c r="F88" s="659">
        <f>LaskeKasvihuoneenkasvi!E46</f>
        <v>15.9</v>
      </c>
      <c r="G88" s="10">
        <f>IF(Ely&lt;&gt;"ely",E88*F88*B88,IF(A88="x",E88*$F$101*B88,0))</f>
        <v>0</v>
      </c>
      <c r="H88" s="26">
        <f>IFERROR(G88/SUM($G$73,$G$100,$G$165),0)</f>
        <v>0</v>
      </c>
      <c r="I88" t="s">
        <v>970</v>
      </c>
      <c r="J88" s="10"/>
      <c r="L88" s="52"/>
    </row>
    <row r="89" spans="1:27">
      <c r="C89" s="157"/>
      <c r="D89" s="157"/>
      <c r="E89" s="2419"/>
      <c r="G89" s="10"/>
      <c r="H89" s="26"/>
      <c r="J89" s="10"/>
      <c r="L89" s="52"/>
    </row>
    <row r="90" spans="1:27">
      <c r="A90" s="1251" t="s">
        <v>410</v>
      </c>
      <c r="B90" s="37">
        <v>1</v>
      </c>
      <c r="C90" s="2778" t="str">
        <f t="shared" ref="C90:C95" si="22">D58</f>
        <v>Maito (LaskeMaito1)</v>
      </c>
      <c r="D90" s="2779"/>
      <c r="E90" s="2419">
        <f>LaskeMaito1!D48</f>
        <v>0</v>
      </c>
      <c r="F90" s="659">
        <f>LaskeMaito1!E47</f>
        <v>10</v>
      </c>
      <c r="G90" s="10">
        <f t="shared" ref="G90:G94" si="23">IF(Ely&lt;&gt;"ely",E90*F90*B90,IF(A90="x",E90*$F$101*B90,0))</f>
        <v>0</v>
      </c>
      <c r="H90" s="26">
        <f t="shared" ref="H90:H96" si="24">IFERROR(G90/SUM($G$73,$G$100,$G$165),0)</f>
        <v>0</v>
      </c>
      <c r="I90" t="s">
        <v>970</v>
      </c>
      <c r="J90" s="10"/>
      <c r="L90" s="52"/>
    </row>
    <row r="91" spans="1:27" hidden="1">
      <c r="A91" s="1251" t="s">
        <v>410</v>
      </c>
      <c r="B91" s="37">
        <v>1</v>
      </c>
      <c r="C91" s="2778" t="str">
        <f t="shared" si="22"/>
        <v>LaskeMaito2 laskelma 2. Piilossa, aktivoi</v>
      </c>
      <c r="D91" s="2779"/>
      <c r="E91" s="2419">
        <f>'LaskeMaito 2'!D47*'LaskeMaito 2'!E4</f>
        <v>0</v>
      </c>
      <c r="F91" s="659">
        <f>'LaskeMaito 2'!E47</f>
        <v>0</v>
      </c>
      <c r="G91" s="10">
        <f t="shared" si="23"/>
        <v>0</v>
      </c>
      <c r="H91" s="26">
        <f t="shared" si="24"/>
        <v>0</v>
      </c>
      <c r="I91" t="s">
        <v>970</v>
      </c>
      <c r="J91" s="10"/>
      <c r="L91" s="52"/>
    </row>
    <row r="92" spans="1:27" hidden="1">
      <c r="A92" s="1251" t="s">
        <v>410</v>
      </c>
      <c r="B92" s="37">
        <v>1</v>
      </c>
      <c r="C92" s="2778" t="str">
        <f t="shared" si="22"/>
        <v>LaskeMaito3 laskelma 3. Piilossa, aktivoi</v>
      </c>
      <c r="D92" s="2779"/>
      <c r="E92" s="2419">
        <f>'LaskeMaito 3'!D47*'LaskeMaito 3'!E4</f>
        <v>0</v>
      </c>
      <c r="F92" s="659">
        <f>'LaskeMaito 3'!E47</f>
        <v>15.9</v>
      </c>
      <c r="G92" s="10">
        <f t="shared" si="23"/>
        <v>0</v>
      </c>
      <c r="H92" s="26">
        <f t="shared" si="24"/>
        <v>0</v>
      </c>
      <c r="I92" t="s">
        <v>970</v>
      </c>
      <c r="J92" s="10"/>
      <c r="L92" s="52"/>
    </row>
    <row r="93" spans="1:27">
      <c r="A93" s="1251" t="s">
        <v>410</v>
      </c>
      <c r="B93" s="37">
        <v>1</v>
      </c>
      <c r="C93" s="2778" t="str">
        <f t="shared" si="22"/>
        <v>Laske Maito special  -Suurtilalle (ota tarvittaessa käyttöön, piilotettu)</v>
      </c>
      <c r="D93" s="2779"/>
      <c r="E93" s="2419">
        <f>IF($AA$93="kyllä",'LaskeMaito special'!Q48,0)</f>
        <v>0</v>
      </c>
      <c r="F93" s="659">
        <f>'LaskeMaito special'!S48</f>
        <v>0</v>
      </c>
      <c r="G93" s="10">
        <f>IF($AA$93="kyllä",IF(Ely&lt;&gt;"ely",E93*F93*B93,IF(A93="x",E93*$F$101*B93,0)),0)</f>
        <v>0</v>
      </c>
      <c r="H93" s="26">
        <f t="shared" si="24"/>
        <v>0</v>
      </c>
      <c r="I93" t="s">
        <v>970</v>
      </c>
      <c r="J93" s="10"/>
      <c r="L93" s="52"/>
      <c r="AA93" t="str">
        <f>'LaskeMaito special'!H2</f>
        <v>ei</v>
      </c>
    </row>
    <row r="94" spans="1:27">
      <c r="A94" s="1251" t="s">
        <v>410</v>
      </c>
      <c r="B94" s="37">
        <v>1</v>
      </c>
      <c r="C94" s="2778" t="str">
        <f t="shared" si="22"/>
        <v>Laske Liha</v>
      </c>
      <c r="D94" s="2779"/>
      <c r="E94" s="2419">
        <f>LaskeLiha!$D$47*LaskeLiha!$E$4/LaskeLiha!$E$5*I94*B94</f>
        <v>0</v>
      </c>
      <c r="F94" s="659">
        <f>LaskeLiha!E47</f>
        <v>15.9</v>
      </c>
      <c r="G94" s="10">
        <f t="shared" si="23"/>
        <v>0</v>
      </c>
      <c r="H94" s="26">
        <f t="shared" si="24"/>
        <v>0</v>
      </c>
      <c r="I94" s="2422">
        <f>I27</f>
        <v>12</v>
      </c>
      <c r="J94" t="s">
        <v>957</v>
      </c>
      <c r="L94" s="52"/>
    </row>
    <row r="95" spans="1:27">
      <c r="A95" s="1251" t="s">
        <v>410</v>
      </c>
      <c r="B95" s="37">
        <v>1</v>
      </c>
      <c r="C95" s="2778" t="str">
        <f t="shared" si="22"/>
        <v>Laske Liha special  --Suurtilalle (ota tarvittaessa käyttöön, piilotettu)</v>
      </c>
      <c r="D95" s="2779"/>
      <c r="E95" s="2419">
        <f>IF($AA$95="kyllä",'LaskeLiha special'!Q52/'LaskeLiha special'!P7*I95,0)</f>
        <v>0</v>
      </c>
      <c r="F95" s="659">
        <f>'LaskeLiha special'!S52</f>
        <v>0</v>
      </c>
      <c r="G95" s="10">
        <f>IF($AA$95="kyllä",IF(Ely&lt;&gt;"ely",E95*F95*B95,IF(A95="x",E95*$F$101*B95,0)),0)</f>
        <v>0</v>
      </c>
      <c r="H95" s="26">
        <f t="shared" si="24"/>
        <v>0</v>
      </c>
      <c r="I95" s="2422">
        <f t="shared" ref="I95:I96" si="25">I28</f>
        <v>12</v>
      </c>
      <c r="J95" t="s">
        <v>957</v>
      </c>
      <c r="K95" s="4">
        <f>IF($AA$95="kyllä",'LaskeLiha special'!Q52,0)</f>
        <v>0</v>
      </c>
      <c r="L95" s="52"/>
      <c r="AA95" t="str">
        <f>'LaskeLiha special'!H2</f>
        <v>Ei</v>
      </c>
    </row>
    <row r="96" spans="1:27">
      <c r="A96" s="1251" t="s">
        <v>410</v>
      </c>
      <c r="B96" s="37">
        <v>1</v>
      </c>
      <c r="C96" s="2778" t="str">
        <f t="shared" ref="C96" si="26">D64</f>
        <v>Laske Liha 2  - Piilossa, aktivoi (hiiren oikea, näytä)</v>
      </c>
      <c r="D96" s="2779"/>
      <c r="E96" s="2419">
        <f>Laskeliha2!$D$48*Laskeliha2!$E$4/Laskeliha2!$E$5*I96*B96</f>
        <v>0</v>
      </c>
      <c r="F96" s="659">
        <f>Laskeliha2!E48</f>
        <v>15.9</v>
      </c>
      <c r="G96" s="10">
        <f>IF(Ely&lt;&gt;"ely",E96*F96*B96,IF(A96="x",E96*$F$101*B96,0))</f>
        <v>0</v>
      </c>
      <c r="H96" s="26">
        <f t="shared" si="24"/>
        <v>0</v>
      </c>
      <c r="I96" s="2422">
        <f t="shared" si="25"/>
        <v>12</v>
      </c>
      <c r="J96" t="s">
        <v>957</v>
      </c>
      <c r="L96" s="52"/>
    </row>
    <row r="97" spans="1:12">
      <c r="A97" s="1251"/>
      <c r="B97" s="37">
        <v>1</v>
      </c>
      <c r="C97" s="2778" t="str">
        <f>D68</f>
        <v>Koneurakointi</v>
      </c>
      <c r="D97" s="2779"/>
      <c r="E97" s="2419"/>
      <c r="F97" s="659"/>
      <c r="G97" s="10"/>
      <c r="H97" s="26"/>
      <c r="J97" s="10"/>
      <c r="L97" s="52"/>
    </row>
    <row r="98" spans="1:12">
      <c r="A98" s="1251" t="s">
        <v>410</v>
      </c>
      <c r="B98" s="37">
        <v>1</v>
      </c>
      <c r="C98" s="2787" t="str">
        <f>"Muu: "&amp;'Hinnoittele jatkojalostus'!J1</f>
        <v>Muu: Hinnoittelu esim. torimyyntiin (muuta tämä teksti halumaksesi).</v>
      </c>
      <c r="D98" s="2788"/>
      <c r="E98" s="2419">
        <f>'Hinnoittele jatkojalostus'!M60</f>
        <v>0</v>
      </c>
      <c r="F98" s="1984" t="s">
        <v>979</v>
      </c>
      <c r="G98" s="10"/>
      <c r="H98" s="26">
        <f>IFERROR(G98/SUM($G$73,$G$100,$G$165),0)</f>
        <v>0</v>
      </c>
      <c r="I98" t="s">
        <v>970</v>
      </c>
      <c r="J98" s="10"/>
      <c r="L98" s="52"/>
    </row>
    <row r="99" spans="1:12" ht="13.5" thickBot="1">
      <c r="A99" s="1251"/>
      <c r="B99" s="37">
        <v>1</v>
      </c>
      <c r="C99" s="2789" t="str">
        <f>D70</f>
        <v>Metsä  - Piilossa, aktivoi (hiiren oikea, näytä)</v>
      </c>
      <c r="D99" s="2790"/>
      <c r="E99" s="2419">
        <f>Metsä!D45</f>
        <v>0</v>
      </c>
      <c r="F99" s="659">
        <f>Metsä!E45</f>
        <v>15.9</v>
      </c>
      <c r="G99" s="10">
        <f>IF(Ely&lt;&gt;"ely",E99*F99*B99,IF(A99="x",E99*$F$101*B99,0))</f>
        <v>0</v>
      </c>
      <c r="H99" s="26">
        <f>IFERROR(G99/SUM($G$73,$G$100,$G$165),0)</f>
        <v>0</v>
      </c>
      <c r="I99" t="s">
        <v>970</v>
      </c>
      <c r="J99" s="10"/>
      <c r="L99" s="52"/>
    </row>
    <row r="100" spans="1:12" ht="16.5" customHeight="1" thickBot="1">
      <c r="A100" s="4">
        <f>COUNTIF(A77:A99,"x")</f>
        <v>20</v>
      </c>
      <c r="C100" s="2791" t="s">
        <v>980</v>
      </c>
      <c r="D100" s="2792"/>
      <c r="E100" s="2420">
        <f>SUM(E77:E99)</f>
        <v>0</v>
      </c>
      <c r="F100" s="1562">
        <f>IFERROR((E77*F77+E78*F78+E79*F79+E80*F80+E81*F81+E88*F88+E90*F90+E91*F91+E92*F92+E93*F93+E94*F94+E96*F96+E99*F99)/E100,0)</f>
        <v>0</v>
      </c>
      <c r="G100" s="2784">
        <f>SUM(G77:G99)</f>
        <v>0</v>
      </c>
      <c r="H100" s="26">
        <f>IFERROR(G100/SUM($G$73,$G$100,$G$165),0)</f>
        <v>0</v>
      </c>
      <c r="I100" t="s">
        <v>970</v>
      </c>
      <c r="J100" s="10"/>
      <c r="L100" s="52"/>
    </row>
    <row r="101" spans="1:12" ht="13.5" thickBot="1">
      <c r="B101" s="3"/>
      <c r="C101" s="2630" t="s">
        <v>981</v>
      </c>
      <c r="D101" s="2632"/>
      <c r="E101" s="2421">
        <f>SUMIF(A77:A99,"x",E77:E99)</f>
        <v>0</v>
      </c>
      <c r="F101" s="1563">
        <v>14</v>
      </c>
      <c r="G101" s="2785"/>
      <c r="H101" s="25"/>
      <c r="J101" s="10"/>
      <c r="L101" s="52"/>
    </row>
    <row r="102" spans="1:12" ht="18.75" thickBot="1">
      <c r="C102" s="558" t="s">
        <v>982</v>
      </c>
      <c r="D102" s="567"/>
      <c r="E102" s="567"/>
      <c r="F102" s="567"/>
      <c r="G102" s="1561">
        <f>G75-G100</f>
        <v>0</v>
      </c>
      <c r="H102" s="26" t="str">
        <f>IFERROR(G102/$G$39,"")</f>
        <v/>
      </c>
      <c r="I102" t="s">
        <v>969</v>
      </c>
      <c r="J102" s="10"/>
      <c r="L102" s="52"/>
    </row>
    <row r="103" spans="1:12" ht="13.5" thickBot="1">
      <c r="B103" s="1583"/>
      <c r="C103" s="1609" t="str">
        <f>IF(D169&lt;&gt;"",D169,"Peruslaskenta")</f>
        <v>Peruslaskenta</v>
      </c>
      <c r="G103" s="10"/>
      <c r="J103" s="10"/>
      <c r="L103" s="52"/>
    </row>
    <row r="104" spans="1:12" ht="13.5" thickBot="1">
      <c r="L104" s="52"/>
    </row>
    <row r="105" spans="1:12" ht="13.5" thickBot="1">
      <c r="C105" s="1028" t="s">
        <v>367</v>
      </c>
      <c r="H105" s="3" t="s">
        <v>983</v>
      </c>
      <c r="L105" s="52"/>
    </row>
    <row r="106" spans="1:12" ht="13.5" thickBot="1">
      <c r="C106" s="3" t="s">
        <v>984</v>
      </c>
      <c r="D106" s="1013" t="s">
        <v>985</v>
      </c>
      <c r="E106" s="1013" t="s">
        <v>232</v>
      </c>
      <c r="F106" s="1013" t="s">
        <v>28</v>
      </c>
      <c r="G106" s="10"/>
      <c r="H106" s="25" t="s">
        <v>986</v>
      </c>
      <c r="L106" s="52"/>
    </row>
    <row r="107" spans="1:12">
      <c r="A107" s="1251" t="s">
        <v>410</v>
      </c>
      <c r="B107" s="37">
        <v>1</v>
      </c>
      <c r="C107" s="80" t="str">
        <f>Lähtötiedot!A60</f>
        <v>kasvi</v>
      </c>
      <c r="D107" s="10">
        <f>IF($C$103&lt;&gt;"Ely",SUMIF(Konerekisteri!$E$29:$E$39,C107,Konerekisteri!$J$29:$J$39)*B107,SUMIFS(Konerekisteri!$T$29:$T$39,Konerekisteri!$E$29:$E$39,C107,$A$107:$A$117,A107)*B107)</f>
        <v>0</v>
      </c>
      <c r="E107" s="10">
        <f>IF($C$103&lt;&gt;"Ely",SUMIF(Rakennukset!$G$24:$G$34,C107,Rakennukset!$M$24:$M$34)*B107,SUMIFS(Rakennukset!$AC$24:$AC$34,Rakennukset!$G$24:$G$34,C107,$A$107:$A$117,A107)*B107)</f>
        <v>0</v>
      </c>
      <c r="F107" s="836">
        <f>IF($C$103&lt;&gt;"ely",SUMIF('Muut kustannustiedot'!$H$24:$H$34,C107,'Muut kustannustiedot'!$M$24:$M$34)*B107,SUMIFS('Muut kustannustiedot'!$AD$24:$AD$34,'Muut kustannustiedot'!$H$24:$H$34,C107,'Rakenna TULOSENNUSTE'!$A$107:$A$117,A107)*B107)</f>
        <v>0</v>
      </c>
      <c r="H107" s="2786">
        <f>E150</f>
        <v>0</v>
      </c>
      <c r="L107" s="52"/>
    </row>
    <row r="108" spans="1:12">
      <c r="A108" s="1251" t="s">
        <v>973</v>
      </c>
      <c r="B108" s="37">
        <v>1</v>
      </c>
      <c r="C108" s="80" t="str">
        <f>Lähtötiedot!A61</f>
        <v>nurmi</v>
      </c>
      <c r="D108" s="10">
        <f>IF($C$103&lt;&gt;"Ely",SUMIF(Konerekisteri!$E$29:$E$39,C108,Konerekisteri!$J$29:$J$39)*B108,SUMIFS(Konerekisteri!$T$29:$T$39,Konerekisteri!$E$29:$E$39,C108,$A$107:$A$117,A108)*B108)</f>
        <v>0</v>
      </c>
      <c r="E108" s="10">
        <f>IF($C$103&lt;&gt;"Ely",SUMIF(Rakennukset!$G$24:$G$34,C108,Rakennukset!$M$24:$M$34)*B108,SUMIFS(Rakennukset!$AC$24:$AC$34,Rakennukset!$G$24:$G$34,C108,$A$107:$A$117,A108)*B108)</f>
        <v>0</v>
      </c>
      <c r="F108" s="836">
        <f>IF($C$103&lt;&gt;"ely",SUMIF('Muut kustannustiedot'!$H$24:$H$34,C108,'Muut kustannustiedot'!$M$24:$M$34)*B108,SUMIFS('Muut kustannustiedot'!$AD$24:$AD$34,'Muut kustannustiedot'!$H$24:$H$34,C108,'Rakenna TULOSENNUSTE'!$A$107:$A$117,A108)*B108)</f>
        <v>0</v>
      </c>
      <c r="H108" s="2786"/>
      <c r="L108" s="52"/>
    </row>
    <row r="109" spans="1:12">
      <c r="A109" s="1251" t="s">
        <v>973</v>
      </c>
      <c r="B109" s="37">
        <v>1</v>
      </c>
      <c r="C109" s="80" t="str">
        <f>Lähtötiedot!A62</f>
        <v>eläin</v>
      </c>
      <c r="D109" s="10">
        <f>IF($C$103&lt;&gt;"Ely",SUMIF(Konerekisteri!$E$29:$E$39,C109,Konerekisteri!$J$29:$J$39)*B109,SUMIFS(Konerekisteri!$T$29:$T$39,Konerekisteri!$E$29:$E$39,C109,$A$107:$A$117,A109)*B109)</f>
        <v>0</v>
      </c>
      <c r="E109" s="10">
        <f>IF($C$103&lt;&gt;"Ely",SUMIF(Rakennukset!$G$24:$G$34,C109,Rakennukset!$M$24:$M$34)*B109,SUMIFS(Rakennukset!$AC$24:$AC$34,Rakennukset!$G$24:$G$34,C109,$A$107:$A$117,A109)*B109)</f>
        <v>0</v>
      </c>
      <c r="F109" s="836">
        <f>IF($C$103&lt;&gt;"ely",SUMIF('Muut kustannustiedot'!$H$24:$H$34,C109,'Muut kustannustiedot'!$M$24:$M$34)*B109,SUMIFS('Muut kustannustiedot'!$AD$24:$AD$34,'Muut kustannustiedot'!$H$24:$H$34,C109,'Rakenna TULOSENNUSTE'!$A$107:$A$117,A109)*B109)</f>
        <v>0</v>
      </c>
      <c r="H109" s="2786"/>
      <c r="L109" s="52"/>
    </row>
    <row r="110" spans="1:12">
      <c r="A110" s="1251" t="s">
        <v>973</v>
      </c>
      <c r="B110" s="37">
        <v>1</v>
      </c>
      <c r="C110" s="80" t="str">
        <f>Lähtötiedot!A63</f>
        <v>puutarha</v>
      </c>
      <c r="D110" s="10">
        <f>IF($C$103&lt;&gt;"Ely",SUMIF(Konerekisteri!$E$29:$E$39,C110,Konerekisteri!$J$29:$J$39)*B110,SUMIFS(Konerekisteri!$T$29:$T$39,Konerekisteri!$E$29:$E$39,C110,$A$107:$A$117,A110)*B110)</f>
        <v>0</v>
      </c>
      <c r="E110" s="10">
        <f>IF($C$103&lt;&gt;"Ely",SUMIF(Rakennukset!$G$24:$G$34,C110,Rakennukset!$M$24:$M$34)*B110,SUMIFS(Rakennukset!$AC$24:$AC$34,Rakennukset!$G$24:$G$34,C110,$A$107:$A$117,A110)*B110)</f>
        <v>0</v>
      </c>
      <c r="F110" s="836">
        <f>IF($C$103&lt;&gt;"ely",SUMIF('Muut kustannustiedot'!$H$24:$H$34,C110,'Muut kustannustiedot'!$M$24:$M$34)*B110,SUMIFS('Muut kustannustiedot'!$AD$24:$AD$34,'Muut kustannustiedot'!$H$24:$H$34,C110,'Rakenna TULOSENNUSTE'!$A$107:$A$117,A110)*B110)</f>
        <v>0</v>
      </c>
      <c r="H110" s="2786"/>
      <c r="L110" s="52"/>
    </row>
    <row r="111" spans="1:12">
      <c r="A111" s="1251" t="s">
        <v>973</v>
      </c>
      <c r="B111" s="37">
        <v>1</v>
      </c>
      <c r="C111" s="80" t="str">
        <f>Lähtötiedot!A64</f>
        <v>urakka</v>
      </c>
      <c r="D111" s="10">
        <f>IF($C$103&lt;&gt;"Ely",SUMIF(Konerekisteri!$E$29:$E$39,C111,Konerekisteri!$J$29:$J$39)*B111,SUMIFS(Konerekisteri!$T$29:$T$39,Konerekisteri!$E$29:$E$39,C111,$A$107:$A$117,A111)*B111)</f>
        <v>0</v>
      </c>
      <c r="E111" s="10">
        <f>IF($C$103&lt;&gt;"Ely",SUMIF(Rakennukset!$G$24:$G$34,C111,Rakennukset!$M$24:$M$34)*B111,SUMIFS(Rakennukset!$AC$24:$AC$34,Rakennukset!$G$24:$G$34,C111,$A$107:$A$117,A111)*B111)</f>
        <v>0</v>
      </c>
      <c r="F111" s="836">
        <f>IF($C$103&lt;&gt;"ely",SUMIF('Muut kustannustiedot'!$H$24:$H$34,C111,'Muut kustannustiedot'!$M$24:$M$34)*B111,SUMIFS('Muut kustannustiedot'!$AD$24:$AD$34,'Muut kustannustiedot'!$H$24:$H$34,C111,'Rakenna TULOSENNUSTE'!$A$107:$A$117,A111)*B111)</f>
        <v>0</v>
      </c>
      <c r="H111" s="2786"/>
      <c r="L111" s="52"/>
    </row>
    <row r="112" spans="1:12">
      <c r="A112" s="1251" t="s">
        <v>410</v>
      </c>
      <c r="B112" s="37">
        <v>1</v>
      </c>
      <c r="C112" s="80" t="str">
        <f>Lähtötiedot!A65</f>
        <v>jatkoja</v>
      </c>
      <c r="D112" s="10">
        <f>IF($C$103&lt;&gt;"Ely",SUMIF(Konerekisteri!$E$29:$E$39,C112,Konerekisteri!$J$29:$J$39)*B112,SUMIFS(Konerekisteri!$T$29:$T$39,Konerekisteri!$E$29:$E$39,C112,$A$107:$A$117,A112)*B112)</f>
        <v>0</v>
      </c>
      <c r="E112" s="10">
        <f>IF($C$103&lt;&gt;"Ely",SUMIF(Rakennukset!$G$24:$G$34,C112,Rakennukset!$M$24:$M$34)*B112,SUMIFS(Rakennukset!$AC$24:$AC$34,Rakennukset!$G$24:$G$34,C112,$A$107:$A$117,A112)*B112)</f>
        <v>0</v>
      </c>
      <c r="F112" s="836">
        <f>IF($C$103&lt;&gt;"ely",SUMIF('Muut kustannustiedot'!$H$24:$H$34,C112,'Muut kustannustiedot'!$M$24:$M$34)*B112,SUMIFS('Muut kustannustiedot'!$AD$24:$AD$34,'Muut kustannustiedot'!$H$24:$H$34,C112,'Rakenna TULOSENNUSTE'!$A$107:$A$117,A112)*B112)</f>
        <v>0</v>
      </c>
      <c r="H112" s="2786"/>
      <c r="I112" s="1722">
        <v>1</v>
      </c>
      <c r="L112" s="52"/>
    </row>
    <row r="113" spans="1:12">
      <c r="A113" s="1251"/>
      <c r="B113" s="37">
        <v>1</v>
      </c>
      <c r="C113" s="80" t="str">
        <f>Lähtötiedot!A66</f>
        <v>metsä</v>
      </c>
      <c r="D113" s="10">
        <f>IF($C$103&lt;&gt;"Ely",SUMIF(Konerekisteri!$E$29:$E$39,C113,Konerekisteri!$J$29:$J$39)*B113,SUMIFS(Konerekisteri!$T$29:$T$39,Konerekisteri!$E$29:$E$39,C113,$A$107:$A$117,A113)*B113)</f>
        <v>0</v>
      </c>
      <c r="E113" s="10">
        <f>IF($C$103&lt;&gt;"Ely",SUMIF(Rakennukset!$G$24:$G$34,C113,Rakennukset!$M$24:$M$34)*B113,SUMIFS(Rakennukset!$AC$24:$AC$34,Rakennukset!$G$24:$G$34,C113,$A$107:$A$117,A113)*B113)</f>
        <v>0</v>
      </c>
      <c r="F113" s="836">
        <f>IF($C$103&lt;&gt;"ely",SUMIF('Muut kustannustiedot'!$H$24:$H$34,C113,'Muut kustannustiedot'!$M$24:$M$34)*B113,SUMIFS('Muut kustannustiedot'!$AD$24:$AD$34,'Muut kustannustiedot'!$H$24:$H$34,C113,'Rakenna TULOSENNUSTE'!$A$107:$A$117,A113)*B113)</f>
        <v>0</v>
      </c>
      <c r="H113" s="2786"/>
      <c r="I113" s="52" t="s">
        <v>987</v>
      </c>
      <c r="L113" s="52"/>
    </row>
    <row r="114" spans="1:12">
      <c r="A114" s="1251"/>
      <c r="B114" s="37">
        <v>1</v>
      </c>
      <c r="C114" s="80" t="str">
        <f>Lähtötiedot!A67</f>
        <v>evl</v>
      </c>
      <c r="D114" s="10">
        <f>IF($C$103&lt;&gt;"Ely",SUMIF(Konerekisteri!$E$29:$E$39,C114,Konerekisteri!$J$29:$J$39)*B114,SUMIFS(Konerekisteri!$T$29:$T$39,Konerekisteri!$E$29:$E$39,C114,$A$107:$A$117,A114)*B114)</f>
        <v>0</v>
      </c>
      <c r="E114" s="10">
        <f>IF($C$103&lt;&gt;"Ely",SUMIF(Rakennukset!$G$24:$G$34,C114,Rakennukset!$M$24:$M$34)*B114,SUMIFS(Rakennukset!$AC$24:$AC$34,Rakennukset!$G$24:$G$34,C114,$A$107:$A$117,A114)*B114)</f>
        <v>0</v>
      </c>
      <c r="F114" s="836">
        <f>IF($C$103&lt;&gt;"ely",SUMIF('Muut kustannustiedot'!$H$24:$H$34,C114,'Muut kustannustiedot'!$M$24:$M$34)*B114,SUMIFS('Muut kustannustiedot'!$AD$24:$AD$34,'Muut kustannustiedot'!$H$24:$H$34,C114,'Rakenna TULOSENNUSTE'!$A$107:$A$117,A114)*B114)</f>
        <v>0</v>
      </c>
      <c r="H114" s="2786"/>
      <c r="I114" s="52" t="s">
        <v>988</v>
      </c>
      <c r="L114" s="52"/>
    </row>
    <row r="115" spans="1:12">
      <c r="A115" s="1251" t="s">
        <v>973</v>
      </c>
      <c r="B115" s="37">
        <v>1</v>
      </c>
      <c r="C115" s="80" t="str">
        <f>Lähtötiedot!A68</f>
        <v>mansikka</v>
      </c>
      <c r="D115" s="10">
        <f>IF($C$103&lt;&gt;"Ely",SUMIF(Konerekisteri!$E$29:$E$39,C115,Konerekisteri!$J$29:$J$39)*B115,SUMIFS(Konerekisteri!$T$29:$T$39,Konerekisteri!$E$29:$E$39,C115,$A$107:$A$117,A115)*B115)</f>
        <v>0</v>
      </c>
      <c r="E115" s="10">
        <f>IF($C$103&lt;&gt;"Ely",SUMIF(Rakennukset!$G$24:$G$34,C115,Rakennukset!$M$24:$M$34)*B115,SUMIFS(Rakennukset!$AC$24:$AC$34,Rakennukset!$G$24:$G$34,C115,$A$107:$A$117,A115)*B115)</f>
        <v>0</v>
      </c>
      <c r="F115" s="836">
        <f>IF($C$103&lt;&gt;"ely",SUMIF('Muut kustannustiedot'!$H$24:$H$34,C115,'Muut kustannustiedot'!$M$24:$M$34)*B115,SUMIFS('Muut kustannustiedot'!$AD$24:$AD$34,'Muut kustannustiedot'!$H$24:$H$34,C115,'Rakenna TULOSENNUSTE'!$A$107:$A$117,A115)*B115)</f>
        <v>0</v>
      </c>
      <c r="H115" s="2786"/>
      <c r="I115" s="52" t="s">
        <v>989</v>
      </c>
      <c r="L115" s="52"/>
    </row>
    <row r="116" spans="1:12">
      <c r="A116" s="1251" t="s">
        <v>973</v>
      </c>
      <c r="B116" s="37">
        <v>1</v>
      </c>
      <c r="C116" s="80" t="str">
        <f>Lähtötiedot!A69</f>
        <v>herukka</v>
      </c>
      <c r="D116" s="10">
        <f>IF($C$103&lt;&gt;"Ely",SUMIF(Konerekisteri!$E$29:$E$39,C116,Konerekisteri!$J$29:$J$39)*B116,SUMIFS(Konerekisteri!$T$29:$T$39,Konerekisteri!$E$29:$E$39,C116,$A$107:$A$117,A116)*B116)</f>
        <v>0</v>
      </c>
      <c r="E116" s="10">
        <f>IF($C$103&lt;&gt;"Ely",SUMIF(Rakennukset!$G$24:$G$34,C116,Rakennukset!$M$24:$M$34)*B116,SUMIFS(Rakennukset!$AC$24:$AC$34,Rakennukset!$G$24:$G$34,C116,$A$107:$A$117,A116)*B116)</f>
        <v>0</v>
      </c>
      <c r="F116" s="836">
        <f>IF($C$103&lt;&gt;"ely",SUMIF('Muut kustannustiedot'!$H$24:$H$34,C116,'Muut kustannustiedot'!$M$24:$M$34)*B116,SUMIFS('Muut kustannustiedot'!$AD$24:$AD$34,'Muut kustannustiedot'!$H$24:$H$34,C116,'Rakenna TULOSENNUSTE'!$A$107:$A$117,A116)*B116)</f>
        <v>0</v>
      </c>
      <c r="H116" s="2786"/>
      <c r="I116" s="52" t="s">
        <v>990</v>
      </c>
      <c r="L116" s="52"/>
    </row>
    <row r="117" spans="1:12" ht="13.5" thickBot="1">
      <c r="A117" s="1593" t="s">
        <v>973</v>
      </c>
      <c r="B117" s="37">
        <v>1</v>
      </c>
      <c r="C117" s="80" t="str">
        <f>Lähtötiedot!A70</f>
        <v>öljykasvit</v>
      </c>
      <c r="D117" s="10">
        <f>IF($C$103&lt;&gt;"Ely",SUMIF(Konerekisteri!$E$29:$E$39,C117,Konerekisteri!$J$29:$J$39)*B117,SUMIFS(Konerekisteri!$T$29:$T$39,Konerekisteri!$E$29:$E$39,C117,$A$107:$A$117,A117)*B117)</f>
        <v>0</v>
      </c>
      <c r="E117" s="10">
        <f>IF($C$103&lt;&gt;"Ely",SUMIF(Rakennukset!$G$24:$G$34,C117,Rakennukset!$M$24:$M$34)*B117,SUMIFS(Rakennukset!$AC$24:$AC$34,Rakennukset!$G$24:$G$34,C117,$A$107:$A$117,A117)*B117)</f>
        <v>0</v>
      </c>
      <c r="F117" s="836">
        <f>IF($C$103&lt;&gt;"ely",SUMIF('Muut kustannustiedot'!$H$24:$H$34,C117,'Muut kustannustiedot'!$M$24:$M$34)*B117,SUMIFS('Muut kustannustiedot'!$AD$24:$AD$34,'Muut kustannustiedot'!$H$24:$H$34,C117,'Rakenna TULOSENNUSTE'!$A$107:$A$117,A117)*B117)</f>
        <v>0</v>
      </c>
      <c r="H117" s="2786"/>
      <c r="L117" s="52"/>
    </row>
    <row r="118" spans="1:12" ht="16.5" thickBot="1">
      <c r="A118" s="1594">
        <f>COUNTIF(A107:A117,"x")</f>
        <v>9</v>
      </c>
      <c r="B118" s="1404">
        <v>1</v>
      </c>
      <c r="C118" s="1992" t="s">
        <v>991</v>
      </c>
      <c r="D118" s="1724">
        <f>SUM(D107:D117)</f>
        <v>0</v>
      </c>
      <c r="E118" s="1725">
        <f>SUM(E107:E117)</f>
        <v>0</v>
      </c>
      <c r="F118" s="1725">
        <f>SUM(F107:F117)</f>
        <v>0</v>
      </c>
      <c r="G118" s="1074">
        <f>IF(Ely="ely",SUM(D118:F118)*B118,IF(I112=3,SUM(D118:F118)*B118,IF(AND(I112=2,H107&gt;0),H107,IF(AND(I112=1,H107&gt;SUM(D118:F118)*B118),H107,SUM(D118:F118)*B118))))</f>
        <v>0</v>
      </c>
      <c r="H118" s="1155" t="str">
        <f>IFERROR(G118/SUM($G$73,$G$100,$G$165),"")</f>
        <v/>
      </c>
      <c r="I118" t="s">
        <v>978</v>
      </c>
      <c r="L118" s="836"/>
    </row>
    <row r="119" spans="1:12" ht="13.5" thickBot="1">
      <c r="D119" s="1571"/>
      <c r="E119" s="1726">
        <f>SUM(D118:F118)*B118</f>
        <v>0</v>
      </c>
      <c r="F119" s="1723"/>
      <c r="L119" s="52"/>
    </row>
    <row r="120" spans="1:12">
      <c r="C120" s="214" t="s">
        <v>992</v>
      </c>
      <c r="D120" s="521" t="str">
        <f>D106</f>
        <v>Koneista</v>
      </c>
      <c r="E120" s="1427" t="str">
        <f>E106</f>
        <v>Rakennukset</v>
      </c>
      <c r="F120" s="1427" t="str">
        <f>F106</f>
        <v>Muut</v>
      </c>
      <c r="H120" s="2786">
        <f>E155</f>
        <v>0</v>
      </c>
      <c r="L120" s="52"/>
    </row>
    <row r="121" spans="1:12">
      <c r="A121" s="1251" t="str">
        <f t="shared" ref="A121:A131" si="27">IF(A107&lt;&gt;"",A107,"")</f>
        <v>x</v>
      </c>
      <c r="B121" s="37">
        <v>1</v>
      </c>
      <c r="C121" t="str">
        <f t="shared" ref="C121:C131" si="28">C107</f>
        <v>kasvi</v>
      </c>
      <c r="D121" s="10">
        <f>IF($C$103&lt;&gt;"Ely",SUMIF(Konerekisteri!$E$29:$E$39,C121,Konerekisteri!$K$29:$K$39),SUMIF(Konerekisteri!$E$29:$E$39,C121,Konerekisteri!$W$29:$W$39)*B121)</f>
        <v>0</v>
      </c>
      <c r="E121" s="10">
        <f>IF($C$103&lt;&gt;"Ely",SUMIF(Rakennukset!$G$24:$G$34,C121,Rakennukset!$Q$24:$Q$34)*B121,SUMIF(Rakennukset!$G$24:$G$34,C121,Rakennukset!$AF$24:$AF$34)*B121)</f>
        <v>0</v>
      </c>
      <c r="F121" s="836">
        <f>IF($C$103&lt;&gt;"ely",SUMIF('Muut kustannustiedot'!$H$24:$H$34,C121,'Muut kustannustiedot'!$Q$24:$Q$34)*B121,SUMIFS('Muut kustannustiedot'!$AG$24:$AG$34,'Muut kustannustiedot'!$H$24:$H$34,C121,$A$121:$A$131,A121)*B121)</f>
        <v>0</v>
      </c>
      <c r="H121" s="2786"/>
      <c r="L121" s="52"/>
    </row>
    <row r="122" spans="1:12">
      <c r="A122" s="1251" t="str">
        <f t="shared" si="27"/>
        <v>X</v>
      </c>
      <c r="B122" s="37">
        <v>1</v>
      </c>
      <c r="C122" t="str">
        <f t="shared" si="28"/>
        <v>nurmi</v>
      </c>
      <c r="D122" s="10">
        <f>IF($C$103&lt;&gt;"Ely",SUMIF(Konerekisteri!$E$29:$E$39,C122,Konerekisteri!$K$29:$K$39),SUMIF(Konerekisteri!$E$29:$E$39,C122,Konerekisteri!$W$29:$W$39)*B122)</f>
        <v>0</v>
      </c>
      <c r="E122" s="10">
        <f>IF($C$103&lt;&gt;"Ely",SUMIF(Rakennukset!$G$24:$G$34,C122,Rakennukset!$Q$24:$Q$34)*B122,SUMIF(Rakennukset!$G$24:$G$34,C122,Rakennukset!$AF$24:$AF$34)*B122)</f>
        <v>0</v>
      </c>
      <c r="F122" s="836">
        <f>IF($C$103&lt;&gt;"ely",SUMIF('Muut kustannustiedot'!$H$24:$H$34,C122,'Muut kustannustiedot'!$Q$24:$Q$34)*B122,SUMIFS('Muut kustannustiedot'!$AG$24:$AG$34,'Muut kustannustiedot'!$H$24:$H$34,C122,$A$121:$A$131,A122)*B122)</f>
        <v>0</v>
      </c>
      <c r="H122" s="2786"/>
      <c r="L122" s="52"/>
    </row>
    <row r="123" spans="1:12">
      <c r="A123" s="1251" t="str">
        <f t="shared" si="27"/>
        <v>X</v>
      </c>
      <c r="B123" s="37">
        <v>1</v>
      </c>
      <c r="C123" t="str">
        <f t="shared" si="28"/>
        <v>eläin</v>
      </c>
      <c r="D123" s="10">
        <f>IF($C$103&lt;&gt;"Ely",SUMIF(Konerekisteri!$E$29:$E$39,C123,Konerekisteri!$K$29:$K$39),SUMIF(Konerekisteri!$E$29:$E$39,C123,Konerekisteri!$W$29:$W$39)*B123)</f>
        <v>0</v>
      </c>
      <c r="E123" s="10">
        <f>IF($C$103&lt;&gt;"Ely",SUMIF(Rakennukset!$G$24:$G$34,C123,Rakennukset!$Q$24:$Q$34)*B123,SUMIF(Rakennukset!$G$24:$G$34,C123,Rakennukset!$AF$24:$AF$34)*B123)</f>
        <v>0</v>
      </c>
      <c r="F123" s="836">
        <f>IF($C$103&lt;&gt;"ely",SUMIF('Muut kustannustiedot'!$H$24:$H$34,C123,'Muut kustannustiedot'!$Q$24:$Q$34)*B123,SUMIFS('Muut kustannustiedot'!$AG$24:$AG$34,'Muut kustannustiedot'!$H$24:$H$34,C123,$A$121:$A$131,A123)*B123)</f>
        <v>0</v>
      </c>
      <c r="H123" s="2786"/>
      <c r="L123" s="52"/>
    </row>
    <row r="124" spans="1:12">
      <c r="A124" s="1251" t="str">
        <f t="shared" si="27"/>
        <v>X</v>
      </c>
      <c r="B124" s="37">
        <v>1</v>
      </c>
      <c r="C124" t="str">
        <f t="shared" si="28"/>
        <v>puutarha</v>
      </c>
      <c r="D124" s="10">
        <f>IF($C$103&lt;&gt;"Ely",SUMIF(Konerekisteri!$E$29:$E$39,C124,Konerekisteri!$K$29:$K$39),SUMIF(Konerekisteri!$E$29:$E$39,C124,Konerekisteri!$W$29:$W$39)*B124)</f>
        <v>0</v>
      </c>
      <c r="E124" s="10">
        <f>IF($C$103&lt;&gt;"Ely",SUMIF(Rakennukset!$G$24:$G$34,C124,Rakennukset!$Q$24:$Q$34)*B124,SUMIF(Rakennukset!$G$24:$G$34,C124,Rakennukset!$AF$24:$AF$34)*B124)</f>
        <v>0</v>
      </c>
      <c r="F124" s="836">
        <f>IF($C$103&lt;&gt;"ely",SUMIF('Muut kustannustiedot'!$H$24:$H$34,C124,'Muut kustannustiedot'!$Q$24:$Q$34)*B124,SUMIFS('Muut kustannustiedot'!$AG$24:$AG$34,'Muut kustannustiedot'!$H$24:$H$34,C124,$A$121:$A$131,A124)*B124)</f>
        <v>0</v>
      </c>
      <c r="H124" s="2786"/>
      <c r="L124" s="52"/>
    </row>
    <row r="125" spans="1:12">
      <c r="A125" s="1251" t="str">
        <f t="shared" si="27"/>
        <v>X</v>
      </c>
      <c r="B125" s="37">
        <v>1</v>
      </c>
      <c r="C125" t="str">
        <f t="shared" si="28"/>
        <v>urakka</v>
      </c>
      <c r="D125" s="10">
        <f>IF($C$103&lt;&gt;"Ely",SUMIF(Konerekisteri!$E$29:$E$39,C125,Konerekisteri!$K$29:$K$39),SUMIF(Konerekisteri!$E$29:$E$39,C125,Konerekisteri!$W$29:$W$39)*B125)</f>
        <v>0</v>
      </c>
      <c r="E125" s="10">
        <f>IF($C$103&lt;&gt;"Ely",SUMIF(Rakennukset!$G$24:$G$34,C125,Rakennukset!$Q$24:$Q$34)*B125,SUMIF(Rakennukset!$G$24:$G$34,C125,Rakennukset!$AF$24:$AF$34)*B125)</f>
        <v>0</v>
      </c>
      <c r="F125" s="836">
        <f>IF($C$103&lt;&gt;"ely",SUMIF('Muut kustannustiedot'!$H$24:$H$34,C125,'Muut kustannustiedot'!$Q$24:$Q$34)*B125,SUMIFS('Muut kustannustiedot'!$AG$24:$AG$34,'Muut kustannustiedot'!$H$24:$H$34,C125,$A$121:$A$131,A125)*B125)</f>
        <v>0</v>
      </c>
      <c r="G125" s="10"/>
      <c r="H125" s="2786"/>
      <c r="I125" s="1722">
        <v>1</v>
      </c>
      <c r="L125" s="52"/>
    </row>
    <row r="126" spans="1:12">
      <c r="A126" s="1251" t="str">
        <f t="shared" si="27"/>
        <v>x</v>
      </c>
      <c r="B126" s="37">
        <v>1</v>
      </c>
      <c r="C126" t="str">
        <f t="shared" si="28"/>
        <v>jatkoja</v>
      </c>
      <c r="D126" s="10">
        <f>IF($C$103&lt;&gt;"Ely",SUMIF(Konerekisteri!$E$29:$E$39,C126,Konerekisteri!$K$29:$K$39),SUMIF(Konerekisteri!$E$29:$E$39,C126,Konerekisteri!$W$29:$W$39)*B126)</f>
        <v>0</v>
      </c>
      <c r="E126" s="10">
        <f>IF($C$103&lt;&gt;"Ely",SUMIF(Rakennukset!$G$24:$G$34,C126,Rakennukset!$Q$24:$Q$34)*B126,SUMIF(Rakennukset!$G$24:$G$34,C126,Rakennukset!$AF$24:$AF$34)*B126)</f>
        <v>0</v>
      </c>
      <c r="F126" s="836">
        <f>IF($C$103&lt;&gt;"ely",SUMIF('Muut kustannustiedot'!$H$24:$H$34,C126,'Muut kustannustiedot'!$Q$24:$Q$34)*B126,SUMIFS('Muut kustannustiedot'!$AG$24:$AG$34,'Muut kustannustiedot'!$H$24:$H$34,C126,$A$121:$A$131,A126)*B126)</f>
        <v>0</v>
      </c>
      <c r="G126" s="10"/>
      <c r="H126" s="2786"/>
      <c r="I126" s="52" t="s">
        <v>993</v>
      </c>
      <c r="L126" s="52"/>
    </row>
    <row r="127" spans="1:12">
      <c r="A127" s="1251" t="str">
        <f>IF(A113&lt;&gt;"",A113,"")</f>
        <v/>
      </c>
      <c r="B127" s="37">
        <v>1</v>
      </c>
      <c r="C127" t="str">
        <f t="shared" si="28"/>
        <v>metsä</v>
      </c>
      <c r="D127" s="10">
        <f>IF($C$103&lt;&gt;"Ely",SUMIF(Konerekisteri!$E$29:$E$39,C127,Konerekisteri!$K$29:$K$39),SUMIF(Konerekisteri!$E$29:$E$39,C127,Konerekisteri!$W$29:$W$39)*B127)</f>
        <v>0</v>
      </c>
      <c r="E127" s="10">
        <f>IF($C$103&lt;&gt;"Ely",SUMIF(Rakennukset!$G$24:$G$34,C127,Rakennukset!$Q$24:$Q$34)*B127,SUMIF(Rakennukset!$G$24:$G$34,C127,Rakennukset!$AF$24:$AF$34)*B127)</f>
        <v>0</v>
      </c>
      <c r="F127" s="836">
        <f>IF($C$103&lt;&gt;"ely",SUMIF('Muut kustannustiedot'!$H$24:$H$34,C127,'Muut kustannustiedot'!$Q$24:$Q$34)*B127,SUMIFS('Muut kustannustiedot'!$AG$24:$AG$34,'Muut kustannustiedot'!$H$24:$H$34,C127,$A$121:$A$131,A127)*B127)</f>
        <v>0</v>
      </c>
      <c r="G127" s="10"/>
      <c r="H127" s="2786"/>
      <c r="I127" s="52" t="s">
        <v>994</v>
      </c>
      <c r="L127" s="52"/>
    </row>
    <row r="128" spans="1:12">
      <c r="A128" s="1251" t="str">
        <f t="shared" si="27"/>
        <v/>
      </c>
      <c r="B128" s="37">
        <v>1</v>
      </c>
      <c r="C128" s="59" t="str">
        <f t="shared" si="28"/>
        <v>evl</v>
      </c>
      <c r="D128" s="10">
        <f>IF($C$103&lt;&gt;"Ely",SUMIF(Konerekisteri!$E$29:$E$39,C128,Konerekisteri!$K$29:$K$39),SUMIF(Konerekisteri!$E$29:$E$39,C128,Konerekisteri!$W$29:$W$39)*B128)</f>
        <v>0</v>
      </c>
      <c r="E128" s="10">
        <f>IF($C$103&lt;&gt;"Ely",SUMIF(Rakennukset!$G$24:$G$34,C128,Rakennukset!$Q$24:$Q$34)*B128,SUMIF(Rakennukset!$G$24:$G$34,C128,Rakennukset!$AF$24:$AF$34)*B128)</f>
        <v>0</v>
      </c>
      <c r="F128" s="836">
        <f>IF($C$103&lt;&gt;"ely",SUMIF('Muut kustannustiedot'!$H$24:$H$34,C128,'Muut kustannustiedot'!$Q$24:$Q$34)*B128,SUMIFS('Muut kustannustiedot'!$AG$24:$AG$34,'Muut kustannustiedot'!$H$24:$H$34,C128,$A$121:$A$131,A128)*B128)</f>
        <v>0</v>
      </c>
      <c r="G128" s="10"/>
      <c r="H128" s="2786"/>
      <c r="I128" s="52" t="s">
        <v>995</v>
      </c>
      <c r="L128" s="52"/>
    </row>
    <row r="129" spans="1:12">
      <c r="A129" s="1251" t="str">
        <f t="shared" si="27"/>
        <v>X</v>
      </c>
      <c r="B129" s="37">
        <v>1</v>
      </c>
      <c r="C129" s="59" t="str">
        <f t="shared" si="28"/>
        <v>mansikka</v>
      </c>
      <c r="D129" s="10">
        <f>IF($C$103&lt;&gt;"Ely",SUMIF(Konerekisteri!$E$29:$E$39,C129,Konerekisteri!$K$29:$K$39),SUMIF(Konerekisteri!$E$29:$E$39,C129,Konerekisteri!$W$29:$W$39)*B129)</f>
        <v>0</v>
      </c>
      <c r="E129" s="10">
        <f>IF($C$103&lt;&gt;"Ely",SUMIF(Rakennukset!$G$24:$G$34,C129,Rakennukset!$Q$24:$Q$34)*B129,SUMIF(Rakennukset!$G$24:$G$34,C129,Rakennukset!$AF$24:$AF$34)*B129)</f>
        <v>0</v>
      </c>
      <c r="F129" s="836">
        <f>IF($C$103&lt;&gt;"ely",SUMIF('Muut kustannustiedot'!$H$24:$H$34,C129,'Muut kustannustiedot'!$Q$24:$Q$34)*B129,SUMIFS('Muut kustannustiedot'!$AG$24:$AG$34,'Muut kustannustiedot'!$H$24:$H$34,C129,$A$121:$A$131,A129)*B129)</f>
        <v>0</v>
      </c>
      <c r="G129" s="10"/>
      <c r="H129" s="2786"/>
      <c r="I129" s="52" t="s">
        <v>996</v>
      </c>
      <c r="L129" s="52"/>
    </row>
    <row r="130" spans="1:12">
      <c r="A130" s="1251" t="str">
        <f t="shared" si="27"/>
        <v>X</v>
      </c>
      <c r="B130" s="37">
        <v>1</v>
      </c>
      <c r="C130" s="59" t="str">
        <f t="shared" si="28"/>
        <v>herukka</v>
      </c>
      <c r="D130" s="10">
        <f>IF($C$103&lt;&gt;"Ely",SUMIF(Konerekisteri!$E$29:$E$39,C130,Konerekisteri!$K$29:$K$39),SUMIF(Konerekisteri!$E$29:$E$39,C130,Konerekisteri!$W$29:$W$39)*B130)</f>
        <v>0</v>
      </c>
      <c r="E130" s="10">
        <f>IF($C$103&lt;&gt;"Ely",SUMIF(Rakennukset!$G$24:$G$34,C130,Rakennukset!$Q$24:$Q$34)*B130,SUMIF(Rakennukset!$G$24:$G$34,C130,Rakennukset!$AF$24:$AF$34)*B130)</f>
        <v>0</v>
      </c>
      <c r="F130" s="836">
        <f>IF($C$103&lt;&gt;"ely",SUMIF('Muut kustannustiedot'!$H$24:$H$34,C130,'Muut kustannustiedot'!$Q$24:$Q$34)*B130,SUMIFS('Muut kustannustiedot'!$AG$24:$AG$34,'Muut kustannustiedot'!$H$24:$H$34,C130,$A$121:$A$131,A130)*B130)</f>
        <v>0</v>
      </c>
      <c r="G130" s="10"/>
      <c r="H130" s="2786"/>
      <c r="I130" s="52" t="s">
        <v>990</v>
      </c>
      <c r="L130" s="52"/>
    </row>
    <row r="131" spans="1:12" ht="13.5" thickBot="1">
      <c r="A131" s="1251" t="str">
        <f t="shared" si="27"/>
        <v>X</v>
      </c>
      <c r="B131" s="37">
        <v>1</v>
      </c>
      <c r="C131" s="59" t="str">
        <f t="shared" si="28"/>
        <v>öljykasvit</v>
      </c>
      <c r="D131" s="10">
        <f>IF($C$103&lt;&gt;"Ely",SUMIF(Konerekisteri!$E$29:$E$39,C131,Konerekisteri!$K$29:$K$39),SUMIF(Konerekisteri!$E$29:$E$39,C131,Konerekisteri!$W$29:$W$39)*B131)</f>
        <v>0</v>
      </c>
      <c r="E131" s="10">
        <f>IF($C$103&lt;&gt;"Ely",SUMIF(Rakennukset!$G$24:$G$34,C131,Rakennukset!$Q$24:$Q$34)*B131,SUMIF(Rakennukset!$G$24:$G$34,C131,Rakennukset!$AF$24:$AF$34)*B131)</f>
        <v>0</v>
      </c>
      <c r="F131" s="836">
        <f>IF($C$103&lt;&gt;"ely",SUMIF('Muut kustannustiedot'!$H$24:$H$34,C131,'Muut kustannustiedot'!$Q$24:$Q$34)*B131,SUMIFS('Muut kustannustiedot'!$AG$24:$AG$34,'Muut kustannustiedot'!$H$24:$H$34,C131,$A$121:$A$131,A131)*B131)</f>
        <v>0</v>
      </c>
      <c r="G131" s="10"/>
      <c r="H131" s="2786"/>
      <c r="L131" s="52"/>
    </row>
    <row r="132" spans="1:12" ht="16.5" thickBot="1">
      <c r="A132" s="1594">
        <f>COUNTIF(A121:A131,"x")</f>
        <v>9</v>
      </c>
      <c r="B132" s="1404">
        <v>1</v>
      </c>
      <c r="C132" s="3" t="s">
        <v>997</v>
      </c>
      <c r="D132" s="1474">
        <f>SUM(D121:D131)</f>
        <v>0</v>
      </c>
      <c r="E132" s="1729">
        <f>SUM(E121:E131)</f>
        <v>0</v>
      </c>
      <c r="F132" s="1729">
        <f>SUM(F121:F131)</f>
        <v>0</v>
      </c>
      <c r="G132" s="1074">
        <f>IF(Ely="ely",SUM(D132:F132)*B132,IF(I125=3,SUM(D132:F132)*B132,IF(AND(I125=2,korkosummavertailu&gt;0),korkosummavertailu-G155,IF(AND(I125=1,korkosummavertailu&gt;SUM(D132:F132)*B132),korkosummavertailu-G155,SUM(D132:F132)*B132-G155))))</f>
        <v>0</v>
      </c>
      <c r="H132" s="1155" t="str">
        <f>IFERROR(G132/SUM($G$73,$G$100,$G$165),"")</f>
        <v/>
      </c>
      <c r="I132" t="s">
        <v>978</v>
      </c>
      <c r="L132" s="52"/>
    </row>
    <row r="133" spans="1:12">
      <c r="C133" s="3"/>
      <c r="D133" s="868"/>
      <c r="E133" s="1730">
        <f>SUM(D132:F132)*B132</f>
        <v>0</v>
      </c>
      <c r="F133" s="1731"/>
      <c r="G133" s="9"/>
      <c r="H133" s="26"/>
      <c r="L133" s="52"/>
    </row>
    <row r="134" spans="1:12">
      <c r="C134" s="2" t="s">
        <v>769</v>
      </c>
      <c r="D134" s="9" t="str">
        <f>D120</f>
        <v>Koneista</v>
      </c>
      <c r="E134" s="1014" t="str">
        <f>E120</f>
        <v>Rakennukset</v>
      </c>
      <c r="F134" s="3" t="s">
        <v>998</v>
      </c>
      <c r="G134" s="9"/>
      <c r="H134" s="26"/>
      <c r="L134" s="52"/>
    </row>
    <row r="135" spans="1:12">
      <c r="A135" s="1251" t="str">
        <f>IF(A107&lt;&gt;"",A107,"")</f>
        <v>x</v>
      </c>
      <c r="B135" s="37">
        <v>1</v>
      </c>
      <c r="C135" t="str">
        <f t="shared" ref="C135:C145" si="29">C121</f>
        <v>kasvi</v>
      </c>
      <c r="D135" s="10">
        <f>IF($C$103&lt;&gt;"Ely",SUMIF(Konerekisteri!$E$29:$E$39,C135,Konerekisteri!$L$29:$L$39))*B135</f>
        <v>0</v>
      </c>
      <c r="E135" s="10">
        <f>IF($C$103&lt;&gt;"Ely",SUMIF(Rakennukset!$G$24:$G$34,C135,Rakennukset!$W$24:$W$34)*B135,SUMIFS(Rakennukset!$W$24:$W$34,Rakennukset!$G$24:$G$34,C135,$A$135:$A$145,"x")*B135)</f>
        <v>0</v>
      </c>
      <c r="F135" s="836">
        <f>IF($C$103&lt;&gt;"ely",SUMIF('Muut kustannustiedot'!$H$24:$H$34,C135,'Muut kustannustiedot'!$W$24:$W$34)*B135,SUMIFS('Muut kustannustiedot'!$W$24:$W$34,'Muut kustannustiedot'!$H$24:$H$34,C135,$A$135:$A$145,A135)*B135)+SUMIFS(Lähtötiedot!$G$60:$G$70,Lähtötiedot!$A$60:$A$70,C135)*B135</f>
        <v>0</v>
      </c>
      <c r="G135" s="10"/>
      <c r="H135" s="26"/>
      <c r="K135" s="977">
        <f>$K$3</f>
        <v>0.255</v>
      </c>
      <c r="L135" s="1138">
        <f>SUM(D135:F135)*K135</f>
        <v>0</v>
      </c>
    </row>
    <row r="136" spans="1:12">
      <c r="A136" s="1251" t="str">
        <f t="shared" ref="A136:A145" si="30">IF(A108&lt;&gt;"",A108,"")</f>
        <v>X</v>
      </c>
      <c r="B136" s="37">
        <v>1</v>
      </c>
      <c r="C136" t="str">
        <f t="shared" si="29"/>
        <v>nurmi</v>
      </c>
      <c r="D136" s="10">
        <f>IF($C$103&lt;&gt;"Ely",SUMIF(Konerekisteri!$E$29:$E$39,C136,Konerekisteri!$L$29:$L$39))*B136</f>
        <v>0</v>
      </c>
      <c r="E136" s="10">
        <f>IF($C$103&lt;&gt;"Ely",SUMIF(Rakennukset!$G$24:$G$34,C136,Rakennukset!$W$24:$W$34)*B136,SUMIFS(Rakennukset!$W$24:$W$34,Rakennukset!$G$24:$G$34,C136,$A$135:$A$145,"x")*B136)</f>
        <v>0</v>
      </c>
      <c r="F136" s="836">
        <f>IF($C$103&lt;&gt;"ely",SUMIF('Muut kustannustiedot'!$H$24:$H$34,C136,'Muut kustannustiedot'!$W$24:$W$34)*B136,SUMIFS('Muut kustannustiedot'!$W$24:$W$34,'Muut kustannustiedot'!$H$24:$H$34,C136,$A$135:$A$145,A136)*B136)+SUMIFS(Lähtötiedot!$G$60:$G$70,Lähtötiedot!$A$60:$A$70,C136)*B136</f>
        <v>0</v>
      </c>
      <c r="G136" s="10"/>
      <c r="H136" s="26"/>
      <c r="K136" s="977">
        <f>$K$3</f>
        <v>0.255</v>
      </c>
      <c r="L136" s="1139"/>
    </row>
    <row r="137" spans="1:12">
      <c r="A137" s="1251" t="str">
        <f t="shared" si="30"/>
        <v>X</v>
      </c>
      <c r="B137" s="37">
        <v>1</v>
      </c>
      <c r="C137" t="str">
        <f t="shared" si="29"/>
        <v>eläin</v>
      </c>
      <c r="D137" s="10">
        <f>IF($C$103&lt;&gt;"Ely",SUMIF(Konerekisteri!$E$29:$E$39,C137,Konerekisteri!$L$29:$L$39))*B137</f>
        <v>0</v>
      </c>
      <c r="E137" s="10">
        <f>IF($C$103&lt;&gt;"Ely",SUMIF(Rakennukset!$G$24:$G$34,C137,Rakennukset!$W$24:$W$34)*B137,SUMIFS(Rakennukset!$W$24:$W$34,Rakennukset!$G$24:$G$34,C137,$A$135:$A$145,"x")*B137)</f>
        <v>0</v>
      </c>
      <c r="F137" s="836">
        <f>IF($C$103&lt;&gt;"ely",SUMIF('Muut kustannustiedot'!$H$24:$H$34,C137,'Muut kustannustiedot'!$W$24:$W$34)*B137,SUMIFS('Muut kustannustiedot'!$W$24:$W$34,'Muut kustannustiedot'!$H$24:$H$34,C137,$A$135:$A$145,A137)*B137)+SUMIFS(Lähtötiedot!$G$60:$G$70,Lähtötiedot!$A$60:$A$70,C137)*B137</f>
        <v>0</v>
      </c>
      <c r="G137" s="10"/>
      <c r="H137" s="26"/>
      <c r="K137" s="977">
        <f t="shared" ref="K137:K145" si="31">$K$3</f>
        <v>0.255</v>
      </c>
      <c r="L137" s="1138">
        <f t="shared" ref="L137:L140" si="32">SUM(D137:F137)*K137</f>
        <v>0</v>
      </c>
    </row>
    <row r="138" spans="1:12">
      <c r="A138" s="1251" t="str">
        <f t="shared" si="30"/>
        <v>X</v>
      </c>
      <c r="B138" s="37">
        <v>1</v>
      </c>
      <c r="C138" t="str">
        <f t="shared" si="29"/>
        <v>puutarha</v>
      </c>
      <c r="D138" s="10">
        <f>IF($C$103&lt;&gt;"Ely",SUMIF(Konerekisteri!$E$29:$E$39,C138,Konerekisteri!$L$29:$L$39))*B138</f>
        <v>0</v>
      </c>
      <c r="E138" s="10">
        <f>IF($C$103&lt;&gt;"Ely",SUMIF(Rakennukset!$G$24:$G$34,C138,Rakennukset!$W$24:$W$34)*B138,SUMIFS(Rakennukset!$W$24:$W$34,Rakennukset!$G$24:$G$34,C138,$A$135:$A$145,"x")*B138)</f>
        <v>0</v>
      </c>
      <c r="F138" s="836">
        <f>IF($C$103&lt;&gt;"ely",SUMIF('Muut kustannustiedot'!$H$24:$H$34,C138,'Muut kustannustiedot'!$W$24:$W$34)*B138,SUMIFS('Muut kustannustiedot'!$W$24:$W$34,'Muut kustannustiedot'!$H$24:$H$34,C138,$A$135:$A$145,A138)*B138)+SUMIFS(Lähtötiedot!$G$60:$G$70,Lähtötiedot!$A$60:$A$70,C138)*B138</f>
        <v>0</v>
      </c>
      <c r="G138" s="10"/>
      <c r="H138" s="26"/>
      <c r="K138" s="977">
        <f t="shared" si="31"/>
        <v>0.255</v>
      </c>
      <c r="L138" s="1138">
        <f t="shared" si="32"/>
        <v>0</v>
      </c>
    </row>
    <row r="139" spans="1:12">
      <c r="A139" s="1251" t="str">
        <f t="shared" si="30"/>
        <v>X</v>
      </c>
      <c r="B139" s="37">
        <v>1</v>
      </c>
      <c r="C139" t="str">
        <f t="shared" si="29"/>
        <v>urakka</v>
      </c>
      <c r="D139" s="10">
        <f>IF($C$103&lt;&gt;"Ely",SUMIF(Konerekisteri!$E$29:$E$39,C139,Konerekisteri!$L$29:$L$39))*B139</f>
        <v>0</v>
      </c>
      <c r="E139" s="10">
        <f>IF($C$103&lt;&gt;"Ely",SUMIF(Rakennukset!$G$24:$G$34,C139,Rakennukset!$W$24:$W$34)*B139,SUMIFS(Rakennukset!$W$24:$W$34,Rakennukset!$G$24:$G$34,C139,$A$135:$A$145,"x")*B139)</f>
        <v>0</v>
      </c>
      <c r="F139" s="836">
        <f>IF($C$103&lt;&gt;"ely",SUMIF('Muut kustannustiedot'!$H$24:$H$34,C139,'Muut kustannustiedot'!$W$24:$W$34)*B139,SUMIFS('Muut kustannustiedot'!$W$24:$W$34,'Muut kustannustiedot'!$H$24:$H$34,C139,$A$135:$A$145,A139)*B139)+SUMIFS(Lähtötiedot!$G$60:$G$70,Lähtötiedot!$A$60:$A$70,C139)*B139</f>
        <v>0</v>
      </c>
      <c r="G139" s="10"/>
      <c r="H139" s="26"/>
      <c r="K139" s="977">
        <f t="shared" si="31"/>
        <v>0.255</v>
      </c>
      <c r="L139" s="1138">
        <f t="shared" si="32"/>
        <v>0</v>
      </c>
    </row>
    <row r="140" spans="1:12">
      <c r="A140" s="1251" t="str">
        <f t="shared" si="30"/>
        <v>x</v>
      </c>
      <c r="B140" s="37">
        <v>1</v>
      </c>
      <c r="C140" t="str">
        <f t="shared" si="29"/>
        <v>jatkoja</v>
      </c>
      <c r="D140" s="10">
        <f>IF($C$103&lt;&gt;"Ely",SUMIF(Konerekisteri!$E$29:$E$39,C140,Konerekisteri!$L$29:$L$39))*B140</f>
        <v>0</v>
      </c>
      <c r="E140" s="10">
        <f>IF($C$103&lt;&gt;"Ely",SUMIF(Rakennukset!$G$24:$G$34,C140,Rakennukset!$W$24:$W$34)*B140,SUMIFS(Rakennukset!$W$24:$W$34,Rakennukset!$G$24:$G$34,C140,$A$135:$A$145,"x")*B140)</f>
        <v>0</v>
      </c>
      <c r="F140" s="836">
        <f>IF($C$103&lt;&gt;"ely",SUMIF('Muut kustannustiedot'!$H$24:$H$34,C140,'Muut kustannustiedot'!$W$24:$W$34)*B140,SUMIFS('Muut kustannustiedot'!$W$24:$W$34,'Muut kustannustiedot'!$H$24:$H$34,C140,$A$135:$A$145,A140)*B140)+SUMIFS(Lähtötiedot!$G$60:$G$70,Lähtötiedot!$A$60:$A$70,C140)*B140</f>
        <v>0</v>
      </c>
      <c r="G140" s="10"/>
      <c r="H140" s="26"/>
      <c r="K140" s="977">
        <f t="shared" si="31"/>
        <v>0.255</v>
      </c>
      <c r="L140" s="1138">
        <f t="shared" si="32"/>
        <v>0</v>
      </c>
    </row>
    <row r="141" spans="1:12">
      <c r="A141" s="1251"/>
      <c r="B141" s="37">
        <v>1</v>
      </c>
      <c r="C141" t="str">
        <f t="shared" si="29"/>
        <v>metsä</v>
      </c>
      <c r="D141" s="10">
        <f>IF($C$103&lt;&gt;"Ely",SUMIF(Konerekisteri!$E$29:$E$39,C141,Konerekisteri!$L$29:$L$39))*B141</f>
        <v>0</v>
      </c>
      <c r="E141" s="10">
        <f>IF($C$103&lt;&gt;"Ely",SUMIF(Rakennukset!$G$24:$G$34,C141,Rakennukset!$W$24:$W$34)*B141,SUMIFS(Rakennukset!$W$24:$W$34,Rakennukset!$G$24:$G$34,C141,$A$135:$A$145,"x")*B141)</f>
        <v>0</v>
      </c>
      <c r="F141" s="836">
        <f>IF($C$103&lt;&gt;"ely",SUMIF('Muut kustannustiedot'!$H$24:$H$34,C141,'Muut kustannustiedot'!$W$24:$W$34)*B141,SUMIFS('Muut kustannustiedot'!$W$24:$W$34,'Muut kustannustiedot'!$H$24:$H$34,C141,$A$135:$A$145,A141)*B141)+SUMIFS(Lähtötiedot!$G$60:$G$70,Lähtötiedot!$A$60:$A$70,C141)*B141</f>
        <v>0</v>
      </c>
      <c r="G141" s="10"/>
      <c r="H141" s="26"/>
      <c r="K141" s="977">
        <f t="shared" si="31"/>
        <v>0.255</v>
      </c>
      <c r="L141" s="1138">
        <f>SUM(D141:F141)*K141</f>
        <v>0</v>
      </c>
    </row>
    <row r="142" spans="1:12">
      <c r="A142" s="1251" t="str">
        <f t="shared" si="30"/>
        <v/>
      </c>
      <c r="B142" s="37">
        <v>1</v>
      </c>
      <c r="C142" s="59" t="str">
        <f t="shared" si="29"/>
        <v>evl</v>
      </c>
      <c r="D142" s="10">
        <f>IF($C$103&lt;&gt;"Ely",SUMIF(Konerekisteri!$E$29:$E$39,C142,Konerekisteri!$L$29:$L$39))*B142</f>
        <v>0</v>
      </c>
      <c r="E142" s="10">
        <f>IF($C$103&lt;&gt;"Ely",SUMIF(Rakennukset!$G$24:$G$34,C142,Rakennukset!$W$24:$W$34)*B142,SUMIFS(Rakennukset!$W$24:$W$34,Rakennukset!$G$24:$G$34,C142,$A$135:$A$145,"x")*B142)</f>
        <v>0</v>
      </c>
      <c r="F142" s="836">
        <f>IF($C$103&lt;&gt;"ely",SUMIF('Muut kustannustiedot'!$H$24:$H$34,C142,'Muut kustannustiedot'!$W$24:$W$34)*B142,SUMIFS('Muut kustannustiedot'!$W$24:$W$34,'Muut kustannustiedot'!$H$24:$H$34,C142,$A$135:$A$145,A142)*B142)+SUMIFS(Lähtötiedot!$G$60:$G$70,Lähtötiedot!$A$60:$A$70,C142)*B142</f>
        <v>0</v>
      </c>
      <c r="G142" s="10"/>
      <c r="H142" s="26"/>
      <c r="K142" s="977">
        <f t="shared" si="31"/>
        <v>0.255</v>
      </c>
      <c r="L142" s="1138">
        <f>SUM(D142:F142)*K142</f>
        <v>0</v>
      </c>
    </row>
    <row r="143" spans="1:12">
      <c r="A143" s="1251" t="str">
        <f t="shared" si="30"/>
        <v>X</v>
      </c>
      <c r="B143" s="37">
        <v>1</v>
      </c>
      <c r="C143" s="59" t="str">
        <f t="shared" si="29"/>
        <v>mansikka</v>
      </c>
      <c r="D143" s="10">
        <f>IF($C$103&lt;&gt;"Ely",SUMIF(Konerekisteri!$E$29:$E$39,C143,Konerekisteri!$L$29:$L$39))*B143</f>
        <v>0</v>
      </c>
      <c r="E143" s="10">
        <f>IF($C$103&lt;&gt;"Ely",SUMIF(Rakennukset!$G$24:$G$34,C143,Rakennukset!$W$24:$W$34)*B143,SUMIFS(Rakennukset!$W$24:$W$34,Rakennukset!$G$24:$G$34,C143,$A$135:$A$145,"x")*B143)</f>
        <v>0</v>
      </c>
      <c r="F143" s="836">
        <f>IF($C$103&lt;&gt;"ely",SUMIF('Muut kustannustiedot'!$H$24:$H$34,C143,'Muut kustannustiedot'!$W$24:$W$34)*B143,SUMIFS('Muut kustannustiedot'!$W$24:$W$34,'Muut kustannustiedot'!$H$24:$H$34,C143,$A$135:$A$145,A143)*B143)+SUMIFS(Lähtötiedot!$G$60:$G$70,Lähtötiedot!$A$60:$A$70,C143)*B143</f>
        <v>0</v>
      </c>
      <c r="G143" s="10"/>
      <c r="H143" s="26"/>
      <c r="K143" s="977">
        <f t="shared" si="31"/>
        <v>0.255</v>
      </c>
      <c r="L143" s="1138">
        <f t="shared" ref="L143:L144" si="33">SUM(D143:F143)*K143</f>
        <v>0</v>
      </c>
    </row>
    <row r="144" spans="1:12">
      <c r="A144" s="1251" t="str">
        <f t="shared" si="30"/>
        <v>X</v>
      </c>
      <c r="B144" s="37">
        <v>1</v>
      </c>
      <c r="C144" s="59" t="str">
        <f t="shared" si="29"/>
        <v>herukka</v>
      </c>
      <c r="D144" s="10">
        <f>IF($C$103&lt;&gt;"Ely",SUMIF(Konerekisteri!$E$29:$E$39,C144,Konerekisteri!$L$29:$L$39))*B144</f>
        <v>0</v>
      </c>
      <c r="E144" s="10">
        <f>IF($C$103&lt;&gt;"Ely",SUMIF(Rakennukset!$G$24:$G$34,C144,Rakennukset!$W$24:$W$34)*B144,SUMIFS(Rakennukset!$W$24:$W$34,Rakennukset!$G$24:$G$34,C144,$A$135:$A$145,"x")*B144)</f>
        <v>0</v>
      </c>
      <c r="F144" s="836">
        <f>IF($C$103&lt;&gt;"ely",SUMIF('Muut kustannustiedot'!$H$24:$H$34,C144,'Muut kustannustiedot'!$W$24:$W$34)*B144,SUMIFS('Muut kustannustiedot'!$W$24:$W$34,'Muut kustannustiedot'!$H$24:$H$34,C144,$A$135:$A$145,A144)*B144)+SUMIFS(Lähtötiedot!$G$60:$G$70,Lähtötiedot!$A$60:$A$70,C144)*B144</f>
        <v>0</v>
      </c>
      <c r="G144" s="10"/>
      <c r="H144" s="26"/>
      <c r="K144" s="977">
        <v>0.24</v>
      </c>
      <c r="L144" s="1138">
        <f t="shared" si="33"/>
        <v>0</v>
      </c>
    </row>
    <row r="145" spans="1:12" ht="13.5" thickBot="1">
      <c r="A145" s="1251" t="str">
        <f t="shared" si="30"/>
        <v>X</v>
      </c>
      <c r="B145" s="37">
        <v>1</v>
      </c>
      <c r="C145" s="59" t="str">
        <f t="shared" si="29"/>
        <v>öljykasvit</v>
      </c>
      <c r="D145" s="10">
        <f>IF($C$103&lt;&gt;"Ely",SUMIF(Konerekisteri!$E$29:$E$39,C145,Konerekisteri!$L$29:$L$39))*B145</f>
        <v>0</v>
      </c>
      <c r="E145" s="10">
        <f>IF($C$103&lt;&gt;"Ely",SUMIF(Rakennukset!$G$24:$G$34,C145,Rakennukset!$W$24:$W$34)*B145,SUMIFS(Rakennukset!$W$24:$W$34,Rakennukset!$G$24:$G$34,C145,$A$135:$A$145,"x")*B145)</f>
        <v>0</v>
      </c>
      <c r="F145" s="836">
        <f>IF($C$103&lt;&gt;"ely",SUMIF('Muut kustannustiedot'!$H$24:$H$34,C145,'Muut kustannustiedot'!$W$24:$W$34)*B145,SUMIFS('Muut kustannustiedot'!$W$24:$W$34,'Muut kustannustiedot'!$H$24:$H$34,C145,$A$135:$A$145,A145)*B145)+SUMIFS(Lähtötiedot!$G$60:$G$70,Lähtötiedot!$A$60:$A$70,C145)*B145</f>
        <v>0</v>
      </c>
      <c r="G145" s="10"/>
      <c r="H145" s="26"/>
      <c r="K145" s="977">
        <f t="shared" si="31"/>
        <v>0.255</v>
      </c>
      <c r="L145" s="1138">
        <f>SUM(D145:F145)*K145</f>
        <v>0</v>
      </c>
    </row>
    <row r="146" spans="1:12" ht="16.5" thickBot="1">
      <c r="A146" s="1594">
        <f>COUNTIF(A135:A145,"x")</f>
        <v>9</v>
      </c>
      <c r="B146" s="1404">
        <v>1</v>
      </c>
      <c r="C146" s="1022" t="s">
        <v>999</v>
      </c>
      <c r="D146" s="1023">
        <f>SUM(D135:D145)*B146</f>
        <v>0</v>
      </c>
      <c r="E146" s="1023">
        <f>SUM(E135:E145)*B146</f>
        <v>0</v>
      </c>
      <c r="F146" s="1023">
        <f>SUM(F135:F145)*B146</f>
        <v>0</v>
      </c>
      <c r="G146" s="1074">
        <f>SUM(D146:F146)</f>
        <v>0</v>
      </c>
      <c r="H146" s="1026" t="str">
        <f>IFERROR(G146/SUM($G$73,$G$100,$G$165),"")</f>
        <v/>
      </c>
      <c r="I146" t="s">
        <v>978</v>
      </c>
      <c r="L146" s="52"/>
    </row>
    <row r="147" spans="1:12" ht="13.5" thickBot="1">
      <c r="C147" s="1101" t="s">
        <v>241</v>
      </c>
      <c r="D147" s="1474">
        <f>SUM(D118,D132,D146)</f>
        <v>0</v>
      </c>
      <c r="E147" s="1727">
        <f>SUM(E118,E132,E146)</f>
        <v>0</v>
      </c>
      <c r="F147" s="1727">
        <f>SUM(F135:F145)</f>
        <v>0</v>
      </c>
      <c r="L147" s="52"/>
    </row>
    <row r="148" spans="1:12">
      <c r="C148" s="3"/>
      <c r="D148" s="868"/>
      <c r="E148" s="1728">
        <f>SUM(D147:F147)</f>
        <v>0</v>
      </c>
      <c r="F148" s="1728"/>
      <c r="G148" s="9"/>
      <c r="H148" s="26"/>
      <c r="L148" s="52"/>
    </row>
    <row r="149" spans="1:12">
      <c r="C149" s="214" t="s">
        <v>1000</v>
      </c>
      <c r="D149" s="1650" t="s">
        <v>1001</v>
      </c>
      <c r="E149" s="10"/>
      <c r="G149" s="10"/>
      <c r="L149" s="52"/>
    </row>
    <row r="150" spans="1:12" ht="13.5" thickBot="1">
      <c r="C150" s="25" t="s">
        <v>986</v>
      </c>
      <c r="D150" s="52" t="s">
        <v>1002</v>
      </c>
      <c r="E150" s="1649">
        <f>IF(Ely&lt;&gt;"Ely",SUM(Lainarekisteri!G27,Lainarekisteri!G29),SUMIF(Lainarekisteri!F27:F29,"x",Lainarekisteri!G27:G29))</f>
        <v>0</v>
      </c>
      <c r="F150" s="935" t="s">
        <v>1003</v>
      </c>
      <c r="G150" s="10"/>
      <c r="H150" s="52"/>
      <c r="L150" s="52"/>
    </row>
    <row r="151" spans="1:12">
      <c r="C151" s="25" t="s">
        <v>1004</v>
      </c>
      <c r="D151" s="52"/>
      <c r="E151" s="811">
        <f>IF(Ely&lt;&gt;"Ely",SUM(Lainarekisteri!L27:M27,Lainarekisteri!L29:M29),SUMIF(Lainarekisteri!$F$27:$F$29,"x",Lainarekisteri!L27:M29))</f>
        <v>0</v>
      </c>
      <c r="F151" s="935" t="s">
        <v>1005</v>
      </c>
      <c r="G151" s="10"/>
      <c r="K151" s="1077">
        <f>$K$3</f>
        <v>0.255</v>
      </c>
      <c r="L151" s="696">
        <f>E151*K151</f>
        <v>0</v>
      </c>
    </row>
    <row r="152" spans="1:12" ht="13.5" thickBot="1">
      <c r="C152" s="25" t="s">
        <v>1006</v>
      </c>
      <c r="D152" s="52"/>
      <c r="E152" s="812">
        <f>IF(Ely&lt;&gt;"Ely",SUM(Lainarekisteri!K27,Lainarekisteri!K29),SUMIF(Lainarekisteri!$F$27:$F$29,"x",Lainarekisteri!K27:K29))</f>
        <v>0</v>
      </c>
      <c r="F152" s="935" t="s">
        <v>1007</v>
      </c>
      <c r="G152" s="10"/>
    </row>
    <row r="153" spans="1:12">
      <c r="C153" s="25" t="s">
        <v>1008</v>
      </c>
      <c r="D153" s="52"/>
      <c r="E153" s="811">
        <f>IF(Ely&lt;&gt;"Ely",SUM(Lainarekisteri!L25:M25),IF(A153="x",SUM(Lainarekisteri!L25:M25),0))</f>
        <v>0</v>
      </c>
      <c r="F153" s="935" t="s">
        <v>1009</v>
      </c>
      <c r="G153" s="10"/>
      <c r="K153" s="1077">
        <f>$K$3</f>
        <v>0.255</v>
      </c>
      <c r="L153" s="696">
        <f>E153*K153</f>
        <v>0</v>
      </c>
    </row>
    <row r="154" spans="1:12" ht="13.5" thickBot="1">
      <c r="C154" s="25" t="s">
        <v>1010</v>
      </c>
      <c r="D154" s="52"/>
      <c r="E154" s="1027">
        <f>IF(Ely&lt;&gt;"Ely",SUM(Lainarekisteri!K25),IF(A153="x",SUM(Lainarekisteri!K25),0))</f>
        <v>0</v>
      </c>
      <c r="F154" s="935" t="s">
        <v>1011</v>
      </c>
      <c r="G154" s="10"/>
      <c r="K154" s="695"/>
      <c r="L154" s="696"/>
    </row>
    <row r="155" spans="1:12" ht="16.5" thickBot="1">
      <c r="B155" s="37">
        <v>1</v>
      </c>
      <c r="C155" s="3" t="s">
        <v>1012</v>
      </c>
      <c r="E155" s="823">
        <f>SUM(E151:E154)</f>
        <v>0</v>
      </c>
      <c r="G155" s="1073">
        <f>SUM(E151:E154)*B155</f>
        <v>0</v>
      </c>
      <c r="H155" s="26" t="str">
        <f>IFERROR(G155/SUM($G$73,$G$100,$G$165),"")</f>
        <v/>
      </c>
      <c r="I155" t="s">
        <v>978</v>
      </c>
      <c r="L155" s="52"/>
    </row>
    <row r="156" spans="1:12">
      <c r="D156" s="3"/>
      <c r="E156" s="10"/>
      <c r="G156" s="10"/>
      <c r="L156" s="52"/>
    </row>
    <row r="157" spans="1:12" ht="13.5" thickBot="1">
      <c r="D157" s="3"/>
      <c r="E157" s="10"/>
      <c r="G157" s="10"/>
      <c r="L157" s="52"/>
    </row>
    <row r="158" spans="1:12">
      <c r="C158" s="819" t="s">
        <v>1013</v>
      </c>
      <c r="D158" s="813" t="s">
        <v>1001</v>
      </c>
      <c r="E158" s="820"/>
      <c r="F158" s="813"/>
      <c r="G158" s="824"/>
      <c r="L158" s="52"/>
    </row>
    <row r="159" spans="1:12">
      <c r="C159" s="821" t="s">
        <v>986</v>
      </c>
      <c r="D159" s="52"/>
      <c r="E159" s="10">
        <f>Lainarekisteri!G28</f>
        <v>0</v>
      </c>
      <c r="G159" s="825"/>
      <c r="L159" s="52"/>
    </row>
    <row r="160" spans="1:12">
      <c r="C160" s="821" t="s">
        <v>1004</v>
      </c>
      <c r="D160" s="52"/>
      <c r="E160" s="10">
        <f>Lainarekisteri!L28+Lainarekisteri!M28</f>
        <v>0</v>
      </c>
      <c r="G160" s="825"/>
    </row>
    <row r="161" spans="2:14">
      <c r="C161" s="821" t="s">
        <v>1006</v>
      </c>
      <c r="D161" s="52"/>
      <c r="E161" s="10">
        <f>Lainarekisteri!K28</f>
        <v>0</v>
      </c>
      <c r="G161" s="825"/>
      <c r="L161" s="52"/>
    </row>
    <row r="162" spans="2:14">
      <c r="C162" s="814"/>
      <c r="D162" s="214" t="s">
        <v>1014</v>
      </c>
      <c r="E162" s="10">
        <f>SUM(E159:E161)</f>
        <v>0</v>
      </c>
      <c r="F162" s="52" t="s">
        <v>1015</v>
      </c>
      <c r="G162" s="825"/>
      <c r="L162" s="52"/>
    </row>
    <row r="163" spans="2:14" ht="13.5" thickBot="1">
      <c r="C163" s="815"/>
      <c r="D163" s="816"/>
      <c r="E163" s="817"/>
      <c r="F163" s="818"/>
      <c r="G163" s="826"/>
      <c r="L163" s="52"/>
    </row>
    <row r="164" spans="2:14" ht="13.5" thickBot="1">
      <c r="C164" s="3"/>
      <c r="L164" s="52"/>
    </row>
    <row r="165" spans="2:14" ht="16.5" thickBot="1">
      <c r="C165" s="3" t="s">
        <v>1016</v>
      </c>
      <c r="G165" s="1073">
        <f>SUM(G106:G164)</f>
        <v>0</v>
      </c>
      <c r="H165" s="26" t="str">
        <f>IFERROR(G165/SUM($G$73,$G$100,$G$165),"")</f>
        <v/>
      </c>
      <c r="I165" t="s">
        <v>978</v>
      </c>
    </row>
    <row r="166" spans="2:14" ht="13.5" thickBot="1">
      <c r="C166" s="3"/>
      <c r="G166" s="10"/>
    </row>
    <row r="167" spans="2:14" ht="18.75" thickBot="1">
      <c r="C167" s="558" t="s">
        <v>1017</v>
      </c>
      <c r="D167" s="567"/>
      <c r="E167" s="1042"/>
      <c r="F167" s="567"/>
      <c r="G167" s="1072">
        <f>G102-G165</f>
        <v>0</v>
      </c>
      <c r="H167" s="26" t="str">
        <f>IFERROR(G167/$G$39,"")</f>
        <v/>
      </c>
      <c r="I167" t="s">
        <v>969</v>
      </c>
      <c r="L167" s="1248">
        <f>SUM(L43:L166)</f>
        <v>0</v>
      </c>
      <c r="M167" t="s">
        <v>1018</v>
      </c>
    </row>
    <row r="168" spans="2:14" ht="13.5" thickBot="1">
      <c r="D168" s="52" t="str">
        <f>IF(E162&gt;0,"Epävirallinen rivi: Kotitalouden lainakuluja ei vähennetä, mutta ne on maksettava tällä tulolla, joten kun kotitalouden lainakulut vähennetty, JÄÄ KATETTA","")</f>
        <v/>
      </c>
      <c r="H168" s="1043" t="str">
        <f>IF(E162&gt;0,G167-E162,"")</f>
        <v/>
      </c>
      <c r="M168" s="10">
        <f>L39-L167</f>
        <v>0</v>
      </c>
      <c r="N168" t="s">
        <v>1019</v>
      </c>
    </row>
    <row r="169" spans="2:14" ht="16.5" thickBot="1">
      <c r="B169" s="2782" t="s">
        <v>1020</v>
      </c>
      <c r="C169" s="2783"/>
      <c r="D169" s="1608"/>
    </row>
    <row r="171" spans="2:14" ht="15.75" customHeight="1">
      <c r="B171" s="1029" t="s">
        <v>1021</v>
      </c>
      <c r="C171" s="1080" t="s">
        <v>235</v>
      </c>
    </row>
    <row r="172" spans="2:14" ht="15" customHeight="1">
      <c r="B172" s="702" t="s">
        <v>1022</v>
      </c>
      <c r="C172" s="1638">
        <f>G39-G31-G19</f>
        <v>0</v>
      </c>
      <c r="D172" s="52" t="s">
        <v>1023</v>
      </c>
    </row>
    <row r="173" spans="2:14" ht="15.75" customHeight="1">
      <c r="B173" s="699" t="s">
        <v>1024</v>
      </c>
      <c r="C173" s="1638">
        <f>G19+G31</f>
        <v>0</v>
      </c>
      <c r="D173" s="52" t="s">
        <v>1025</v>
      </c>
    </row>
    <row r="174" spans="2:14" ht="19.5" customHeight="1">
      <c r="B174" s="891" t="s">
        <v>1026</v>
      </c>
      <c r="C174" s="1507">
        <f>SUM(C172:C173)</f>
        <v>0</v>
      </c>
    </row>
    <row r="175" spans="2:14" ht="19.5" hidden="1" customHeight="1">
      <c r="B175" s="697" t="s">
        <v>1027</v>
      </c>
      <c r="C175" s="1506">
        <v>0</v>
      </c>
    </row>
    <row r="176" spans="2:14" ht="19.5" hidden="1" customHeight="1">
      <c r="B176" s="700" t="s">
        <v>1028</v>
      </c>
      <c r="C176" s="1507">
        <f>SUM(C174:C175)</f>
        <v>0</v>
      </c>
    </row>
    <row r="177" spans="2:8" ht="21" customHeight="1">
      <c r="B177" t="s">
        <v>1029</v>
      </c>
      <c r="C177" s="1638">
        <f>G73</f>
        <v>0</v>
      </c>
      <c r="E177" s="298"/>
    </row>
    <row r="178" spans="2:8" ht="18.75" customHeight="1">
      <c r="B178" s="52" t="s">
        <v>1030</v>
      </c>
      <c r="C178" s="1638">
        <f>G146</f>
        <v>0</v>
      </c>
      <c r="D178" t="s">
        <v>1031</v>
      </c>
      <c r="E178" s="298"/>
    </row>
    <row r="179" spans="2:8" ht="21.75" customHeight="1">
      <c r="B179" s="699" t="s">
        <v>1032</v>
      </c>
      <c r="C179" s="1638">
        <f>IF(C103&lt;&gt;"ely",G100,0)</f>
        <v>0</v>
      </c>
      <c r="D179" t="str">
        <f>IF(C103&lt;&gt;"ely","Oma palkkavaatimus huomioidaan","Ely-laskelmalle ei siirretä palkkavaatimusta")</f>
        <v>Oma palkkavaatimus huomioidaan</v>
      </c>
    </row>
    <row r="180" spans="2:8" ht="19.5" customHeight="1" thickBot="1">
      <c r="B180" s="688" t="s">
        <v>765</v>
      </c>
      <c r="C180" s="1507">
        <f>C176-SUM(C177:C179)</f>
        <v>0</v>
      </c>
      <c r="F180" s="3" t="s">
        <v>1033</v>
      </c>
    </row>
    <row r="181" spans="2:8" ht="19.5" customHeight="1" thickBot="1">
      <c r="B181" s="687" t="s">
        <v>1034</v>
      </c>
      <c r="C181" s="1083">
        <f>IFERROR(C180/C176,0)</f>
        <v>0</v>
      </c>
      <c r="D181" t="s">
        <v>1035</v>
      </c>
      <c r="F181" s="208" t="s">
        <v>1036</v>
      </c>
      <c r="G181" s="182" t="s">
        <v>1037</v>
      </c>
      <c r="H181" s="834"/>
    </row>
    <row r="182" spans="2:8" ht="19.5" customHeight="1">
      <c r="B182" s="702" t="s">
        <v>1038</v>
      </c>
      <c r="C182" s="1638">
        <f>G155</f>
        <v>0</v>
      </c>
      <c r="D182" s="52" t="s">
        <v>1039</v>
      </c>
      <c r="F182" s="845" t="s">
        <v>1040</v>
      </c>
      <c r="G182" s="813"/>
      <c r="H182" s="839"/>
    </row>
    <row r="183" spans="2:8" ht="19.5" customHeight="1">
      <c r="B183" s="1653" t="s">
        <v>1041</v>
      </c>
      <c r="C183" s="1508">
        <v>0</v>
      </c>
      <c r="D183" s="52"/>
      <c r="F183" s="842"/>
      <c r="H183" s="841"/>
    </row>
    <row r="184" spans="2:8" ht="19.5" customHeight="1">
      <c r="B184" s="1086" t="s">
        <v>1042</v>
      </c>
      <c r="C184" s="1509">
        <f>C180-C182-C183</f>
        <v>0</v>
      </c>
      <c r="D184" s="52" t="s">
        <v>1043</v>
      </c>
      <c r="F184" s="814" t="s">
        <v>1044</v>
      </c>
      <c r="G184" s="701">
        <v>0.15</v>
      </c>
      <c r="H184" s="841" t="s">
        <v>1045</v>
      </c>
    </row>
    <row r="185" spans="2:8" ht="19.5" customHeight="1">
      <c r="B185" s="699" t="s">
        <v>1046</v>
      </c>
      <c r="C185" s="1639">
        <f>G118</f>
        <v>0</v>
      </c>
      <c r="D185" s="52"/>
      <c r="F185" s="814"/>
      <c r="G185" s="701" t="s">
        <v>1047</v>
      </c>
      <c r="H185" s="841" t="s">
        <v>1048</v>
      </c>
    </row>
    <row r="186" spans="2:8" ht="19.5" customHeight="1" thickBot="1">
      <c r="B186" s="688" t="s">
        <v>1049</v>
      </c>
      <c r="C186" s="1507">
        <f>C184-C185</f>
        <v>0</v>
      </c>
      <c r="F186" s="815" t="s">
        <v>1050</v>
      </c>
      <c r="G186" s="887">
        <v>0.05</v>
      </c>
      <c r="H186" s="843" t="s">
        <v>1051</v>
      </c>
    </row>
    <row r="187" spans="2:8" ht="0.75" customHeight="1">
      <c r="B187" s="809" t="s">
        <v>1052</v>
      </c>
      <c r="C187" s="1504"/>
    </row>
    <row r="188" spans="2:8" ht="19.5" customHeight="1">
      <c r="B188" s="1514" t="s">
        <v>1053</v>
      </c>
      <c r="C188" s="1513">
        <v>0</v>
      </c>
      <c r="D188" s="52" t="s">
        <v>1054</v>
      </c>
    </row>
    <row r="189" spans="2:8" ht="12.75" customHeight="1">
      <c r="B189" s="2000"/>
      <c r="C189" s="1515"/>
      <c r="D189" s="52" t="s">
        <v>1055</v>
      </c>
      <c r="E189" s="10">
        <f>IFERROR(C186+C179,"")</f>
        <v>0</v>
      </c>
      <c r="F189" s="27" t="s">
        <v>1056</v>
      </c>
    </row>
    <row r="190" spans="2:8" ht="19.5" customHeight="1" thickBot="1">
      <c r="B190" s="835" t="s">
        <v>1057</v>
      </c>
      <c r="C190" s="1511">
        <f>C186-C188</f>
        <v>0</v>
      </c>
      <c r="E190" s="10"/>
      <c r="F190" s="27"/>
    </row>
    <row r="191" spans="2:8" ht="23.25" customHeight="1">
      <c r="B191" s="810" t="s">
        <v>1058</v>
      </c>
      <c r="C191" s="1510">
        <f>E161</f>
        <v>0</v>
      </c>
      <c r="D191" s="52" t="str">
        <f ca="1">"Solusta "&amp;CELL("osoite",E159)</f>
        <v>Solusta $E$159</v>
      </c>
    </row>
    <row r="192" spans="2:8" ht="20.25" customHeight="1">
      <c r="B192" s="810" t="s">
        <v>1059</v>
      </c>
      <c r="C192" s="1510">
        <f>E160</f>
        <v>0</v>
      </c>
      <c r="D192" s="52" t="str">
        <f ca="1">"Solusta "&amp;CELL("osoite",E160)</f>
        <v>Solusta $E$160</v>
      </c>
    </row>
    <row r="193" spans="2:8" ht="23.25" customHeight="1">
      <c r="B193" s="810" t="s">
        <v>1060</v>
      </c>
      <c r="C193" s="1512">
        <f>E159</f>
        <v>0</v>
      </c>
      <c r="D193" s="52" t="str">
        <f ca="1">"Solusta "&amp;CELL("osoite",E161)</f>
        <v>Solusta $E$161</v>
      </c>
    </row>
    <row r="194" spans="2:8" ht="23.25" customHeight="1">
      <c r="B194" s="833" t="s">
        <v>1061</v>
      </c>
      <c r="C194" s="1505">
        <f>C190-SUM(C191:C193)</f>
        <v>0</v>
      </c>
    </row>
    <row r="195" spans="2:8" ht="14.25" customHeight="1">
      <c r="B195" s="810" t="s">
        <v>1062</v>
      </c>
      <c r="C195" s="37">
        <v>0.03</v>
      </c>
    </row>
    <row r="196" spans="2:8" ht="14.25" customHeight="1">
      <c r="B196" s="810" t="s">
        <v>1063</v>
      </c>
      <c r="C196" s="37">
        <v>0.05</v>
      </c>
    </row>
    <row r="197" spans="2:8" ht="14.25" customHeight="1">
      <c r="B197" s="1405" t="s">
        <v>1064</v>
      </c>
      <c r="C197" s="1475" t="e">
        <f>IF(C103="ely",C186/((E101*F101)+IF(C221&gt;0,(C221*C196),0)),C186/((E100*F100)+IF(C221&gt;0,(C221*C195),0)))</f>
        <v>#DIV/0!</v>
      </c>
    </row>
    <row r="198" spans="2:8" ht="14.25" customHeight="1">
      <c r="B198" s="2738" t="str">
        <f>IF(C221&lt;=0,B221&amp;" negatiivinen, ei korkoa omalle pääomalle","Oma päoma postiivinen")</f>
        <v>Oma pääoma negatiivinen, ei korkoa omalle pääomalle</v>
      </c>
      <c r="C198" s="1998" t="s">
        <v>1065</v>
      </c>
      <c r="D198" s="4" t="s">
        <v>1066</v>
      </c>
      <c r="E198" s="4" t="s">
        <v>3</v>
      </c>
    </row>
    <row r="199" spans="2:8">
      <c r="B199" s="2781"/>
      <c r="C199" s="1989">
        <f>IF(C103="ely",IF(C221&gt;0,(C221*C196),0),(C221*C195))</f>
        <v>0</v>
      </c>
      <c r="D199" s="1989">
        <f>IF(C103="ely",(E100*F101),(E100*F100))</f>
        <v>0</v>
      </c>
      <c r="E199" s="1492">
        <f>SUM(C199:D199)</f>
        <v>0</v>
      </c>
    </row>
    <row r="200" spans="2:8" ht="15.6" customHeight="1">
      <c r="B200" s="2777" t="s">
        <v>1067</v>
      </c>
      <c r="C200" s="2777"/>
      <c r="D200" s="2777"/>
    </row>
    <row r="201" spans="2:8" hidden="1">
      <c r="B201" s="2780"/>
      <c r="C201" s="2780"/>
      <c r="D201" s="2780"/>
    </row>
    <row r="202" spans="2:8">
      <c r="B202" s="703" t="s">
        <v>1068</v>
      </c>
      <c r="C202" s="704"/>
      <c r="D202" s="705" t="s">
        <v>1069</v>
      </c>
    </row>
    <row r="203" spans="2:8">
      <c r="B203" s="702" t="s">
        <v>1070</v>
      </c>
      <c r="C203" s="698">
        <f>IF(C103="ely",Lähtötiedot!C6*F203,IF('Muut kustannustiedot'!F20&gt;0,'Muut kustannustiedot'!F20,Lähtötiedot!C6*F203))</f>
        <v>0</v>
      </c>
      <c r="D203" s="706" t="s">
        <v>1071</v>
      </c>
      <c r="E203" t="str">
        <f>IF($C$103="Ely","Ely-laskenta",IF(Lähtötiedot!$F$8="T","Tasapoistolaskenta, ei Ely","Annuiteettilaskenta, ei Ely"))</f>
        <v>Tasapoistolaskenta, ei Ely</v>
      </c>
      <c r="F203" s="1466">
        <v>2400</v>
      </c>
      <c r="G203" t="s">
        <v>1072</v>
      </c>
      <c r="H203" t="s">
        <v>1073</v>
      </c>
    </row>
    <row r="204" spans="2:8">
      <c r="B204" s="699" t="s">
        <v>1074</v>
      </c>
      <c r="C204" s="698">
        <v>0</v>
      </c>
      <c r="D204" s="706"/>
      <c r="E204" t="str">
        <f>IF($C$103="Ely","Ely-laskenta",IF(Lähtötiedot!$F$8="T","Tasapoistolaskenta, ei Ely","Annuiteettilaskenta, ei Ely"))</f>
        <v>Tasapoistolaskenta, ei Ely</v>
      </c>
    </row>
    <row r="205" spans="2:8">
      <c r="B205" s="699" t="s">
        <v>1075</v>
      </c>
      <c r="C205" s="698">
        <f>IF(C103="Ely",Rakennukset!AD35,IF(Lähtötiedot!F8="T",Rakennukset!Z21,Rakennukset!Z21))</f>
        <v>0</v>
      </c>
      <c r="D205" s="706"/>
      <c r="E205" t="str">
        <f>IF($C$103="Ely","Ely-laskenta",IF(Lähtötiedot!$F$8="T","Tasapoistolaskenta, ei Ely","Annuiteettilaskenta, ei Ely"))</f>
        <v>Tasapoistolaskenta, ei Ely</v>
      </c>
    </row>
    <row r="206" spans="2:8">
      <c r="B206" s="699" t="s">
        <v>1076</v>
      </c>
      <c r="C206" s="698">
        <f>IF(Ely="ely",Konerekisteri!U40,Konerekisteri!Q27)</f>
        <v>0</v>
      </c>
      <c r="D206" s="706"/>
      <c r="E206" t="str">
        <f>IF($C$103="Ely","Ely-laskenta",IF(Lähtötiedot!$F$8="T","Tasapoistolaskenta, ei Ely","Annuiteettilaskenta, ei Ely"))</f>
        <v>Tasapoistolaskenta, ei Ely</v>
      </c>
    </row>
    <row r="207" spans="2:8">
      <c r="B207" s="699" t="s">
        <v>1077</v>
      </c>
      <c r="C207" s="698">
        <f>IF(Ely="ely",Konerekisteri!U41,Konerekisteri!Q28)</f>
        <v>0</v>
      </c>
      <c r="D207" s="706"/>
      <c r="E207" t="str">
        <f>IF($C$103="Ely","Ely-laskenta",IF(Lähtötiedot!$F$8="T","Tasapoistolaskenta, ei Ely","Annuiteettilaskenta, ei Ely"))</f>
        <v>Tasapoistolaskenta, ei Ely</v>
      </c>
    </row>
    <row r="208" spans="2:8">
      <c r="B208" s="699" t="s">
        <v>1078</v>
      </c>
      <c r="C208" s="698">
        <v>0</v>
      </c>
      <c r="D208" s="706"/>
    </row>
    <row r="209" spans="2:7">
      <c r="B209" s="707" t="s">
        <v>1079</v>
      </c>
      <c r="C209" s="704"/>
      <c r="D209" s="708"/>
    </row>
    <row r="210" spans="2:7">
      <c r="B210" s="699" t="s">
        <v>1080</v>
      </c>
      <c r="C210" s="698">
        <f>F249</f>
        <v>0</v>
      </c>
      <c r="D210" s="706"/>
      <c r="E210" t="s">
        <v>1081</v>
      </c>
    </row>
    <row r="211" spans="2:7">
      <c r="B211" s="699" t="s">
        <v>1082</v>
      </c>
      <c r="C211" s="698">
        <f>SUM(F260:F262)</f>
        <v>0</v>
      </c>
      <c r="D211" s="706"/>
      <c r="E211" t="s">
        <v>1081</v>
      </c>
    </row>
    <row r="212" spans="2:7">
      <c r="B212" s="699" t="s">
        <v>1083</v>
      </c>
      <c r="C212" s="698">
        <f>SUM(F253:F259)</f>
        <v>0</v>
      </c>
      <c r="D212" s="706"/>
      <c r="E212" t="s">
        <v>1081</v>
      </c>
    </row>
    <row r="213" spans="2:7">
      <c r="B213" s="699" t="s">
        <v>1084</v>
      </c>
      <c r="C213" s="698">
        <v>0</v>
      </c>
      <c r="D213" s="706"/>
    </row>
    <row r="214" spans="2:7">
      <c r="B214" s="699" t="s">
        <v>1085</v>
      </c>
      <c r="C214" s="698">
        <v>0</v>
      </c>
      <c r="D214" s="706"/>
    </row>
    <row r="215" spans="2:7">
      <c r="B215" s="707" t="s">
        <v>1086</v>
      </c>
      <c r="C215" s="704"/>
      <c r="D215" s="708"/>
    </row>
    <row r="216" spans="2:7">
      <c r="B216" s="699" t="s">
        <v>1087</v>
      </c>
      <c r="C216" s="698">
        <v>0</v>
      </c>
      <c r="D216" s="706"/>
    </row>
    <row r="217" spans="2:7">
      <c r="B217" s="707" t="s">
        <v>1088</v>
      </c>
      <c r="C217" s="709"/>
      <c r="D217" s="708"/>
    </row>
    <row r="218" spans="2:7">
      <c r="B218" s="699" t="s">
        <v>1089</v>
      </c>
      <c r="C218" s="698">
        <f>C190</f>
        <v>0</v>
      </c>
      <c r="D218" s="706" t="s">
        <v>770</v>
      </c>
    </row>
    <row r="219" spans="2:7" ht="15.75">
      <c r="B219" s="710" t="s">
        <v>1090</v>
      </c>
      <c r="C219" s="420">
        <f>SUM(C203:C218)</f>
        <v>0</v>
      </c>
      <c r="D219" s="708"/>
    </row>
    <row r="220" spans="2:7">
      <c r="B220" s="703" t="s">
        <v>1091</v>
      </c>
      <c r="C220" s="709"/>
      <c r="D220" s="708"/>
    </row>
    <row r="221" spans="2:7">
      <c r="B221" s="699" t="s">
        <v>1092</v>
      </c>
      <c r="C221" s="698">
        <f>C219-C226</f>
        <v>0</v>
      </c>
      <c r="D221" s="706"/>
    </row>
    <row r="222" spans="2:7">
      <c r="B222" s="699" t="s">
        <v>1093</v>
      </c>
      <c r="C222" s="698">
        <f>IF(F222&gt;0,F222,0)</f>
        <v>0</v>
      </c>
      <c r="D222" s="706" t="s">
        <v>1094</v>
      </c>
      <c r="E222" t="s">
        <v>1095</v>
      </c>
      <c r="F222" s="836">
        <f>SUMIF(Lainarekisteri!O5:O20,"Yritys",Lainarekisteri!P5:P20)</f>
        <v>0</v>
      </c>
      <c r="G222" t="s">
        <v>1096</v>
      </c>
    </row>
    <row r="223" spans="2:7">
      <c r="B223" s="699" t="s">
        <v>1097</v>
      </c>
      <c r="C223" s="698">
        <v>0</v>
      </c>
      <c r="D223" s="706" t="s">
        <v>1098</v>
      </c>
    </row>
    <row r="224" spans="2:7">
      <c r="B224" s="699" t="s">
        <v>1099</v>
      </c>
      <c r="C224" s="698">
        <v>0</v>
      </c>
      <c r="D224" s="706" t="s">
        <v>1100</v>
      </c>
    </row>
    <row r="225" spans="2:9">
      <c r="B225" s="699" t="s">
        <v>1101</v>
      </c>
      <c r="C225" s="698">
        <v>0</v>
      </c>
      <c r="D225" s="706"/>
    </row>
    <row r="226" spans="2:9">
      <c r="B226" s="699" t="s">
        <v>1102</v>
      </c>
      <c r="C226" s="711">
        <f>SUM(C222:C225)</f>
        <v>0</v>
      </c>
      <c r="D226" s="706"/>
    </row>
    <row r="227" spans="2:9" ht="15.75">
      <c r="B227" s="712" t="s">
        <v>1103</v>
      </c>
      <c r="C227" s="420">
        <f>SUM(C221,C226)</f>
        <v>0</v>
      </c>
      <c r="D227" s="706"/>
      <c r="I227" s="661"/>
    </row>
    <row r="228" spans="2:9">
      <c r="B228" s="713" t="s">
        <v>1104</v>
      </c>
      <c r="C228" s="16">
        <f>C219-C227</f>
        <v>0</v>
      </c>
      <c r="D228" t="str">
        <f>IF(C228&lt;&gt;0,"Tase ei täsmää","TASE yhtäsuuri-OK")</f>
        <v>TASE yhtäsuuri-OK</v>
      </c>
      <c r="I228" s="661"/>
    </row>
    <row r="229" spans="2:9">
      <c r="B229" s="1412" t="s">
        <v>1105</v>
      </c>
      <c r="C229" s="1364" t="e">
        <f>C221/C227</f>
        <v>#DIV/0!</v>
      </c>
      <c r="I229" s="661"/>
    </row>
    <row r="230" spans="2:9" ht="27.75">
      <c r="B230" s="660" t="s">
        <v>1106</v>
      </c>
      <c r="E230" s="3"/>
      <c r="F230" s="10"/>
      <c r="I230" s="661"/>
    </row>
    <row r="231" spans="2:9">
      <c r="B231" s="661"/>
      <c r="C231" s="661"/>
      <c r="D231" s="661"/>
      <c r="E231" s="661"/>
      <c r="F231" s="661"/>
      <c r="G231" s="661"/>
      <c r="I231" s="661"/>
    </row>
    <row r="232" spans="2:9">
      <c r="B232" s="670" t="s">
        <v>1107</v>
      </c>
      <c r="C232" s="671" t="s">
        <v>150</v>
      </c>
      <c r="D232" s="661"/>
      <c r="E232" s="670" t="s">
        <v>1108</v>
      </c>
      <c r="F232" s="661"/>
      <c r="G232" s="661"/>
      <c r="I232" s="661"/>
    </row>
    <row r="233" spans="2:9">
      <c r="B233" s="896" t="str">
        <f>Lähtötiedot!A39</f>
        <v>Maito (LaskeMaito1)</v>
      </c>
      <c r="C233" s="720">
        <f>Lähtötiedot!C39</f>
        <v>0</v>
      </c>
      <c r="D233" s="721" t="s">
        <v>1109</v>
      </c>
      <c r="E233" s="722">
        <v>760</v>
      </c>
      <c r="F233" s="714">
        <f t="shared" ref="F233:F248" si="34">C233*E233</f>
        <v>0</v>
      </c>
      <c r="G233" s="682" t="str">
        <f t="shared" ref="G233:G236" si="35">IF(C233=0,"Syötä eläinmäärä lähtötietoihin","")</f>
        <v>Syötä eläinmäärä lähtötietoihin</v>
      </c>
      <c r="I233" s="661"/>
    </row>
    <row r="234" spans="2:9">
      <c r="B234" s="896" t="str">
        <f>Lähtötiedot!A40</f>
        <v>LaskeMaito2 laskelma 2. Piilossa, aktivoi</v>
      </c>
      <c r="C234" s="720">
        <f>Lähtötiedot!C40</f>
        <v>0</v>
      </c>
      <c r="D234" s="721"/>
      <c r="E234" s="722">
        <v>760</v>
      </c>
      <c r="F234" s="714">
        <f t="shared" si="34"/>
        <v>0</v>
      </c>
      <c r="G234" s="682" t="str">
        <f t="shared" si="35"/>
        <v>Syötä eläinmäärä lähtötietoihin</v>
      </c>
      <c r="I234" s="661"/>
    </row>
    <row r="235" spans="2:9">
      <c r="B235" s="896" t="str">
        <f>Lähtötiedot!A41</f>
        <v>LaskeMaito3 laskelma 3. Piilossa, aktivoi</v>
      </c>
      <c r="C235" s="720">
        <f>Lähtötiedot!C41</f>
        <v>0</v>
      </c>
      <c r="D235" s="721"/>
      <c r="E235" s="722">
        <v>760</v>
      </c>
      <c r="F235" s="714">
        <f t="shared" si="34"/>
        <v>0</v>
      </c>
      <c r="G235" s="682" t="str">
        <f t="shared" si="35"/>
        <v>Syötä eläinmäärä lähtötietoihin</v>
      </c>
      <c r="I235" s="661"/>
    </row>
    <row r="236" spans="2:9">
      <c r="B236" s="896" t="str">
        <f>Lähtötiedot!A42</f>
        <v>Laske Maito special  -Suurtilalle (ota tarvittaessa käyttöön, piilotettu)</v>
      </c>
      <c r="C236" s="720">
        <f>Lähtötiedot!C42</f>
        <v>0</v>
      </c>
      <c r="D236" s="721"/>
      <c r="E236" s="722">
        <v>760</v>
      </c>
      <c r="F236" s="714">
        <f t="shared" si="34"/>
        <v>0</v>
      </c>
      <c r="G236" s="682" t="str">
        <f t="shared" si="35"/>
        <v>Syötä eläinmäärä lähtötietoihin</v>
      </c>
      <c r="I236" s="661"/>
    </row>
    <row r="237" spans="2:9">
      <c r="B237" s="896" t="str">
        <f>Lähtötiedot!A43</f>
        <v>Laske Liha</v>
      </c>
      <c r="C237" s="720">
        <f>Lähtötiedot!C43</f>
        <v>0</v>
      </c>
      <c r="D237" s="721" t="s">
        <v>1109</v>
      </c>
      <c r="E237" s="722">
        <v>760</v>
      </c>
      <c r="F237" s="714">
        <f t="shared" si="34"/>
        <v>0</v>
      </c>
      <c r="G237" s="682" t="str">
        <f t="shared" ref="G237:G239" si="36">IF(C237=0,"Syötä eläinmäärä lähtötietoihin","")</f>
        <v>Syötä eläinmäärä lähtötietoihin</v>
      </c>
      <c r="I237" s="661"/>
    </row>
    <row r="238" spans="2:9">
      <c r="B238" s="896" t="str">
        <f>Lähtötiedot!A45</f>
        <v>Laske Liha 2  - Piilossa, aktivoi (hiiren oikea, näytä)</v>
      </c>
      <c r="C238" s="720">
        <f>Lähtötiedot!C45</f>
        <v>0</v>
      </c>
      <c r="D238" s="721" t="s">
        <v>1109</v>
      </c>
      <c r="E238" s="722">
        <v>150</v>
      </c>
      <c r="F238" s="714">
        <f t="shared" si="34"/>
        <v>0</v>
      </c>
      <c r="G238" s="682" t="str">
        <f t="shared" si="36"/>
        <v>Syötä eläinmäärä lähtötietoihin</v>
      </c>
      <c r="I238" s="674"/>
    </row>
    <row r="239" spans="2:9">
      <c r="B239" s="672" t="s">
        <v>1110</v>
      </c>
      <c r="C239" s="723">
        <v>0</v>
      </c>
      <c r="D239" s="721" t="s">
        <v>1109</v>
      </c>
      <c r="E239" s="722">
        <v>541</v>
      </c>
      <c r="F239" s="714">
        <f t="shared" si="34"/>
        <v>0</v>
      </c>
      <c r="G239" s="682" t="str">
        <f t="shared" si="36"/>
        <v>Syötä eläinmäärä lähtötietoihin</v>
      </c>
      <c r="I239" s="674"/>
    </row>
    <row r="240" spans="2:9">
      <c r="B240" s="672" t="s">
        <v>1111</v>
      </c>
      <c r="C240" s="723">
        <v>0</v>
      </c>
      <c r="D240" s="721" t="s">
        <v>1109</v>
      </c>
      <c r="E240" s="722">
        <v>300</v>
      </c>
      <c r="F240" s="714">
        <f t="shared" si="34"/>
        <v>0</v>
      </c>
      <c r="G240" s="682" t="s">
        <v>1112</v>
      </c>
      <c r="I240" s="674"/>
    </row>
    <row r="241" spans="2:9">
      <c r="B241" s="672" t="s">
        <v>1113</v>
      </c>
      <c r="C241" s="723">
        <v>0</v>
      </c>
      <c r="D241" s="721" t="s">
        <v>1109</v>
      </c>
      <c r="E241" s="722">
        <v>84</v>
      </c>
      <c r="F241" s="714">
        <f t="shared" si="34"/>
        <v>0</v>
      </c>
      <c r="G241" s="1465" t="s">
        <v>1114</v>
      </c>
      <c r="I241" s="674"/>
    </row>
    <row r="242" spans="2:9">
      <c r="B242" s="672" t="s">
        <v>1115</v>
      </c>
      <c r="C242" s="723">
        <v>0</v>
      </c>
      <c r="D242" s="721" t="s">
        <v>1109</v>
      </c>
      <c r="E242" s="722">
        <v>42</v>
      </c>
      <c r="F242" s="714">
        <f t="shared" si="34"/>
        <v>0</v>
      </c>
      <c r="G242" s="1465" t="s">
        <v>1114</v>
      </c>
      <c r="I242" s="674"/>
    </row>
    <row r="243" spans="2:9">
      <c r="B243" s="672" t="s">
        <v>1116</v>
      </c>
      <c r="C243" s="723">
        <v>0</v>
      </c>
      <c r="D243" s="721" t="s">
        <v>1109</v>
      </c>
      <c r="E243" s="722">
        <v>600</v>
      </c>
      <c r="F243" s="714">
        <f t="shared" si="34"/>
        <v>0</v>
      </c>
      <c r="G243" s="1465" t="s">
        <v>1114</v>
      </c>
      <c r="I243" s="674"/>
    </row>
    <row r="244" spans="2:9">
      <c r="B244" s="672" t="s">
        <v>1117</v>
      </c>
      <c r="C244" s="723">
        <v>0</v>
      </c>
      <c r="D244" s="721" t="s">
        <v>1109</v>
      </c>
      <c r="E244" s="722">
        <v>760</v>
      </c>
      <c r="F244" s="714">
        <f t="shared" si="34"/>
        <v>0</v>
      </c>
      <c r="G244" s="1465" t="s">
        <v>1114</v>
      </c>
      <c r="I244" s="674"/>
    </row>
    <row r="245" spans="2:9">
      <c r="B245" s="672" t="s">
        <v>1118</v>
      </c>
      <c r="C245" s="723">
        <v>0</v>
      </c>
      <c r="D245" s="721" t="s">
        <v>1109</v>
      </c>
      <c r="E245" s="722">
        <v>600</v>
      </c>
      <c r="F245" s="714">
        <f t="shared" si="34"/>
        <v>0</v>
      </c>
      <c r="G245" s="1465" t="s">
        <v>1114</v>
      </c>
      <c r="I245" s="674"/>
    </row>
    <row r="246" spans="2:9">
      <c r="B246" s="672" t="s">
        <v>1119</v>
      </c>
      <c r="C246" s="723">
        <v>0</v>
      </c>
      <c r="D246" s="721" t="s">
        <v>1109</v>
      </c>
      <c r="E246" s="722">
        <v>170</v>
      </c>
      <c r="F246" s="714">
        <f t="shared" si="34"/>
        <v>0</v>
      </c>
      <c r="G246" s="1465" t="s">
        <v>1114</v>
      </c>
      <c r="I246" s="674"/>
    </row>
    <row r="247" spans="2:9">
      <c r="B247" s="672" t="s">
        <v>1120</v>
      </c>
      <c r="C247" s="723">
        <v>0</v>
      </c>
      <c r="D247" s="721" t="s">
        <v>1109</v>
      </c>
      <c r="E247" s="722">
        <v>200</v>
      </c>
      <c r="F247" s="714">
        <f t="shared" si="34"/>
        <v>0</v>
      </c>
      <c r="G247" s="1465" t="s">
        <v>1114</v>
      </c>
      <c r="I247" s="674"/>
    </row>
    <row r="248" spans="2:9">
      <c r="B248" s="673"/>
      <c r="C248" s="723">
        <v>0</v>
      </c>
      <c r="D248" s="721"/>
      <c r="E248" s="722">
        <v>0</v>
      </c>
      <c r="F248" s="714">
        <f t="shared" si="34"/>
        <v>0</v>
      </c>
      <c r="I248" s="674"/>
    </row>
    <row r="249" spans="2:9">
      <c r="B249" s="675" t="s">
        <v>3</v>
      </c>
      <c r="C249" s="724">
        <f>SUM(C233:C248)</f>
        <v>0</v>
      </c>
      <c r="D249" s="725"/>
      <c r="E249" s="725"/>
      <c r="F249" s="719">
        <f>SUM(F233:F248)</f>
        <v>0</v>
      </c>
      <c r="G249" s="726">
        <v>41639</v>
      </c>
      <c r="H249" s="682" t="s">
        <v>1121</v>
      </c>
      <c r="I249" s="674"/>
    </row>
    <row r="250" spans="2:9">
      <c r="B250" s="661"/>
      <c r="C250" s="661"/>
      <c r="D250" s="661"/>
      <c r="E250" s="661"/>
      <c r="F250" s="661"/>
      <c r="I250" s="674"/>
    </row>
    <row r="251" spans="2:9">
      <c r="B251" s="661"/>
      <c r="C251" s="661"/>
      <c r="D251" s="661"/>
      <c r="E251" s="661"/>
      <c r="F251" s="661"/>
      <c r="I251" s="674"/>
    </row>
    <row r="252" spans="2:9">
      <c r="B252" s="670" t="s">
        <v>1122</v>
      </c>
      <c r="C252" s="670" t="s">
        <v>147</v>
      </c>
      <c r="D252" s="670" t="s">
        <v>146</v>
      </c>
      <c r="E252" s="670" t="s">
        <v>1123</v>
      </c>
      <c r="F252" s="670" t="s">
        <v>1124</v>
      </c>
      <c r="I252" s="674"/>
    </row>
    <row r="253" spans="2:9">
      <c r="B253" s="727" t="s">
        <v>1125</v>
      </c>
      <c r="C253" s="5">
        <v>0</v>
      </c>
      <c r="D253" s="8" t="s">
        <v>137</v>
      </c>
      <c r="E253" s="21">
        <v>0</v>
      </c>
      <c r="F253" s="24">
        <f t="shared" ref="F253:F262" si="37">C253*E253</f>
        <v>0</v>
      </c>
      <c r="G253" s="726"/>
      <c r="I253" s="661"/>
    </row>
    <row r="254" spans="2:9">
      <c r="B254" s="727" t="s">
        <v>1126</v>
      </c>
      <c r="C254" s="5">
        <v>0</v>
      </c>
      <c r="D254" s="8" t="s">
        <v>564</v>
      </c>
      <c r="E254" s="21">
        <v>0</v>
      </c>
      <c r="F254" s="24">
        <f t="shared" si="37"/>
        <v>0</v>
      </c>
      <c r="G254" s="726"/>
      <c r="I254" s="661"/>
    </row>
    <row r="255" spans="2:9">
      <c r="B255" s="727" t="s">
        <v>1127</v>
      </c>
      <c r="C255" s="5">
        <v>0</v>
      </c>
      <c r="D255" s="8" t="s">
        <v>564</v>
      </c>
      <c r="E255" s="21">
        <v>0</v>
      </c>
      <c r="F255" s="24">
        <f t="shared" si="37"/>
        <v>0</v>
      </c>
      <c r="G255" s="726"/>
      <c r="I255" s="661"/>
    </row>
    <row r="256" spans="2:9">
      <c r="B256" s="727" t="s">
        <v>1128</v>
      </c>
      <c r="C256" s="5">
        <v>0</v>
      </c>
      <c r="D256" s="8" t="s">
        <v>137</v>
      </c>
      <c r="E256" s="21">
        <v>0.37</v>
      </c>
      <c r="F256" s="24">
        <f t="shared" si="37"/>
        <v>0</v>
      </c>
      <c r="G256" s="726"/>
      <c r="I256" s="661"/>
    </row>
    <row r="257" spans="2:9">
      <c r="B257" s="727" t="s">
        <v>1129</v>
      </c>
      <c r="C257" s="5">
        <v>0</v>
      </c>
      <c r="D257" s="8" t="s">
        <v>137</v>
      </c>
      <c r="E257" s="21"/>
      <c r="F257" s="24">
        <f t="shared" si="37"/>
        <v>0</v>
      </c>
      <c r="G257" s="726"/>
      <c r="I257" s="661"/>
    </row>
    <row r="258" spans="2:9">
      <c r="B258" s="727" t="s">
        <v>1129</v>
      </c>
      <c r="C258" s="5">
        <v>0</v>
      </c>
      <c r="D258" s="8" t="s">
        <v>137</v>
      </c>
      <c r="E258" s="21">
        <v>7.8E-2</v>
      </c>
      <c r="F258" s="24">
        <f t="shared" si="37"/>
        <v>0</v>
      </c>
      <c r="G258" s="726"/>
      <c r="I258" s="661"/>
    </row>
    <row r="259" spans="2:9">
      <c r="B259" s="727" t="s">
        <v>1130</v>
      </c>
      <c r="C259" s="5">
        <v>0</v>
      </c>
      <c r="D259" s="8" t="s">
        <v>564</v>
      </c>
      <c r="E259" s="21">
        <v>0.8</v>
      </c>
      <c r="F259" s="24">
        <f t="shared" si="37"/>
        <v>0</v>
      </c>
      <c r="G259" s="661"/>
      <c r="I259" s="661"/>
    </row>
    <row r="260" spans="2:9">
      <c r="B260" s="728" t="s">
        <v>1131</v>
      </c>
      <c r="C260" s="723">
        <v>0</v>
      </c>
      <c r="D260" s="729" t="s">
        <v>606</v>
      </c>
      <c r="E260" s="21">
        <v>1</v>
      </c>
      <c r="F260" s="24">
        <f t="shared" si="37"/>
        <v>0</v>
      </c>
      <c r="G260" s="661"/>
      <c r="I260" s="661"/>
    </row>
    <row r="261" spans="2:9">
      <c r="B261" s="728" t="s">
        <v>1132</v>
      </c>
      <c r="C261" s="723">
        <v>0</v>
      </c>
      <c r="D261" s="729" t="s">
        <v>137</v>
      </c>
      <c r="E261" s="21"/>
      <c r="F261" s="24">
        <f t="shared" si="37"/>
        <v>0</v>
      </c>
      <c r="G261" s="661"/>
      <c r="I261" s="661"/>
    </row>
    <row r="262" spans="2:9">
      <c r="B262" s="728"/>
      <c r="C262" s="723">
        <v>0</v>
      </c>
      <c r="D262" s="730"/>
      <c r="E262" s="21"/>
      <c r="F262" s="24">
        <f t="shared" si="37"/>
        <v>0</v>
      </c>
      <c r="G262" s="685" t="s">
        <v>1133</v>
      </c>
      <c r="I262" s="661"/>
    </row>
    <row r="263" spans="2:9">
      <c r="B263" s="677" t="s">
        <v>1134</v>
      </c>
      <c r="C263" s="676">
        <f>SUM(C253:C262)</f>
        <v>0</v>
      </c>
      <c r="D263" s="676"/>
      <c r="E263" s="676"/>
      <c r="F263" s="678">
        <f>SUM(F253:F262)</f>
        <v>0</v>
      </c>
    </row>
    <row r="264" spans="2:9">
      <c r="B264" s="679" t="s">
        <v>241</v>
      </c>
      <c r="C264" s="680"/>
      <c r="D264" s="680"/>
      <c r="E264" s="680"/>
      <c r="F264" s="681">
        <f>F249+F263</f>
        <v>0</v>
      </c>
    </row>
    <row r="265" spans="2:9">
      <c r="B265" s="661"/>
      <c r="C265" s="661"/>
      <c r="D265" s="661"/>
      <c r="E265" s="661"/>
      <c r="F265" s="661"/>
    </row>
    <row r="266" spans="2:9">
      <c r="B266" s="670" t="s">
        <v>1135</v>
      </c>
      <c r="C266" s="1092"/>
      <c r="D266" s="661"/>
      <c r="E266" s="661"/>
      <c r="F266" s="731">
        <f>F263</f>
        <v>0</v>
      </c>
    </row>
  </sheetData>
  <sheetProtection algorithmName="SHA-512" hashValue="f7V7h9xywCDk08WfO487wIqCuq4di79RYyM5P6obb865IHSss1z/B/EIn294shCc45MUh2T1NHtWIfjKKtxK1Q==" saltValue="dSf5Hls0GKCvj601AJ+Zyg==" spinCount="100000" sheet="1" formatCells="0" formatColumns="0" formatRows="0"/>
  <mergeCells count="39">
    <mergeCell ref="C76:D76"/>
    <mergeCell ref="C81:D81"/>
    <mergeCell ref="C88:D88"/>
    <mergeCell ref="C90:D90"/>
    <mergeCell ref="L1:N1"/>
    <mergeCell ref="I34:J34"/>
    <mergeCell ref="C78:D78"/>
    <mergeCell ref="E3:E4"/>
    <mergeCell ref="B2:H2"/>
    <mergeCell ref="C80:D80"/>
    <mergeCell ref="C3:D3"/>
    <mergeCell ref="I37:J37"/>
    <mergeCell ref="I38:J38"/>
    <mergeCell ref="C82:D82"/>
    <mergeCell ref="C83:D83"/>
    <mergeCell ref="G100:G101"/>
    <mergeCell ref="H107:H117"/>
    <mergeCell ref="C77:D77"/>
    <mergeCell ref="H120:H131"/>
    <mergeCell ref="C92:D92"/>
    <mergeCell ref="C91:D91"/>
    <mergeCell ref="C98:D98"/>
    <mergeCell ref="C99:D99"/>
    <mergeCell ref="C100:D100"/>
    <mergeCell ref="C101:D101"/>
    <mergeCell ref="C94:D94"/>
    <mergeCell ref="C93:D93"/>
    <mergeCell ref="C95:D95"/>
    <mergeCell ref="B200:D200"/>
    <mergeCell ref="C97:D97"/>
    <mergeCell ref="C96:D96"/>
    <mergeCell ref="C79:D79"/>
    <mergeCell ref="B201:D201"/>
    <mergeCell ref="B198:B199"/>
    <mergeCell ref="B169:C169"/>
    <mergeCell ref="C84:D84"/>
    <mergeCell ref="C85:D85"/>
    <mergeCell ref="C86:D86"/>
    <mergeCell ref="C87:D87"/>
  </mergeCells>
  <conditionalFormatting sqref="C227">
    <cfRule type="cellIs" dxfId="45" priority="2" stopIfTrue="1" operator="notEqual">
      <formula>$C$219</formula>
    </cfRule>
  </conditionalFormatting>
  <hyperlinks>
    <hyperlink ref="F189" r:id="rId1" xr:uid="{00000000-0004-0000-2200-000000000000}"/>
  </hyperlinks>
  <printOptions headings="1"/>
  <pageMargins left="0.74803149606299213" right="0.74803149606299213" top="0.98425196850393704" bottom="0.98425196850393704" header="0.51181102362204722" footer="0.51181102362204722"/>
  <pageSetup paperSize="9" scale="45" firstPageNumber="0" orientation="portrait" horizontalDpi="300" verticalDpi="300" r:id="rId2"/>
  <headerFooter alignWithMargins="0">
    <oddHeader>&amp;C=</oddHeader>
  </headerFooter>
  <rowBreaks count="2" manualBreakCount="2">
    <brk id="102" min="1" max="7" man="1"/>
    <brk id="167" min="1" max="7" man="1"/>
  </rowBreaks>
  <ignoredErrors>
    <ignoredError sqref="B36" formulaRange="1"/>
  </ignoredErrors>
  <drawing r:id="rId3"/>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ul26"/>
  <dimension ref="A1:AS81"/>
  <sheetViews>
    <sheetView zoomScale="80" zoomScaleNormal="80" workbookViewId="0">
      <pane xSplit="6" ySplit="1" topLeftCell="G2" activePane="bottomRight" state="frozen"/>
      <selection activeCell="C10" sqref="C10"/>
      <selection pane="topRight" activeCell="C10" sqref="C10"/>
      <selection pane="bottomLeft" activeCell="C10" sqref="C10"/>
      <selection pane="bottomRight" activeCell="Q44" sqref="Q44"/>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6" style="661" customWidth="1"/>
    <col min="7" max="7" width="31.140625" style="661" customWidth="1"/>
    <col min="8" max="8" width="13.42578125" style="661" customWidth="1"/>
    <col min="9" max="9" width="13.28515625" style="661" customWidth="1"/>
    <col min="10" max="10" width="13.42578125" style="661" customWidth="1"/>
    <col min="11" max="11" width="12" style="661" customWidth="1"/>
    <col min="12" max="12" width="14" style="661" customWidth="1"/>
    <col min="13" max="13" width="13.42578125" style="661" customWidth="1"/>
    <col min="14" max="14" width="17" style="661" customWidth="1"/>
    <col min="15" max="15" width="15.7109375" style="661" customWidth="1"/>
    <col min="16" max="16" width="16.42578125" style="661" customWidth="1"/>
    <col min="17" max="17" width="15.85546875" style="661" customWidth="1"/>
    <col min="18" max="18" width="14.85546875" style="661" customWidth="1"/>
    <col min="19" max="19" width="16.42578125" style="661" customWidth="1"/>
    <col min="20" max="20" width="13.7109375" style="661" customWidth="1"/>
    <col min="21" max="16384" width="11.42578125" style="661"/>
  </cols>
  <sheetData>
    <row r="1" spans="1:21" ht="51" customHeight="1" thickTop="1" thickBot="1">
      <c r="B1" s="1121" t="str">
        <f>"Yrityksen maksuvalmius ja kassavirtalaskelma "&amp;Ely</f>
        <v>Yrityksen maksuvalmius ja kassavirtalaskelma Peruslaskenta</v>
      </c>
      <c r="C1" s="732"/>
      <c r="D1" s="732"/>
      <c r="E1" s="732"/>
      <c r="F1" s="732"/>
      <c r="G1" s="732"/>
      <c r="H1" s="1122" t="str">
        <f>IFERROR(IF(H2&lt;0,"Kassakriisi "&amp;H3&amp;"kuu.Järjestä maksut uudelleen!","Selviät laskuista "&amp;H3&amp;"kuu"),"")</f>
        <v>Selviät laskuista Tammikuu</v>
      </c>
      <c r="I1" s="1122" t="str">
        <f t="shared" ref="I1:S1" si="0">IFERROR(IF(I2&lt;0,"Kassakriisi "&amp;I3&amp;"kuu.Järjestä maksut uudelleen!","Selviät laskuista "&amp;I3&amp;"kuu"),"")</f>
        <v>Selviät laskuista Helmikuu</v>
      </c>
      <c r="J1" s="1122" t="str">
        <f t="shared" si="0"/>
        <v>Selviät laskuista Maaliskuu</v>
      </c>
      <c r="K1" s="1122" t="str">
        <f t="shared" si="0"/>
        <v>Selviät laskuista Huhtikuu</v>
      </c>
      <c r="L1" s="1122" t="str">
        <f t="shared" si="0"/>
        <v>Selviät laskuista Toukokuu</v>
      </c>
      <c r="M1" s="1122" t="str">
        <f t="shared" si="0"/>
        <v>Selviät laskuista Kesäkuu</v>
      </c>
      <c r="N1" s="1122" t="str">
        <f t="shared" si="0"/>
        <v>Selviät laskuista Heinäkuu</v>
      </c>
      <c r="O1" s="1122" t="str">
        <f t="shared" si="0"/>
        <v>Selviät laskuista Elokuu</v>
      </c>
      <c r="P1" s="1122" t="str">
        <f t="shared" si="0"/>
        <v>Selviät laskuista Syyskuu</v>
      </c>
      <c r="Q1" s="1122" t="str">
        <f t="shared" si="0"/>
        <v>Selviät laskuista Lokakuu</v>
      </c>
      <c r="R1" s="1122" t="str">
        <f t="shared" si="0"/>
        <v>Selviät laskuista Marraskuu</v>
      </c>
      <c r="S1" s="1122" t="str">
        <f t="shared" si="0"/>
        <v>Selviät laskuista Joulukuu</v>
      </c>
      <c r="T1" s="733"/>
      <c r="U1" s="734"/>
    </row>
    <row r="2" spans="1:21" ht="21" thickTop="1">
      <c r="B2" s="1120"/>
      <c r="C2" s="1120"/>
      <c r="D2" s="1120"/>
      <c r="E2" s="1120"/>
      <c r="F2" s="1120"/>
      <c r="G2" s="1123"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04" t="s">
        <v>1136</v>
      </c>
      <c r="H3" s="735" t="s">
        <v>1137</v>
      </c>
      <c r="I3" s="735" t="s">
        <v>1138</v>
      </c>
      <c r="J3" s="735" t="s">
        <v>1139</v>
      </c>
      <c r="K3" s="735" t="s">
        <v>1140</v>
      </c>
      <c r="L3" s="735" t="s">
        <v>1141</v>
      </c>
      <c r="M3" s="735" t="s">
        <v>1142</v>
      </c>
      <c r="N3" s="735" t="s">
        <v>1143</v>
      </c>
      <c r="O3" s="735" t="s">
        <v>1144</v>
      </c>
      <c r="P3" s="735" t="s">
        <v>1145</v>
      </c>
      <c r="Q3" s="735" t="s">
        <v>1146</v>
      </c>
      <c r="R3" s="735" t="s">
        <v>1147</v>
      </c>
      <c r="S3" s="735" t="s">
        <v>1148</v>
      </c>
      <c r="T3" s="670" t="s">
        <v>3</v>
      </c>
      <c r="U3" s="736"/>
    </row>
    <row r="4" spans="1:21" s="670" customFormat="1" ht="18.75" customHeight="1" thickBot="1">
      <c r="A4" s="2804"/>
      <c r="B4" s="737" t="s">
        <v>1149</v>
      </c>
      <c r="G4" s="2805" t="s">
        <v>1150</v>
      </c>
      <c r="H4" s="1124">
        <v>0</v>
      </c>
      <c r="I4" s="738">
        <f>H58</f>
        <v>0</v>
      </c>
      <c r="J4" s="738">
        <f t="shared" ref="J4:S4" si="2">I58</f>
        <v>0</v>
      </c>
      <c r="K4" s="738">
        <f t="shared" si="2"/>
        <v>0</v>
      </c>
      <c r="L4" s="738">
        <f t="shared" si="2"/>
        <v>0</v>
      </c>
      <c r="M4" s="738">
        <f t="shared" si="2"/>
        <v>0</v>
      </c>
      <c r="N4" s="738">
        <f t="shared" si="2"/>
        <v>0</v>
      </c>
      <c r="O4" s="738">
        <f t="shared" si="2"/>
        <v>0</v>
      </c>
      <c r="P4" s="738">
        <f t="shared" si="2"/>
        <v>0</v>
      </c>
      <c r="Q4" s="738">
        <f t="shared" si="2"/>
        <v>0</v>
      </c>
      <c r="R4" s="738">
        <f t="shared" si="2"/>
        <v>0</v>
      </c>
      <c r="S4" s="738">
        <f t="shared" si="2"/>
        <v>0</v>
      </c>
      <c r="U4" s="736"/>
    </row>
    <row r="5" spans="1:21" s="670" customFormat="1" ht="29.25" customHeight="1" thickBot="1">
      <c r="A5" s="2804"/>
      <c r="B5" s="739" t="s">
        <v>1151</v>
      </c>
      <c r="F5" s="1244"/>
      <c r="G5" s="2805"/>
      <c r="H5" s="670" t="s">
        <v>1152</v>
      </c>
      <c r="U5" s="736"/>
    </row>
    <row r="6" spans="1:21" ht="14.25" thickTop="1" thickBot="1">
      <c r="A6" s="2804"/>
      <c r="B6" s="2806" t="s">
        <v>1153</v>
      </c>
      <c r="C6" s="2806"/>
      <c r="D6" s="2806"/>
      <c r="E6" s="2807"/>
      <c r="F6" s="1243"/>
      <c r="G6" s="1902">
        <f>SUM('Rakenna TULOSENNUSTE'!G23:G26,'Rakenna TULOSENNUSTE'!L23:L26)-T6</f>
        <v>0</v>
      </c>
      <c r="H6" s="741" t="s">
        <v>1154</v>
      </c>
      <c r="I6" s="741" t="s">
        <v>1154</v>
      </c>
      <c r="J6" s="741" t="s">
        <v>1154</v>
      </c>
      <c r="K6" s="741" t="s">
        <v>1154</v>
      </c>
      <c r="L6" s="741" t="s">
        <v>1154</v>
      </c>
      <c r="M6" s="741" t="s">
        <v>1154</v>
      </c>
      <c r="N6" s="741" t="s">
        <v>1154</v>
      </c>
      <c r="O6" s="741" t="s">
        <v>1154</v>
      </c>
      <c r="P6" s="741" t="s">
        <v>1154</v>
      </c>
      <c r="Q6" s="741" t="s">
        <v>1154</v>
      </c>
      <c r="R6" s="741" t="s">
        <v>1154</v>
      </c>
      <c r="S6" s="741" t="s">
        <v>1154</v>
      </c>
      <c r="T6" s="742">
        <f t="shared" ref="T6:T12" si="3">SUM(H6:S6)</f>
        <v>0</v>
      </c>
      <c r="U6" s="743"/>
    </row>
    <row r="7" spans="1:21" ht="14.25" thickTop="1" thickBot="1">
      <c r="A7" s="2804"/>
      <c r="B7" s="2806" t="s">
        <v>1155</v>
      </c>
      <c r="C7" s="2806"/>
      <c r="D7" s="2806"/>
      <c r="E7" s="2807"/>
      <c r="F7" s="1243"/>
      <c r="G7" s="1903">
        <f>'Rakenna TULOSENNUSTE'!G27+'Rakenna TULOSENNUSTE'!L27+'Rakenna TULOSENNUSTE'!G29+'Rakenna TULOSENNUSTE'!L29+'Rakenna TULOSENNUSTE'!G28+'Rakenna TULOSENNUSTE'!L28-T7</f>
        <v>0</v>
      </c>
      <c r="H7" s="741" t="s">
        <v>1154</v>
      </c>
      <c r="I7" s="741" t="s">
        <v>1154</v>
      </c>
      <c r="J7" s="741" t="s">
        <v>1154</v>
      </c>
      <c r="K7" s="741" t="s">
        <v>1154</v>
      </c>
      <c r="L7" s="741" t="s">
        <v>1154</v>
      </c>
      <c r="M7" s="741" t="s">
        <v>1154</v>
      </c>
      <c r="N7" s="741" t="s">
        <v>1154</v>
      </c>
      <c r="O7" s="741" t="s">
        <v>1154</v>
      </c>
      <c r="P7" s="741" t="s">
        <v>1154</v>
      </c>
      <c r="Q7" s="741" t="s">
        <v>1154</v>
      </c>
      <c r="R7" s="741" t="s">
        <v>1154</v>
      </c>
      <c r="S7" s="741" t="s">
        <v>1154</v>
      </c>
      <c r="T7" s="744">
        <f t="shared" si="3"/>
        <v>0</v>
      </c>
      <c r="U7" s="743"/>
    </row>
    <row r="8" spans="1:21" ht="14.25" thickTop="1" thickBot="1">
      <c r="A8" s="2804"/>
      <c r="B8" s="2806" t="s">
        <v>1156</v>
      </c>
      <c r="C8" s="2806"/>
      <c r="D8" s="2806"/>
      <c r="E8" s="2807"/>
      <c r="F8" s="1243"/>
      <c r="G8" s="1903">
        <f>SUM('Rakenna TULOSENNUSTE'!G5:G16,'Rakenna TULOSENNUSTE'!L5:L16)-T8</f>
        <v>0</v>
      </c>
      <c r="H8" s="741" t="s">
        <v>1154</v>
      </c>
      <c r="I8" s="741" t="s">
        <v>1154</v>
      </c>
      <c r="J8" s="741" t="s">
        <v>1154</v>
      </c>
      <c r="K8" s="741" t="s">
        <v>1154</v>
      </c>
      <c r="L8" s="741" t="s">
        <v>1154</v>
      </c>
      <c r="M8" s="741" t="s">
        <v>1154</v>
      </c>
      <c r="N8" s="741" t="s">
        <v>1154</v>
      </c>
      <c r="O8" s="741" t="s">
        <v>1154</v>
      </c>
      <c r="P8" s="741" t="s">
        <v>1154</v>
      </c>
      <c r="Q8" s="741" t="s">
        <v>1154</v>
      </c>
      <c r="R8" s="741" t="s">
        <v>1154</v>
      </c>
      <c r="S8" s="741" t="s">
        <v>1154</v>
      </c>
      <c r="T8" s="744">
        <f t="shared" si="3"/>
        <v>0</v>
      </c>
      <c r="U8" s="743"/>
    </row>
    <row r="9" spans="1:21" ht="14.25" thickTop="1" thickBot="1">
      <c r="A9" s="2804"/>
      <c r="B9" s="2806" t="s">
        <v>934</v>
      </c>
      <c r="C9" s="2806"/>
      <c r="D9" s="2806"/>
      <c r="E9" s="2807"/>
      <c r="F9" s="1243"/>
      <c r="G9" s="1903">
        <f>SUM('Rakenna TULOSENNUSTE'!G34,'Rakenna TULOSENNUSTE'!L34)-T9</f>
        <v>0</v>
      </c>
      <c r="H9" s="741" t="s">
        <v>1154</v>
      </c>
      <c r="I9" s="741" t="s">
        <v>1154</v>
      </c>
      <c r="J9" s="741" t="s">
        <v>1154</v>
      </c>
      <c r="K9" s="741" t="s">
        <v>1154</v>
      </c>
      <c r="L9" s="741" t="s">
        <v>1154</v>
      </c>
      <c r="M9" s="741" t="s">
        <v>1154</v>
      </c>
      <c r="N9" s="741" t="s">
        <v>1154</v>
      </c>
      <c r="O9" s="741" t="s">
        <v>1154</v>
      </c>
      <c r="P9" s="741" t="s">
        <v>1154</v>
      </c>
      <c r="Q9" s="741" t="s">
        <v>1154</v>
      </c>
      <c r="R9" s="741" t="s">
        <v>1154</v>
      </c>
      <c r="S9" s="741" t="s">
        <v>1154</v>
      </c>
      <c r="T9" s="744">
        <f t="shared" si="3"/>
        <v>0</v>
      </c>
      <c r="U9" s="743"/>
    </row>
    <row r="10" spans="1:21" ht="14.25" thickTop="1" thickBot="1">
      <c r="A10" s="2804"/>
      <c r="B10" s="2808" t="s">
        <v>1157</v>
      </c>
      <c r="C10" s="2808"/>
      <c r="D10" s="2808"/>
      <c r="E10" s="2809"/>
      <c r="F10" s="1243"/>
      <c r="G10" s="1903">
        <f>'Rakenna TULOSENNUSTE'!G19-T10</f>
        <v>0</v>
      </c>
      <c r="H10" s="741" t="s">
        <v>1154</v>
      </c>
      <c r="I10" s="741" t="s">
        <v>1154</v>
      </c>
      <c r="J10" s="741" t="s">
        <v>1154</v>
      </c>
      <c r="K10" s="741" t="s">
        <v>1154</v>
      </c>
      <c r="L10" s="741" t="s">
        <v>1154</v>
      </c>
      <c r="M10" s="741" t="s">
        <v>1154</v>
      </c>
      <c r="N10" s="741" t="s">
        <v>1154</v>
      </c>
      <c r="O10" s="741" t="s">
        <v>1154</v>
      </c>
      <c r="P10" s="741" t="s">
        <v>1154</v>
      </c>
      <c r="Q10" s="741" t="s">
        <v>1154</v>
      </c>
      <c r="R10" s="741" t="s">
        <v>1154</v>
      </c>
      <c r="S10" s="741" t="s">
        <v>1154</v>
      </c>
      <c r="T10" s="744">
        <f t="shared" si="3"/>
        <v>0</v>
      </c>
      <c r="U10" s="743"/>
    </row>
    <row r="11" spans="1:21" ht="14.25" thickTop="1" thickBot="1">
      <c r="A11" s="2804"/>
      <c r="B11" s="2808" t="s">
        <v>1158</v>
      </c>
      <c r="C11" s="2808"/>
      <c r="D11" s="2808"/>
      <c r="E11" s="2809"/>
      <c r="F11" s="1243"/>
      <c r="G11" s="395">
        <f>'Rakenna TULOSENNUSTE'!G31-T11</f>
        <v>0</v>
      </c>
      <c r="H11" s="741" t="s">
        <v>1154</v>
      </c>
      <c r="I11" s="741" t="s">
        <v>1154</v>
      </c>
      <c r="J11" s="741" t="s">
        <v>1154</v>
      </c>
      <c r="K11" s="741" t="s">
        <v>1154</v>
      </c>
      <c r="L11" s="741" t="s">
        <v>1154</v>
      </c>
      <c r="M11" s="741" t="s">
        <v>1154</v>
      </c>
      <c r="N11" s="741" t="s">
        <v>1154</v>
      </c>
      <c r="O11" s="741" t="s">
        <v>1154</v>
      </c>
      <c r="P11" s="741" t="s">
        <v>1154</v>
      </c>
      <c r="Q11" s="741" t="s">
        <v>1154</v>
      </c>
      <c r="R11" s="741" t="s">
        <v>1154</v>
      </c>
      <c r="S11" s="741" t="s">
        <v>1154</v>
      </c>
      <c r="T11" s="744">
        <f t="shared" si="3"/>
        <v>0</v>
      </c>
      <c r="U11" s="743"/>
    </row>
    <row r="12" spans="1:21" ht="13.5" thickTop="1">
      <c r="A12" s="2804"/>
      <c r="B12" s="2806" t="s">
        <v>1159</v>
      </c>
      <c r="C12" s="2806"/>
      <c r="D12" s="2806"/>
      <c r="E12" s="2807"/>
      <c r="F12" s="1243"/>
      <c r="G12" s="1614">
        <f>'Rakenna TULOSENNUSTE'!G37+'Rakenna TULOSENNUSTE'!L37+'Rakenna TULOSENNUSTE'!G38+'Rakenna TULOSENNUSTE'!L38-T12</f>
        <v>0</v>
      </c>
      <c r="H12" s="741" t="s">
        <v>1154</v>
      </c>
      <c r="I12" s="741" t="s">
        <v>1154</v>
      </c>
      <c r="J12" s="741" t="s">
        <v>1154</v>
      </c>
      <c r="K12" s="741" t="s">
        <v>1154</v>
      </c>
      <c r="L12" s="741" t="s">
        <v>1154</v>
      </c>
      <c r="M12" s="741" t="s">
        <v>1154</v>
      </c>
      <c r="N12" s="741" t="s">
        <v>1154</v>
      </c>
      <c r="O12" s="741" t="s">
        <v>1154</v>
      </c>
      <c r="P12" s="741" t="s">
        <v>1154</v>
      </c>
      <c r="Q12" s="741" t="s">
        <v>1154</v>
      </c>
      <c r="R12" s="741" t="s">
        <v>1154</v>
      </c>
      <c r="S12" s="741" t="s">
        <v>1154</v>
      </c>
      <c r="T12" s="744">
        <f t="shared" si="3"/>
        <v>0</v>
      </c>
      <c r="U12" s="743"/>
    </row>
    <row r="13" spans="1:21">
      <c r="A13" s="2804"/>
      <c r="B13" s="745" t="s">
        <v>1160</v>
      </c>
      <c r="G13" s="1904">
        <f>SUM(G6:G12)</f>
        <v>0</v>
      </c>
      <c r="H13" s="746">
        <f t="shared" ref="H13:S13" si="4">SUM(H6:H12)</f>
        <v>0</v>
      </c>
      <c r="I13" s="746">
        <f t="shared" si="4"/>
        <v>0</v>
      </c>
      <c r="J13" s="746">
        <f t="shared" si="4"/>
        <v>0</v>
      </c>
      <c r="K13" s="746">
        <f t="shared" si="4"/>
        <v>0</v>
      </c>
      <c r="L13" s="746">
        <f t="shared" si="4"/>
        <v>0</v>
      </c>
      <c r="M13" s="746">
        <f t="shared" si="4"/>
        <v>0</v>
      </c>
      <c r="N13" s="746">
        <f t="shared" si="4"/>
        <v>0</v>
      </c>
      <c r="O13" s="746">
        <f t="shared" si="4"/>
        <v>0</v>
      </c>
      <c r="P13" s="746">
        <f t="shared" si="4"/>
        <v>0</v>
      </c>
      <c r="Q13" s="746">
        <f t="shared" si="4"/>
        <v>0</v>
      </c>
      <c r="R13" s="746">
        <f t="shared" si="4"/>
        <v>0</v>
      </c>
      <c r="S13" s="747">
        <f t="shared" si="4"/>
        <v>0</v>
      </c>
      <c r="T13" s="744"/>
      <c r="U13" s="743"/>
    </row>
    <row r="14" spans="1:21" ht="21" customHeight="1">
      <c r="A14" s="2804"/>
      <c r="B14" s="739" t="s">
        <v>1161</v>
      </c>
      <c r="F14" s="2810"/>
      <c r="G14" s="2810"/>
      <c r="H14" s="2810"/>
      <c r="I14" s="2810"/>
      <c r="J14" s="2810"/>
      <c r="K14" s="2810"/>
      <c r="L14" s="2810"/>
      <c r="M14" s="2810"/>
      <c r="N14" s="2810"/>
      <c r="O14" s="2810"/>
      <c r="P14" s="2810"/>
      <c r="Q14" s="2810"/>
      <c r="R14" s="2810"/>
      <c r="S14" s="2810"/>
      <c r="T14" s="744"/>
      <c r="U14" s="743"/>
    </row>
    <row r="15" spans="1:21">
      <c r="A15" s="2804"/>
      <c r="B15" s="2801" t="s">
        <v>1162</v>
      </c>
      <c r="C15" s="2801"/>
      <c r="D15" s="2801"/>
      <c r="E15" s="2811"/>
      <c r="F15" s="1242"/>
      <c r="G15" s="1903">
        <f>SUM('Rakenna TULOSENNUSTE'!G43:G44,'Rakenna TULOSENNUSTE'!L43:L44)-T15</f>
        <v>0</v>
      </c>
      <c r="H15" s="748" t="s">
        <v>1154</v>
      </c>
      <c r="I15" s="748" t="s">
        <v>1154</v>
      </c>
      <c r="J15" s="748" t="s">
        <v>1154</v>
      </c>
      <c r="K15" s="748" t="s">
        <v>1154</v>
      </c>
      <c r="L15" s="748" t="s">
        <v>1154</v>
      </c>
      <c r="M15" s="748" t="s">
        <v>1154</v>
      </c>
      <c r="N15" s="748" t="s">
        <v>1154</v>
      </c>
      <c r="O15" s="748" t="s">
        <v>1154</v>
      </c>
      <c r="P15" s="748" t="s">
        <v>1154</v>
      </c>
      <c r="Q15" s="748" t="s">
        <v>1154</v>
      </c>
      <c r="R15" s="748" t="s">
        <v>1154</v>
      </c>
      <c r="S15" s="748" t="s">
        <v>1154</v>
      </c>
      <c r="T15" s="744">
        <f t="shared" ref="T15:T24" si="5">SUM(H15:S15)</f>
        <v>0</v>
      </c>
      <c r="U15" s="743"/>
    </row>
    <row r="16" spans="1:21">
      <c r="A16" s="2804"/>
      <c r="B16" s="2801" t="s">
        <v>1163</v>
      </c>
      <c r="C16" s="2801"/>
      <c r="D16" s="2801"/>
      <c r="E16" s="2811"/>
      <c r="F16" s="1242"/>
      <c r="G16" s="1903">
        <f>SUM('Rakenna TULOSENNUSTE'!G45,'Rakenna TULOSENNUSTE'!L45)-T16</f>
        <v>0</v>
      </c>
      <c r="H16" s="748" t="s">
        <v>1154</v>
      </c>
      <c r="I16" s="748" t="s">
        <v>1154</v>
      </c>
      <c r="J16" s="748" t="s">
        <v>1154</v>
      </c>
      <c r="K16" s="748" t="s">
        <v>1154</v>
      </c>
      <c r="L16" s="748" t="s">
        <v>1154</v>
      </c>
      <c r="M16" s="748" t="s">
        <v>1154</v>
      </c>
      <c r="N16" s="748" t="s">
        <v>1154</v>
      </c>
      <c r="O16" s="748" t="s">
        <v>1154</v>
      </c>
      <c r="P16" s="748" t="s">
        <v>1154</v>
      </c>
      <c r="Q16" s="748" t="s">
        <v>1154</v>
      </c>
      <c r="R16" s="748" t="s">
        <v>1154</v>
      </c>
      <c r="S16" s="748" t="s">
        <v>1154</v>
      </c>
      <c r="T16" s="744">
        <f t="shared" si="5"/>
        <v>0</v>
      </c>
      <c r="U16" s="743"/>
    </row>
    <row r="17" spans="1:21">
      <c r="A17" s="2804"/>
      <c r="B17" s="2801" t="s">
        <v>1164</v>
      </c>
      <c r="C17" s="2801"/>
      <c r="D17" s="2801"/>
      <c r="E17" s="2811"/>
      <c r="F17" s="1242"/>
      <c r="G17" s="1903">
        <f>SUM('Rakenna TULOSENNUSTE'!G46,'Rakenna TULOSENNUSTE'!L46)-T17</f>
        <v>0</v>
      </c>
      <c r="H17" s="748" t="s">
        <v>1154</v>
      </c>
      <c r="I17" s="748" t="s">
        <v>1154</v>
      </c>
      <c r="J17" s="748" t="s">
        <v>1154</v>
      </c>
      <c r="K17" s="748" t="s">
        <v>1154</v>
      </c>
      <c r="L17" s="748" t="s">
        <v>1154</v>
      </c>
      <c r="M17" s="748" t="s">
        <v>1154</v>
      </c>
      <c r="N17" s="748" t="s">
        <v>1154</v>
      </c>
      <c r="O17" s="748" t="s">
        <v>1154</v>
      </c>
      <c r="P17" s="748" t="s">
        <v>1154</v>
      </c>
      <c r="Q17" s="748" t="s">
        <v>1154</v>
      </c>
      <c r="R17" s="748" t="s">
        <v>1154</v>
      </c>
      <c r="S17" s="748" t="s">
        <v>1154</v>
      </c>
      <c r="T17" s="744">
        <f t="shared" si="5"/>
        <v>0</v>
      </c>
      <c r="U17" s="743"/>
    </row>
    <row r="18" spans="1:21">
      <c r="A18" s="2804"/>
      <c r="B18" s="2801" t="s">
        <v>1165</v>
      </c>
      <c r="C18" s="2801"/>
      <c r="D18" s="2801"/>
      <c r="E18" s="2811"/>
      <c r="F18" s="1242"/>
      <c r="G18" s="1903">
        <f>SUM('Rakenna TULOSENNUSTE'!G47:G54,'Rakenna TULOSENNUSTE'!L47:L54)-T18</f>
        <v>0</v>
      </c>
      <c r="H18" s="748" t="s">
        <v>1154</v>
      </c>
      <c r="I18" s="748" t="s">
        <v>1154</v>
      </c>
      <c r="J18" s="748" t="s">
        <v>1154</v>
      </c>
      <c r="K18" s="748" t="s">
        <v>1154</v>
      </c>
      <c r="L18" s="748" t="s">
        <v>1154</v>
      </c>
      <c r="M18" s="748" t="s">
        <v>1154</v>
      </c>
      <c r="N18" s="748" t="s">
        <v>1154</v>
      </c>
      <c r="O18" s="748" t="s">
        <v>1154</v>
      </c>
      <c r="P18" s="748" t="s">
        <v>1154</v>
      </c>
      <c r="Q18" s="748" t="s">
        <v>1154</v>
      </c>
      <c r="R18" s="748" t="s">
        <v>1154</v>
      </c>
      <c r="S18" s="748" t="s">
        <v>1154</v>
      </c>
      <c r="T18" s="744">
        <f t="shared" si="5"/>
        <v>0</v>
      </c>
      <c r="U18" s="743"/>
    </row>
    <row r="19" spans="1:21">
      <c r="A19" s="2804"/>
      <c r="B19" s="2801" t="s">
        <v>1166</v>
      </c>
      <c r="C19" s="2801"/>
      <c r="D19" s="2801"/>
      <c r="E19" s="2811"/>
      <c r="F19" s="1242"/>
      <c r="G19" s="1903">
        <f>SUM('Rakenna TULOSENNUSTE'!G68,'Rakenna TULOSENNUSTE'!L68)-T19</f>
        <v>0</v>
      </c>
      <c r="H19" s="748" t="s">
        <v>1154</v>
      </c>
      <c r="I19" s="748" t="s">
        <v>1154</v>
      </c>
      <c r="J19" s="748" t="s">
        <v>1154</v>
      </c>
      <c r="K19" s="748" t="s">
        <v>1154</v>
      </c>
      <c r="L19" s="748" t="s">
        <v>1154</v>
      </c>
      <c r="M19" s="748" t="s">
        <v>1154</v>
      </c>
      <c r="N19" s="748" t="s">
        <v>1154</v>
      </c>
      <c r="O19" s="748" t="s">
        <v>1154</v>
      </c>
      <c r="P19" s="748" t="s">
        <v>1154</v>
      </c>
      <c r="Q19" s="748" t="s">
        <v>1154</v>
      </c>
      <c r="R19" s="748" t="s">
        <v>1154</v>
      </c>
      <c r="S19" s="748" t="s">
        <v>1154</v>
      </c>
      <c r="T19" s="744">
        <f t="shared" si="5"/>
        <v>0</v>
      </c>
      <c r="U19" s="743"/>
    </row>
    <row r="20" spans="1:21">
      <c r="A20" s="2804"/>
      <c r="B20" s="2801" t="s">
        <v>1167</v>
      </c>
      <c r="C20" s="2802"/>
      <c r="D20" s="2802"/>
      <c r="E20" s="2803"/>
      <c r="F20" s="1242"/>
      <c r="G20" s="1903">
        <f>SUM('Rakenna TULOSENNUSTE'!G58:G61,'Rakenna TULOSENNUSTE'!L58:L61)-T20</f>
        <v>0</v>
      </c>
      <c r="H20" s="748" t="s">
        <v>1154</v>
      </c>
      <c r="I20" s="748" t="s">
        <v>1154</v>
      </c>
      <c r="J20" s="748" t="s">
        <v>1154</v>
      </c>
      <c r="K20" s="748" t="s">
        <v>1154</v>
      </c>
      <c r="L20" s="748" t="s">
        <v>1154</v>
      </c>
      <c r="M20" s="748" t="s">
        <v>1154</v>
      </c>
      <c r="N20" s="748" t="s">
        <v>1154</v>
      </c>
      <c r="O20" s="748" t="s">
        <v>1154</v>
      </c>
      <c r="P20" s="748" t="s">
        <v>1154</v>
      </c>
      <c r="Q20" s="748" t="s">
        <v>1154</v>
      </c>
      <c r="R20" s="748" t="s">
        <v>1154</v>
      </c>
      <c r="S20" s="748" t="s">
        <v>1154</v>
      </c>
      <c r="T20" s="744">
        <f t="shared" si="5"/>
        <v>0</v>
      </c>
      <c r="U20" s="743"/>
    </row>
    <row r="21" spans="1:21">
      <c r="A21" s="2804"/>
      <c r="B21" s="2801" t="s">
        <v>1168</v>
      </c>
      <c r="C21" s="2802"/>
      <c r="D21" s="2802"/>
      <c r="E21" s="2803"/>
      <c r="F21" s="1242"/>
      <c r="G21" s="1903">
        <f>SUM('Rakenna TULOSENNUSTE'!G62:G64,'Rakenna TULOSENNUSTE'!L62:L64)-T21</f>
        <v>0</v>
      </c>
      <c r="H21" s="748" t="s">
        <v>1154</v>
      </c>
      <c r="I21" s="748" t="s">
        <v>1154</v>
      </c>
      <c r="J21" s="748" t="s">
        <v>1154</v>
      </c>
      <c r="K21" s="748" t="s">
        <v>1154</v>
      </c>
      <c r="L21" s="748" t="s">
        <v>1154</v>
      </c>
      <c r="M21" s="748" t="s">
        <v>1154</v>
      </c>
      <c r="N21" s="748" t="s">
        <v>1154</v>
      </c>
      <c r="O21" s="748" t="s">
        <v>1154</v>
      </c>
      <c r="P21" s="748" t="s">
        <v>1154</v>
      </c>
      <c r="Q21" s="748" t="s">
        <v>1154</v>
      </c>
      <c r="R21" s="748" t="s">
        <v>1154</v>
      </c>
      <c r="S21" s="748" t="s">
        <v>1154</v>
      </c>
      <c r="T21" s="744">
        <f t="shared" si="5"/>
        <v>0</v>
      </c>
      <c r="U21" s="743"/>
    </row>
    <row r="22" spans="1:21">
      <c r="A22" s="2804"/>
      <c r="B22" s="2801"/>
      <c r="C22" s="2802"/>
      <c r="D22" s="2802"/>
      <c r="E22" s="2803"/>
      <c r="F22" s="1242"/>
      <c r="G22" s="1903"/>
      <c r="H22" s="748" t="s">
        <v>1154</v>
      </c>
      <c r="I22" s="748" t="s">
        <v>1154</v>
      </c>
      <c r="J22" s="748" t="s">
        <v>1154</v>
      </c>
      <c r="K22" s="748" t="s">
        <v>1154</v>
      </c>
      <c r="L22" s="748" t="s">
        <v>1154</v>
      </c>
      <c r="M22" s="748" t="s">
        <v>1154</v>
      </c>
      <c r="N22" s="748" t="s">
        <v>1154</v>
      </c>
      <c r="O22" s="748" t="s">
        <v>1154</v>
      </c>
      <c r="P22" s="748" t="s">
        <v>1154</v>
      </c>
      <c r="Q22" s="748" t="s">
        <v>1154</v>
      </c>
      <c r="R22" s="748" t="s">
        <v>1154</v>
      </c>
      <c r="S22" s="748" t="s">
        <v>1154</v>
      </c>
      <c r="T22" s="744">
        <f t="shared" si="5"/>
        <v>0</v>
      </c>
      <c r="U22" s="743"/>
    </row>
    <row r="23" spans="1:21">
      <c r="A23" s="2804"/>
      <c r="B23" s="2801" t="s">
        <v>1169</v>
      </c>
      <c r="C23" s="2801"/>
      <c r="D23" s="2801"/>
      <c r="E23" s="2811"/>
      <c r="F23" s="1242"/>
      <c r="G23" s="1903">
        <f>SUM('Rakenna TULOSENNUSTE'!F135:F140,'Rakenna TULOSENNUSTE'!L135:L140,'Rakenna TULOSENNUSTE'!D142:F145,'Rakenna TULOSENNUSTE'!L142:L145)-T23</f>
        <v>0</v>
      </c>
      <c r="H23" s="748" t="s">
        <v>1154</v>
      </c>
      <c r="I23" s="748" t="s">
        <v>1154</v>
      </c>
      <c r="J23" s="748" t="s">
        <v>1154</v>
      </c>
      <c r="K23" s="748" t="s">
        <v>1154</v>
      </c>
      <c r="L23" s="748" t="s">
        <v>1154</v>
      </c>
      <c r="M23" s="748" t="s">
        <v>1154</v>
      </c>
      <c r="N23" s="748" t="s">
        <v>1154</v>
      </c>
      <c r="O23" s="748" t="s">
        <v>1154</v>
      </c>
      <c r="P23" s="748" t="s">
        <v>1154</v>
      </c>
      <c r="Q23" s="748" t="s">
        <v>1154</v>
      </c>
      <c r="R23" s="748" t="s">
        <v>1154</v>
      </c>
      <c r="S23" s="748" t="s">
        <v>1154</v>
      </c>
      <c r="T23" s="744">
        <f t="shared" si="5"/>
        <v>0</v>
      </c>
      <c r="U23" s="743"/>
    </row>
    <row r="24" spans="1:21">
      <c r="A24" s="2804"/>
      <c r="B24" s="2801"/>
      <c r="C24" s="2801"/>
      <c r="D24" s="2801"/>
      <c r="E24" s="2811"/>
      <c r="F24" s="1242"/>
      <c r="G24" s="1614"/>
      <c r="H24" s="748" t="s">
        <v>1154</v>
      </c>
      <c r="I24" s="748" t="s">
        <v>1154</v>
      </c>
      <c r="J24" s="748" t="s">
        <v>1154</v>
      </c>
      <c r="K24" s="748" t="s">
        <v>1154</v>
      </c>
      <c r="L24" s="748" t="s">
        <v>1154</v>
      </c>
      <c r="M24" s="748" t="s">
        <v>1154</v>
      </c>
      <c r="N24" s="748" t="s">
        <v>1154</v>
      </c>
      <c r="O24" s="748" t="s">
        <v>1154</v>
      </c>
      <c r="P24" s="748" t="s">
        <v>1154</v>
      </c>
      <c r="Q24" s="748" t="s">
        <v>1154</v>
      </c>
      <c r="R24" s="748" t="s">
        <v>1154</v>
      </c>
      <c r="S24" s="748" t="s">
        <v>1154</v>
      </c>
      <c r="T24" s="744">
        <f t="shared" si="5"/>
        <v>0</v>
      </c>
      <c r="U24" s="743"/>
    </row>
    <row r="25" spans="1:21">
      <c r="A25" s="2804"/>
      <c r="B25" s="749"/>
      <c r="G25" s="1903"/>
      <c r="H25" s="750"/>
      <c r="I25" s="751"/>
      <c r="J25" s="751"/>
      <c r="K25" s="751"/>
      <c r="L25" s="751"/>
      <c r="M25" s="751"/>
      <c r="N25" s="751"/>
      <c r="O25" s="751"/>
      <c r="P25" s="751"/>
      <c r="Q25" s="751"/>
      <c r="R25" s="751"/>
      <c r="S25" s="752"/>
      <c r="T25" s="744"/>
      <c r="U25" s="743"/>
    </row>
    <row r="26" spans="1:21">
      <c r="A26" s="2804"/>
      <c r="B26" s="745" t="s">
        <v>1170</v>
      </c>
      <c r="G26" s="1905">
        <f>SUM(G15:G25)</f>
        <v>0</v>
      </c>
      <c r="H26" s="753">
        <f t="shared" ref="H26:S26" si="6">SUM(H15:H24)</f>
        <v>0</v>
      </c>
      <c r="I26" s="753">
        <f t="shared" si="6"/>
        <v>0</v>
      </c>
      <c r="J26" s="753">
        <f t="shared" si="6"/>
        <v>0</v>
      </c>
      <c r="K26" s="753">
        <f t="shared" si="6"/>
        <v>0</v>
      </c>
      <c r="L26" s="753">
        <f t="shared" si="6"/>
        <v>0</v>
      </c>
      <c r="M26" s="753">
        <f t="shared" si="6"/>
        <v>0</v>
      </c>
      <c r="N26" s="753">
        <f t="shared" si="6"/>
        <v>0</v>
      </c>
      <c r="O26" s="753">
        <f t="shared" si="6"/>
        <v>0</v>
      </c>
      <c r="P26" s="753">
        <f t="shared" si="6"/>
        <v>0</v>
      </c>
      <c r="Q26" s="753">
        <f t="shared" si="6"/>
        <v>0</v>
      </c>
      <c r="R26" s="753">
        <f t="shared" si="6"/>
        <v>0</v>
      </c>
      <c r="S26" s="747">
        <f t="shared" si="6"/>
        <v>0</v>
      </c>
      <c r="T26" s="744">
        <f t="shared" ref="T26:T31" si="7">SUM(H26:S26)</f>
        <v>0</v>
      </c>
      <c r="U26" s="743"/>
    </row>
    <row r="27" spans="1:21">
      <c r="A27" s="2804"/>
      <c r="B27" s="745" t="s">
        <v>1171</v>
      </c>
      <c r="G27" s="1903"/>
      <c r="H27" s="746">
        <f t="shared" ref="H27:S27" si="8">H13-H26</f>
        <v>0</v>
      </c>
      <c r="I27" s="746">
        <f t="shared" si="8"/>
        <v>0</v>
      </c>
      <c r="J27" s="746">
        <f t="shared" si="8"/>
        <v>0</v>
      </c>
      <c r="K27" s="746">
        <f t="shared" si="8"/>
        <v>0</v>
      </c>
      <c r="L27" s="746">
        <f t="shared" si="8"/>
        <v>0</v>
      </c>
      <c r="M27" s="746">
        <f t="shared" si="8"/>
        <v>0</v>
      </c>
      <c r="N27" s="746">
        <f t="shared" si="8"/>
        <v>0</v>
      </c>
      <c r="O27" s="746">
        <f t="shared" si="8"/>
        <v>0</v>
      </c>
      <c r="P27" s="746">
        <f t="shared" si="8"/>
        <v>0</v>
      </c>
      <c r="Q27" s="746">
        <f t="shared" si="8"/>
        <v>0</v>
      </c>
      <c r="R27" s="746">
        <f t="shared" si="8"/>
        <v>0</v>
      </c>
      <c r="S27" s="747">
        <f t="shared" si="8"/>
        <v>0</v>
      </c>
      <c r="T27" s="744">
        <f t="shared" si="7"/>
        <v>0</v>
      </c>
      <c r="U27" s="743"/>
    </row>
    <row r="28" spans="1:21">
      <c r="A28" s="2804"/>
      <c r="B28" s="749"/>
      <c r="G28" s="1903"/>
      <c r="H28" s="746"/>
      <c r="I28" s="754"/>
      <c r="J28" s="754"/>
      <c r="K28" s="754"/>
      <c r="L28" s="754"/>
      <c r="M28" s="754"/>
      <c r="N28" s="754"/>
      <c r="O28" s="754"/>
      <c r="P28" s="754"/>
      <c r="Q28" s="754"/>
      <c r="R28" s="754"/>
      <c r="S28" s="755"/>
      <c r="T28" s="744">
        <f t="shared" si="7"/>
        <v>0</v>
      </c>
      <c r="U28" s="743"/>
    </row>
    <row r="29" spans="1:21">
      <c r="A29" s="2804"/>
      <c r="B29" s="745" t="s">
        <v>1172</v>
      </c>
      <c r="G29" s="1614">
        <f>SUM('Rakenna TULOSENNUSTE'!G36,'Rakenna TULOSENNUSTE'!L36)</f>
        <v>0</v>
      </c>
      <c r="H29" s="756">
        <v>0</v>
      </c>
      <c r="I29" s="756">
        <v>0</v>
      </c>
      <c r="J29" s="756">
        <v>0</v>
      </c>
      <c r="K29" s="756">
        <v>0</v>
      </c>
      <c r="L29" s="756">
        <v>0</v>
      </c>
      <c r="M29" s="756">
        <v>0</v>
      </c>
      <c r="N29" s="756">
        <v>0</v>
      </c>
      <c r="O29" s="756">
        <v>0</v>
      </c>
      <c r="P29" s="756">
        <v>0</v>
      </c>
      <c r="Q29" s="756">
        <v>0</v>
      </c>
      <c r="R29" s="756">
        <v>0</v>
      </c>
      <c r="S29" s="757">
        <v>0</v>
      </c>
      <c r="T29" s="744">
        <f t="shared" si="7"/>
        <v>0</v>
      </c>
      <c r="U29" s="743"/>
    </row>
    <row r="30" spans="1:21">
      <c r="A30" s="2804"/>
      <c r="B30" s="745" t="s">
        <v>1173</v>
      </c>
      <c r="G30" s="1614">
        <f>SUM('Rakenna TULOSENNUSTE'!G70,'Rakenna TULOSENNUSTE'!L70,'Rakenna TULOSENNUSTE'!F141+'Rakenna TULOSENNUSTE'!L141)</f>
        <v>0</v>
      </c>
      <c r="H30" s="758">
        <v>0</v>
      </c>
      <c r="I30" s="758">
        <v>0</v>
      </c>
      <c r="J30" s="758">
        <v>0</v>
      </c>
      <c r="K30" s="758">
        <v>0</v>
      </c>
      <c r="L30" s="758">
        <v>0</v>
      </c>
      <c r="M30" s="758">
        <v>0</v>
      </c>
      <c r="N30" s="758">
        <v>0</v>
      </c>
      <c r="O30" s="758">
        <v>0</v>
      </c>
      <c r="P30" s="758">
        <v>0</v>
      </c>
      <c r="Q30" s="758">
        <v>0</v>
      </c>
      <c r="R30" s="758">
        <v>0</v>
      </c>
      <c r="S30" s="758">
        <v>0</v>
      </c>
      <c r="T30" s="744">
        <f t="shared" si="7"/>
        <v>0</v>
      </c>
      <c r="U30" s="743"/>
    </row>
    <row r="31" spans="1:21">
      <c r="A31" s="2804"/>
      <c r="B31" s="745" t="s">
        <v>1174</v>
      </c>
      <c r="G31" s="1903"/>
      <c r="H31" s="746">
        <f t="shared" ref="H31:S31" si="9">H29-H30</f>
        <v>0</v>
      </c>
      <c r="I31" s="746">
        <f t="shared" si="9"/>
        <v>0</v>
      </c>
      <c r="J31" s="746">
        <f t="shared" si="9"/>
        <v>0</v>
      </c>
      <c r="K31" s="746">
        <f t="shared" si="9"/>
        <v>0</v>
      </c>
      <c r="L31" s="746">
        <f t="shared" si="9"/>
        <v>0</v>
      </c>
      <c r="M31" s="746">
        <f t="shared" si="9"/>
        <v>0</v>
      </c>
      <c r="N31" s="746">
        <f t="shared" si="9"/>
        <v>0</v>
      </c>
      <c r="O31" s="746">
        <f t="shared" si="9"/>
        <v>0</v>
      </c>
      <c r="P31" s="746">
        <f t="shared" si="9"/>
        <v>0</v>
      </c>
      <c r="Q31" s="746">
        <f t="shared" si="9"/>
        <v>0</v>
      </c>
      <c r="R31" s="746">
        <f t="shared" si="9"/>
        <v>0</v>
      </c>
      <c r="S31" s="747">
        <f t="shared" si="9"/>
        <v>0</v>
      </c>
      <c r="T31" s="744">
        <f t="shared" si="7"/>
        <v>0</v>
      </c>
      <c r="U31" s="743"/>
    </row>
    <row r="32" spans="1:21" ht="12" customHeight="1">
      <c r="A32" s="2804"/>
      <c r="B32" s="745"/>
      <c r="G32" s="1903"/>
      <c r="H32" s="2813"/>
      <c r="I32" s="2813"/>
      <c r="J32" s="2813"/>
      <c r="K32" s="2813"/>
      <c r="L32" s="2813"/>
      <c r="M32" s="2813"/>
      <c r="N32" s="2813"/>
      <c r="O32" s="2813"/>
      <c r="P32" s="2813"/>
      <c r="Q32" s="2813"/>
      <c r="R32" s="2813"/>
      <c r="S32" s="2813"/>
      <c r="T32" s="744"/>
      <c r="U32" s="743"/>
    </row>
    <row r="33" spans="1:45" ht="13.5" thickBot="1">
      <c r="A33" s="2804"/>
      <c r="B33" s="866" t="s">
        <v>1175</v>
      </c>
      <c r="G33" s="1138">
        <f>SUM('Rakenna TULOSENNUSTE'!G34:G38,'Rakenna TULOSENNUSTE'!L34:L38)</f>
        <v>0</v>
      </c>
      <c r="H33" s="756">
        <v>0</v>
      </c>
      <c r="I33" s="756">
        <v>0</v>
      </c>
      <c r="J33" s="756">
        <v>0</v>
      </c>
      <c r="K33" s="756">
        <v>0</v>
      </c>
      <c r="L33" s="756">
        <v>0</v>
      </c>
      <c r="M33" s="756">
        <v>0</v>
      </c>
      <c r="N33" s="756">
        <v>0</v>
      </c>
      <c r="O33" s="756">
        <v>0</v>
      </c>
      <c r="P33" s="756">
        <v>0</v>
      </c>
      <c r="Q33" s="756">
        <v>0</v>
      </c>
      <c r="R33" s="756">
        <v>0</v>
      </c>
      <c r="S33" s="756">
        <v>0</v>
      </c>
      <c r="T33" s="744">
        <f t="shared" ref="T33:T39" si="10">SUM(H33:S33)</f>
        <v>0</v>
      </c>
      <c r="U33" s="743"/>
    </row>
    <row r="34" spans="1:45" ht="13.5" thickTop="1">
      <c r="A34" s="2804"/>
      <c r="B34" s="2806" t="s">
        <v>1176</v>
      </c>
      <c r="C34" s="2806"/>
      <c r="D34" s="2806"/>
      <c r="E34" s="2807"/>
      <c r="F34" s="1242"/>
      <c r="G34" s="2814">
        <f>SUM('Rakenna TULOSENNUSTE'!G69:G72,'Rakenna TULOSENNUSTE'!L69:L72)</f>
        <v>0</v>
      </c>
      <c r="H34" s="1103" t="s">
        <v>1154</v>
      </c>
      <c r="I34" s="758" t="s">
        <v>1154</v>
      </c>
      <c r="J34" s="758" t="s">
        <v>1154</v>
      </c>
      <c r="K34" s="758" t="s">
        <v>1154</v>
      </c>
      <c r="L34" s="758" t="s">
        <v>1154</v>
      </c>
      <c r="M34" s="758" t="s">
        <v>1154</v>
      </c>
      <c r="N34" s="758" t="s">
        <v>1154</v>
      </c>
      <c r="O34" s="758" t="s">
        <v>1154</v>
      </c>
      <c r="P34" s="758" t="s">
        <v>1154</v>
      </c>
      <c r="Q34" s="758" t="s">
        <v>1154</v>
      </c>
      <c r="R34" s="758" t="s">
        <v>1154</v>
      </c>
      <c r="S34" s="758" t="s">
        <v>1154</v>
      </c>
      <c r="T34" s="744">
        <f t="shared" si="10"/>
        <v>0</v>
      </c>
      <c r="U34" s="743"/>
    </row>
    <row r="35" spans="1:45">
      <c r="A35" s="2804"/>
      <c r="B35" s="2806" t="s">
        <v>1177</v>
      </c>
      <c r="C35" s="2806"/>
      <c r="D35" s="2806"/>
      <c r="E35" s="2807"/>
      <c r="F35" s="1242"/>
      <c r="G35" s="2815"/>
      <c r="H35" s="1103" t="s">
        <v>1154</v>
      </c>
      <c r="I35" s="748" t="s">
        <v>1154</v>
      </c>
      <c r="J35" s="748" t="s">
        <v>1154</v>
      </c>
      <c r="K35" s="748" t="s">
        <v>1154</v>
      </c>
      <c r="L35" s="748" t="s">
        <v>1154</v>
      </c>
      <c r="M35" s="748" t="s">
        <v>1154</v>
      </c>
      <c r="N35" s="748" t="s">
        <v>1154</v>
      </c>
      <c r="O35" s="748" t="s">
        <v>1154</v>
      </c>
      <c r="P35" s="748" t="s">
        <v>1154</v>
      </c>
      <c r="Q35" s="748" t="s">
        <v>1154</v>
      </c>
      <c r="R35" s="748" t="s">
        <v>1154</v>
      </c>
      <c r="S35" s="748" t="s">
        <v>1154</v>
      </c>
      <c r="T35" s="744">
        <f t="shared" si="10"/>
        <v>0</v>
      </c>
      <c r="U35" s="743"/>
    </row>
    <row r="36" spans="1:45">
      <c r="A36" s="2804"/>
      <c r="B36" s="2806" t="s">
        <v>1178</v>
      </c>
      <c r="C36" s="2806"/>
      <c r="D36" s="2806"/>
      <c r="E36" s="2807"/>
      <c r="F36" s="1242"/>
      <c r="G36" s="2815"/>
      <c r="H36" s="1103" t="s">
        <v>1154</v>
      </c>
      <c r="I36" s="748" t="s">
        <v>1154</v>
      </c>
      <c r="J36" s="748" t="s">
        <v>1154</v>
      </c>
      <c r="K36" s="748" t="s">
        <v>1154</v>
      </c>
      <c r="L36" s="748" t="s">
        <v>1154</v>
      </c>
      <c r="M36" s="748" t="s">
        <v>1154</v>
      </c>
      <c r="N36" s="748" t="s">
        <v>1154</v>
      </c>
      <c r="O36" s="748" t="s">
        <v>1154</v>
      </c>
      <c r="P36" s="748" t="s">
        <v>1154</v>
      </c>
      <c r="Q36" s="748" t="s">
        <v>1154</v>
      </c>
      <c r="R36" s="748" t="s">
        <v>1154</v>
      </c>
      <c r="S36" s="748" t="s">
        <v>1154</v>
      </c>
      <c r="T36" s="744">
        <f t="shared" si="10"/>
        <v>0</v>
      </c>
      <c r="U36" s="743"/>
    </row>
    <row r="37" spans="1:45">
      <c r="A37" s="2804"/>
      <c r="B37" s="2806" t="s">
        <v>1179</v>
      </c>
      <c r="C37" s="2806"/>
      <c r="D37" s="2806"/>
      <c r="E37" s="2807"/>
      <c r="F37" s="1242"/>
      <c r="G37" s="2815"/>
      <c r="H37" s="1103" t="s">
        <v>1154</v>
      </c>
      <c r="I37" s="748" t="s">
        <v>1154</v>
      </c>
      <c r="J37" s="748" t="s">
        <v>1154</v>
      </c>
      <c r="K37" s="748" t="s">
        <v>1154</v>
      </c>
      <c r="L37" s="748" t="s">
        <v>1154</v>
      </c>
      <c r="M37" s="748" t="s">
        <v>1154</v>
      </c>
      <c r="N37" s="748" t="s">
        <v>1154</v>
      </c>
      <c r="O37" s="748" t="s">
        <v>1154</v>
      </c>
      <c r="P37" s="748" t="s">
        <v>1154</v>
      </c>
      <c r="Q37" s="748" t="s">
        <v>1154</v>
      </c>
      <c r="R37" s="748" t="s">
        <v>1154</v>
      </c>
      <c r="S37" s="748" t="s">
        <v>1154</v>
      </c>
      <c r="T37" s="744">
        <f t="shared" si="10"/>
        <v>0</v>
      </c>
      <c r="U37" s="743"/>
    </row>
    <row r="38" spans="1:45">
      <c r="A38" s="2804"/>
      <c r="B38" s="2806" t="s">
        <v>1180</v>
      </c>
      <c r="C38" s="2806"/>
      <c r="D38" s="2806"/>
      <c r="E38" s="2807"/>
      <c r="F38" s="1242"/>
      <c r="G38" s="2815"/>
      <c r="H38" s="1103" t="s">
        <v>1154</v>
      </c>
      <c r="I38" s="748" t="s">
        <v>1154</v>
      </c>
      <c r="J38" s="748" t="s">
        <v>1154</v>
      </c>
      <c r="K38" s="748" t="s">
        <v>1154</v>
      </c>
      <c r="L38" s="748" t="s">
        <v>1154</v>
      </c>
      <c r="M38" s="748" t="s">
        <v>1154</v>
      </c>
      <c r="N38" s="748" t="s">
        <v>1154</v>
      </c>
      <c r="O38" s="748" t="s">
        <v>1154</v>
      </c>
      <c r="P38" s="748" t="s">
        <v>1154</v>
      </c>
      <c r="Q38" s="748" t="s">
        <v>1154</v>
      </c>
      <c r="R38" s="748" t="s">
        <v>1154</v>
      </c>
      <c r="S38" s="748" t="s">
        <v>1154</v>
      </c>
      <c r="T38" s="744">
        <f t="shared" si="10"/>
        <v>0</v>
      </c>
      <c r="U38" s="743"/>
    </row>
    <row r="39" spans="1:45" ht="13.5" thickBot="1">
      <c r="A39" s="2804"/>
      <c r="B39" s="2806" t="s">
        <v>1181</v>
      </c>
      <c r="C39" s="2806"/>
      <c r="D39" s="2806"/>
      <c r="E39" s="2807"/>
      <c r="F39" s="1242"/>
      <c r="G39" s="2816"/>
      <c r="H39" s="1103" t="s">
        <v>1154</v>
      </c>
      <c r="I39" s="748" t="s">
        <v>1154</v>
      </c>
      <c r="J39" s="748" t="s">
        <v>1154</v>
      </c>
      <c r="K39" s="748" t="s">
        <v>1154</v>
      </c>
      <c r="L39" s="748" t="s">
        <v>1154</v>
      </c>
      <c r="M39" s="748" t="s">
        <v>1154</v>
      </c>
      <c r="N39" s="748" t="s">
        <v>1154</v>
      </c>
      <c r="O39" s="748" t="s">
        <v>1154</v>
      </c>
      <c r="P39" s="748" t="s">
        <v>1154</v>
      </c>
      <c r="Q39" s="748" t="s">
        <v>1154</v>
      </c>
      <c r="R39" s="748" t="s">
        <v>1154</v>
      </c>
      <c r="S39" s="748" t="s">
        <v>1154</v>
      </c>
      <c r="T39" s="744">
        <f t="shared" si="10"/>
        <v>0</v>
      </c>
      <c r="U39" s="743"/>
    </row>
    <row r="40" spans="1:45">
      <c r="A40" s="2804"/>
      <c r="B40" s="745" t="s">
        <v>1182</v>
      </c>
      <c r="G40" s="1903"/>
      <c r="H40" s="746">
        <f>SUM(H34:H39)</f>
        <v>0</v>
      </c>
      <c r="I40" s="746">
        <f t="shared" ref="I40:S40" si="11">SUM(I34:I39)</f>
        <v>0</v>
      </c>
      <c r="J40" s="746">
        <f t="shared" si="11"/>
        <v>0</v>
      </c>
      <c r="K40" s="746">
        <f t="shared" si="11"/>
        <v>0</v>
      </c>
      <c r="L40" s="746">
        <f t="shared" si="11"/>
        <v>0</v>
      </c>
      <c r="M40" s="746">
        <f t="shared" si="11"/>
        <v>0</v>
      </c>
      <c r="N40" s="746">
        <f t="shared" si="11"/>
        <v>0</v>
      </c>
      <c r="O40" s="746">
        <f t="shared" si="11"/>
        <v>0</v>
      </c>
      <c r="P40" s="746">
        <f t="shared" si="11"/>
        <v>0</v>
      </c>
      <c r="Q40" s="746">
        <f t="shared" si="11"/>
        <v>0</v>
      </c>
      <c r="R40" s="746">
        <f t="shared" si="11"/>
        <v>0</v>
      </c>
      <c r="S40" s="747">
        <f t="shared" si="11"/>
        <v>0</v>
      </c>
      <c r="T40" s="744"/>
      <c r="U40" s="743"/>
    </row>
    <row r="41" spans="1:45" ht="13.5" thickBot="1">
      <c r="A41" s="2804"/>
      <c r="B41" s="745" t="s">
        <v>1183</v>
      </c>
      <c r="G41" s="1903"/>
      <c r="H41" s="759">
        <f t="shared" ref="H41:S41" si="12">H33-H40</f>
        <v>0</v>
      </c>
      <c r="I41" s="760">
        <f t="shared" si="12"/>
        <v>0</v>
      </c>
      <c r="J41" s="760">
        <f t="shared" si="12"/>
        <v>0</v>
      </c>
      <c r="K41" s="760">
        <f t="shared" si="12"/>
        <v>0</v>
      </c>
      <c r="L41" s="760">
        <f t="shared" si="12"/>
        <v>0</v>
      </c>
      <c r="M41" s="760">
        <f t="shared" si="12"/>
        <v>0</v>
      </c>
      <c r="N41" s="760">
        <f t="shared" si="12"/>
        <v>0</v>
      </c>
      <c r="O41" s="760">
        <f t="shared" si="12"/>
        <v>0</v>
      </c>
      <c r="P41" s="760">
        <f t="shared" si="12"/>
        <v>0</v>
      </c>
      <c r="Q41" s="760">
        <f t="shared" si="12"/>
        <v>0</v>
      </c>
      <c r="R41" s="760">
        <f t="shared" si="12"/>
        <v>0</v>
      </c>
      <c r="S41" s="761">
        <f t="shared" si="12"/>
        <v>0</v>
      </c>
      <c r="T41" s="744"/>
      <c r="U41" s="743"/>
    </row>
    <row r="42" spans="1:45" ht="14.25" thickTop="1" thickBot="1">
      <c r="A42" s="2804"/>
      <c r="B42" s="745" t="s">
        <v>1184</v>
      </c>
      <c r="G42" s="1903"/>
      <c r="H42" s="762">
        <f t="shared" ref="H42:S42" si="13">SUM(H27+H31+H41)</f>
        <v>0</v>
      </c>
      <c r="I42" s="762">
        <f t="shared" si="13"/>
        <v>0</v>
      </c>
      <c r="J42" s="762">
        <f t="shared" si="13"/>
        <v>0</v>
      </c>
      <c r="K42" s="762">
        <f t="shared" si="13"/>
        <v>0</v>
      </c>
      <c r="L42" s="762">
        <f t="shared" si="13"/>
        <v>0</v>
      </c>
      <c r="M42" s="762">
        <f t="shared" si="13"/>
        <v>0</v>
      </c>
      <c r="N42" s="762">
        <f t="shared" si="13"/>
        <v>0</v>
      </c>
      <c r="O42" s="762">
        <f t="shared" si="13"/>
        <v>0</v>
      </c>
      <c r="P42" s="762">
        <f t="shared" si="13"/>
        <v>0</v>
      </c>
      <c r="Q42" s="762">
        <f t="shared" si="13"/>
        <v>0</v>
      </c>
      <c r="R42" s="762">
        <f t="shared" si="13"/>
        <v>0</v>
      </c>
      <c r="S42" s="762">
        <f t="shared" si="13"/>
        <v>0</v>
      </c>
      <c r="T42" s="744"/>
      <c r="U42" s="743"/>
      <c r="AS42" s="743"/>
    </row>
    <row r="43" spans="1:45" ht="24" thickTop="1">
      <c r="A43" s="2804"/>
      <c r="B43" s="763" t="s">
        <v>1185</v>
      </c>
      <c r="G43" s="1903"/>
      <c r="H43" s="2812"/>
      <c r="I43" s="2812"/>
      <c r="J43" s="2812"/>
      <c r="K43" s="2812"/>
      <c r="L43" s="2812"/>
      <c r="M43" s="2812"/>
      <c r="N43" s="2812"/>
      <c r="O43" s="2812"/>
      <c r="P43" s="2812"/>
      <c r="Q43" s="2812"/>
      <c r="R43" s="2812"/>
      <c r="S43" s="2812"/>
      <c r="T43" s="744"/>
      <c r="U43" s="743"/>
    </row>
    <row r="44" spans="1:45" ht="15.75">
      <c r="A44" s="2804"/>
      <c r="B44" s="764" t="s">
        <v>1186</v>
      </c>
      <c r="G44" s="1903"/>
      <c r="H44" s="765">
        <f>IF(H4="syötä kassa",0,H4)</f>
        <v>0</v>
      </c>
      <c r="I44" s="765">
        <f t="shared" ref="I44:S44" si="14">H58</f>
        <v>0</v>
      </c>
      <c r="J44" s="754">
        <f t="shared" si="14"/>
        <v>0</v>
      </c>
      <c r="K44" s="754">
        <f t="shared" si="14"/>
        <v>0</v>
      </c>
      <c r="L44" s="754">
        <f t="shared" si="14"/>
        <v>0</v>
      </c>
      <c r="M44" s="754">
        <f t="shared" si="14"/>
        <v>0</v>
      </c>
      <c r="N44" s="754">
        <f t="shared" si="14"/>
        <v>0</v>
      </c>
      <c r="O44" s="754">
        <f t="shared" si="14"/>
        <v>0</v>
      </c>
      <c r="P44" s="754">
        <f t="shared" si="14"/>
        <v>0</v>
      </c>
      <c r="Q44" s="754">
        <f t="shared" si="14"/>
        <v>0</v>
      </c>
      <c r="R44" s="754">
        <f t="shared" si="14"/>
        <v>0</v>
      </c>
      <c r="S44" s="754">
        <f t="shared" si="14"/>
        <v>0</v>
      </c>
      <c r="T44" s="744"/>
      <c r="U44" s="743"/>
    </row>
    <row r="45" spans="1:45">
      <c r="A45" s="2804"/>
      <c r="B45" s="2806" t="s">
        <v>1187</v>
      </c>
      <c r="C45" s="2806"/>
      <c r="D45" s="2806"/>
      <c r="E45" s="2806"/>
      <c r="G45" s="1906" t="str">
        <f>IF('Rakenna TULOSENNUSTE'!M168&lt;0,"Arvio Alv palautus "&amp;TEXT(ABS('Rakenna TULOSENNUSTE'!M168),"0 €"),"")</f>
        <v/>
      </c>
      <c r="H45" s="748" t="s">
        <v>1154</v>
      </c>
      <c r="I45" s="748" t="s">
        <v>1154</v>
      </c>
      <c r="J45" s="748" t="s">
        <v>1154</v>
      </c>
      <c r="K45" s="748" t="s">
        <v>1154</v>
      </c>
      <c r="L45" s="748" t="s">
        <v>1154</v>
      </c>
      <c r="M45" s="748" t="s">
        <v>1154</v>
      </c>
      <c r="N45" s="748" t="s">
        <v>1154</v>
      </c>
      <c r="O45" s="748" t="s">
        <v>1154</v>
      </c>
      <c r="P45" s="748" t="s">
        <v>1154</v>
      </c>
      <c r="Q45" s="748" t="s">
        <v>1154</v>
      </c>
      <c r="R45" s="748" t="s">
        <v>1154</v>
      </c>
      <c r="S45" s="748" t="s">
        <v>1154</v>
      </c>
      <c r="T45" s="744">
        <f>SUM(H45:S45)</f>
        <v>0</v>
      </c>
      <c r="U45" s="743"/>
    </row>
    <row r="46" spans="1:45">
      <c r="A46" s="2804"/>
      <c r="B46" s="2806" t="s">
        <v>1188</v>
      </c>
      <c r="C46" s="2806"/>
      <c r="D46" s="2806"/>
      <c r="E46" s="2806"/>
      <c r="G46" s="1903"/>
      <c r="H46" s="748" t="s">
        <v>1154</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04"/>
      <c r="B47" s="2806" t="s">
        <v>1189</v>
      </c>
      <c r="C47" s="2806"/>
      <c r="D47" s="2806"/>
      <c r="E47" s="2806"/>
      <c r="G47" s="1903"/>
      <c r="H47" s="748" t="s">
        <v>1154</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04"/>
      <c r="B48" s="2818"/>
      <c r="C48" s="2818"/>
      <c r="D48" s="2818"/>
      <c r="E48" s="2818"/>
      <c r="F48" s="2818"/>
      <c r="G48" s="1907"/>
      <c r="H48" s="767"/>
      <c r="I48" s="767"/>
      <c r="J48" s="767"/>
      <c r="K48" s="767"/>
      <c r="L48" s="767"/>
      <c r="M48" s="767"/>
      <c r="N48" s="767"/>
      <c r="O48" s="767"/>
      <c r="P48" s="767"/>
      <c r="Q48" s="767"/>
      <c r="R48" s="767"/>
      <c r="S48" s="767"/>
      <c r="T48" s="768"/>
      <c r="U48" s="743"/>
    </row>
    <row r="49" spans="1:21" ht="14.25">
      <c r="A49" s="2804"/>
      <c r="B49" s="2819" t="s">
        <v>1190</v>
      </c>
      <c r="C49" s="2819"/>
      <c r="D49" s="2819"/>
      <c r="E49" s="2819"/>
      <c r="G49" s="1902"/>
      <c r="H49" s="748">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15">SUM(H49:S49)</f>
        <v>0</v>
      </c>
      <c r="U49" s="743"/>
    </row>
    <row r="50" spans="1:21">
      <c r="A50" s="2804"/>
      <c r="B50" s="2817" t="s">
        <v>1191</v>
      </c>
      <c r="C50" s="2817"/>
      <c r="D50" s="2817"/>
      <c r="E50" s="2817"/>
      <c r="F50" s="769">
        <v>0</v>
      </c>
      <c r="G50" s="1903">
        <f>Korkolaskuri!F7</f>
        <v>0</v>
      </c>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15"/>
        <v>0</v>
      </c>
      <c r="U50" s="743"/>
    </row>
    <row r="51" spans="1:21">
      <c r="A51" s="2804"/>
      <c r="B51" s="2817" t="s">
        <v>1192</v>
      </c>
      <c r="C51" s="2817"/>
      <c r="D51" s="2817"/>
      <c r="E51" s="2817"/>
      <c r="F51" s="769">
        <v>0</v>
      </c>
      <c r="G51" s="1903">
        <f>ABS(Korkolaskuri!G7)</f>
        <v>0</v>
      </c>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15"/>
        <v>0</v>
      </c>
      <c r="U51" s="743"/>
    </row>
    <row r="52" spans="1:21">
      <c r="A52" s="2804"/>
      <c r="B52" s="2806" t="s">
        <v>1193</v>
      </c>
      <c r="C52" s="2806"/>
      <c r="D52" s="2806"/>
      <c r="E52" s="2806"/>
      <c r="F52" s="769">
        <v>1</v>
      </c>
      <c r="G52" s="1903">
        <f>SUM('Rakenna TULOSENNUSTE'!E150:E154)+('Rakenna TULOSENNUSTE'!L151+'Rakenna TULOSENNUSTE'!L153)*F52</f>
        <v>0</v>
      </c>
      <c r="H52" s="748" t="s">
        <v>1154</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15"/>
        <v>0</v>
      </c>
      <c r="U52" s="743"/>
    </row>
    <row r="53" spans="1:21">
      <c r="A53" s="2804"/>
      <c r="B53" s="2806" t="s">
        <v>1194</v>
      </c>
      <c r="C53" s="2806"/>
      <c r="D53" s="2806"/>
      <c r="E53" s="2806"/>
      <c r="G53" s="1903">
        <f>SUM('Rakenna TULOSENNUSTE'!E162)</f>
        <v>0</v>
      </c>
      <c r="H53" s="748" t="s">
        <v>1154</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04"/>
      <c r="B54" s="2806" t="s">
        <v>1195</v>
      </c>
      <c r="C54" s="2806"/>
      <c r="D54" s="2806"/>
      <c r="E54" s="2806"/>
      <c r="G54" s="740"/>
      <c r="H54" s="748" t="s">
        <v>1154</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15"/>
        <v>0</v>
      </c>
      <c r="U54" s="743"/>
    </row>
    <row r="55" spans="1:21">
      <c r="A55" s="2804"/>
      <c r="B55" s="2821" t="str">
        <f>"ALV-veron tilitys "&amp;IF(G55&lt;0,"Palautus toukokuu riville 44!","Maksuun helmikuussa")</f>
        <v>ALV-veron tilitys Maksuun helmikuussa</v>
      </c>
      <c r="C55" s="2821"/>
      <c r="D55" s="2821"/>
      <c r="E55" s="2821"/>
      <c r="F55" s="682" t="s">
        <v>1196</v>
      </c>
      <c r="G55" s="1250" t="str">
        <f>IF('Rakenna TULOSENNUSTE'!M168&gt;0,"Maksa arvioitu ALV helmikuu "&amp;TEXT('Rakenna TULOSENNUSTE'!M168,"0 €"),"")</f>
        <v/>
      </c>
      <c r="H55" s="748" t="s">
        <v>1197</v>
      </c>
      <c r="I55" s="748" t="s">
        <v>1197</v>
      </c>
      <c r="J55" s="748" t="s">
        <v>1197</v>
      </c>
      <c r="K55" s="748" t="s">
        <v>1197</v>
      </c>
      <c r="L55" s="748" t="s">
        <v>1197</v>
      </c>
      <c r="M55" s="748" t="s">
        <v>1197</v>
      </c>
      <c r="N55" s="748" t="s">
        <v>1197</v>
      </c>
      <c r="O55" s="748" t="s">
        <v>1197</v>
      </c>
      <c r="P55" s="748" t="s">
        <v>1197</v>
      </c>
      <c r="Q55" s="748" t="s">
        <v>1197</v>
      </c>
      <c r="R55" s="748" t="s">
        <v>1197</v>
      </c>
      <c r="S55" s="748" t="s">
        <v>1197</v>
      </c>
      <c r="T55" s="744">
        <f t="shared" si="15"/>
        <v>0</v>
      </c>
      <c r="U55" s="743"/>
    </row>
    <row r="56" spans="1:21">
      <c r="A56" s="2804"/>
      <c r="B56" s="2808" t="s">
        <v>1198</v>
      </c>
      <c r="C56" s="2808"/>
      <c r="D56" s="2808"/>
      <c r="E56" s="2808"/>
      <c r="G56" s="1903">
        <f>'Rakenna TULOSENNUSTE'!G100</f>
        <v>0</v>
      </c>
      <c r="H56" s="907">
        <f>IF($G$56&gt;0,$G$56/12,0)</f>
        <v>0</v>
      </c>
      <c r="I56" s="907">
        <f t="shared" ref="I56:R56" si="16">IF($G$56&gt;0,$G$56/12,0)</f>
        <v>0</v>
      </c>
      <c r="J56" s="907">
        <f t="shared" si="16"/>
        <v>0</v>
      </c>
      <c r="K56" s="907">
        <f t="shared" si="16"/>
        <v>0</v>
      </c>
      <c r="L56" s="907">
        <f t="shared" si="16"/>
        <v>0</v>
      </c>
      <c r="M56" s="907">
        <f t="shared" si="16"/>
        <v>0</v>
      </c>
      <c r="N56" s="907">
        <f t="shared" si="16"/>
        <v>0</v>
      </c>
      <c r="O56" s="907">
        <f t="shared" si="16"/>
        <v>0</v>
      </c>
      <c r="P56" s="907">
        <f t="shared" si="16"/>
        <v>0</v>
      </c>
      <c r="Q56" s="907">
        <f t="shared" si="16"/>
        <v>0</v>
      </c>
      <c r="R56" s="907">
        <f t="shared" si="16"/>
        <v>0</v>
      </c>
      <c r="S56" s="907">
        <f>IF($G$56&gt;0,$G$56/12,0)</f>
        <v>0</v>
      </c>
      <c r="T56" s="744">
        <f>SUM(H56:S56)</f>
        <v>0</v>
      </c>
      <c r="U56" s="743"/>
    </row>
    <row r="57" spans="1:21">
      <c r="A57" s="2804"/>
      <c r="B57" s="2806" t="s">
        <v>1181</v>
      </c>
      <c r="C57" s="2806"/>
      <c r="D57" s="2806"/>
      <c r="E57" s="2806"/>
      <c r="H57" s="748" t="s">
        <v>1154</v>
      </c>
      <c r="I57" s="748" t="s">
        <v>1154</v>
      </c>
      <c r="J57" s="748" t="s">
        <v>1154</v>
      </c>
      <c r="K57" s="748" t="s">
        <v>1154</v>
      </c>
      <c r="L57" s="748" t="s">
        <v>1154</v>
      </c>
      <c r="M57" s="748" t="s">
        <v>1154</v>
      </c>
      <c r="N57" s="748" t="s">
        <v>1154</v>
      </c>
      <c r="O57" s="748" t="s">
        <v>1154</v>
      </c>
      <c r="P57" s="748" t="s">
        <v>1154</v>
      </c>
      <c r="Q57" s="748" t="s">
        <v>1154</v>
      </c>
      <c r="R57" s="748" t="s">
        <v>1154</v>
      </c>
      <c r="S57" s="748" t="s">
        <v>1154</v>
      </c>
      <c r="T57" s="744">
        <f t="shared" si="15"/>
        <v>0</v>
      </c>
      <c r="U57" s="743"/>
    </row>
    <row r="58" spans="1:21">
      <c r="A58" s="2804"/>
      <c r="B58" s="745" t="s">
        <v>1199</v>
      </c>
      <c r="H58" s="771">
        <f t="shared" ref="H58:S58" si="17">H42+SUM(H44:H47)-SUM(H49:H57)</f>
        <v>0</v>
      </c>
      <c r="I58" s="771">
        <f t="shared" si="17"/>
        <v>0</v>
      </c>
      <c r="J58" s="771">
        <f>J42+SUM(J44:J47)-SUM(J49:J57)</f>
        <v>0</v>
      </c>
      <c r="K58" s="771">
        <f t="shared" si="17"/>
        <v>0</v>
      </c>
      <c r="L58" s="771">
        <f t="shared" si="17"/>
        <v>0</v>
      </c>
      <c r="M58" s="771">
        <f t="shared" si="17"/>
        <v>0</v>
      </c>
      <c r="N58" s="771">
        <f t="shared" si="17"/>
        <v>0</v>
      </c>
      <c r="O58" s="771">
        <f t="shared" si="17"/>
        <v>0</v>
      </c>
      <c r="P58" s="771">
        <f t="shared" si="17"/>
        <v>0</v>
      </c>
      <c r="Q58" s="771">
        <f t="shared" si="17"/>
        <v>0</v>
      </c>
      <c r="R58" s="771">
        <f t="shared" si="17"/>
        <v>0</v>
      </c>
      <c r="S58" s="771">
        <f t="shared" si="17"/>
        <v>0</v>
      </c>
      <c r="T58" s="772"/>
      <c r="U58" s="743"/>
    </row>
    <row r="59" spans="1:21">
      <c r="A59" s="2804"/>
      <c r="B59" s="773" t="s">
        <v>1200</v>
      </c>
      <c r="C59" s="774"/>
      <c r="D59" s="774"/>
      <c r="E59" s="774"/>
      <c r="F59" s="774"/>
      <c r="G59" s="774"/>
      <c r="H59" s="774"/>
      <c r="I59" s="774"/>
      <c r="J59" s="774"/>
      <c r="K59" s="774"/>
      <c r="L59" s="774"/>
      <c r="M59" s="774"/>
      <c r="N59" s="775"/>
      <c r="O59" s="775"/>
      <c r="P59" s="775"/>
      <c r="Q59" s="775"/>
      <c r="R59" s="775"/>
      <c r="S59" s="775"/>
      <c r="T59" s="775"/>
      <c r="U59" s="776"/>
    </row>
    <row r="60" spans="1:21">
      <c r="G60" s="777" t="s">
        <v>1201</v>
      </c>
      <c r="H60" s="26">
        <f>IFERROR(H71/H63,0)</f>
        <v>0</v>
      </c>
      <c r="I60" s="26">
        <f t="shared" ref="I60:S60" si="18">IFERROR(I71/I63,0)</f>
        <v>0</v>
      </c>
      <c r="J60" s="26">
        <f t="shared" si="18"/>
        <v>0</v>
      </c>
      <c r="K60" s="26">
        <f t="shared" si="18"/>
        <v>0</v>
      </c>
      <c r="L60" s="26">
        <f t="shared" si="18"/>
        <v>0</v>
      </c>
      <c r="M60" s="26">
        <f t="shared" si="18"/>
        <v>0</v>
      </c>
      <c r="N60" s="26">
        <f t="shared" si="18"/>
        <v>0</v>
      </c>
      <c r="O60" s="26">
        <f t="shared" si="18"/>
        <v>0</v>
      </c>
      <c r="P60" s="26">
        <f t="shared" si="18"/>
        <v>0</v>
      </c>
      <c r="Q60" s="26">
        <f t="shared" si="18"/>
        <v>0</v>
      </c>
      <c r="R60" s="26">
        <f t="shared" si="18"/>
        <v>0</v>
      </c>
      <c r="S60" s="26">
        <f t="shared" si="18"/>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20" t="s">
        <v>1202</v>
      </c>
      <c r="D63" s="2820"/>
      <c r="H63" s="686">
        <f>SUM(H13,H29,H33,H45)</f>
        <v>0</v>
      </c>
      <c r="I63" s="686">
        <f t="shared" ref="I63:S63" si="19">SUM(I13,I29,I33,I45)</f>
        <v>0</v>
      </c>
      <c r="J63" s="686">
        <f t="shared" si="19"/>
        <v>0</v>
      </c>
      <c r="K63" s="686">
        <f t="shared" si="19"/>
        <v>0</v>
      </c>
      <c r="L63" s="686">
        <f t="shared" si="19"/>
        <v>0</v>
      </c>
      <c r="M63" s="686">
        <f t="shared" si="19"/>
        <v>0</v>
      </c>
      <c r="N63" s="686">
        <f t="shared" si="19"/>
        <v>0</v>
      </c>
      <c r="O63" s="686">
        <f t="shared" si="19"/>
        <v>0</v>
      </c>
      <c r="P63" s="686">
        <f t="shared" si="19"/>
        <v>0</v>
      </c>
      <c r="Q63" s="686">
        <f t="shared" si="19"/>
        <v>0</v>
      </c>
      <c r="R63" s="686">
        <f t="shared" si="19"/>
        <v>0</v>
      </c>
      <c r="S63" s="686">
        <f t="shared" si="19"/>
        <v>0</v>
      </c>
    </row>
    <row r="64" spans="1:21">
      <c r="C64" s="2820" t="s">
        <v>1203</v>
      </c>
      <c r="D64" s="2820"/>
      <c r="H64" s="686">
        <f>SUM(H26,H30,H40)</f>
        <v>0</v>
      </c>
      <c r="I64" s="686">
        <f t="shared" ref="I64:S64" si="20">SUM(I26,I30,I40)</f>
        <v>0</v>
      </c>
      <c r="J64" s="686">
        <f t="shared" si="20"/>
        <v>0</v>
      </c>
      <c r="K64" s="686">
        <f t="shared" si="20"/>
        <v>0</v>
      </c>
      <c r="L64" s="686">
        <f t="shared" si="20"/>
        <v>0</v>
      </c>
      <c r="M64" s="686">
        <f t="shared" si="20"/>
        <v>0</v>
      </c>
      <c r="N64" s="686">
        <f t="shared" si="20"/>
        <v>0</v>
      </c>
      <c r="O64" s="686">
        <f t="shared" si="20"/>
        <v>0</v>
      </c>
      <c r="P64" s="686">
        <f t="shared" si="20"/>
        <v>0</v>
      </c>
      <c r="Q64" s="686">
        <f t="shared" si="20"/>
        <v>0</v>
      </c>
      <c r="R64" s="686">
        <f t="shared" si="20"/>
        <v>0</v>
      </c>
      <c r="S64" s="686">
        <f t="shared" si="20"/>
        <v>0</v>
      </c>
    </row>
    <row r="65" spans="3:19">
      <c r="C65" s="2820" t="s">
        <v>1204</v>
      </c>
      <c r="D65" s="2820"/>
      <c r="H65" s="779">
        <f>H63-H64</f>
        <v>0</v>
      </c>
      <c r="I65" s="779">
        <f t="shared" ref="I65:S65" si="21">I63-I64</f>
        <v>0</v>
      </c>
      <c r="J65" s="779">
        <f t="shared" si="21"/>
        <v>0</v>
      </c>
      <c r="K65" s="779">
        <f t="shared" si="21"/>
        <v>0</v>
      </c>
      <c r="L65" s="779">
        <f t="shared" si="21"/>
        <v>0</v>
      </c>
      <c r="M65" s="779">
        <f t="shared" si="21"/>
        <v>0</v>
      </c>
      <c r="N65" s="779">
        <f t="shared" si="21"/>
        <v>0</v>
      </c>
      <c r="O65" s="779">
        <f t="shared" si="21"/>
        <v>0</v>
      </c>
      <c r="P65" s="779">
        <f t="shared" si="21"/>
        <v>0</v>
      </c>
      <c r="Q65" s="779">
        <f t="shared" si="21"/>
        <v>0</v>
      </c>
      <c r="R65" s="779">
        <f t="shared" si="21"/>
        <v>0</v>
      </c>
      <c r="S65" s="779">
        <f t="shared" si="21"/>
        <v>0</v>
      </c>
    </row>
    <row r="66" spans="3:19">
      <c r="C66" s="780"/>
      <c r="D66" s="781"/>
      <c r="H66" s="685"/>
      <c r="I66" s="685"/>
      <c r="J66" s="685"/>
      <c r="K66" s="685"/>
      <c r="L66" s="685"/>
      <c r="M66" s="685"/>
      <c r="N66" s="685"/>
      <c r="O66" s="685"/>
      <c r="P66" s="685"/>
      <c r="Q66" s="685"/>
      <c r="R66" s="685"/>
      <c r="S66" s="685"/>
    </row>
    <row r="67" spans="3:19">
      <c r="C67" s="2820" t="s">
        <v>1205</v>
      </c>
      <c r="D67" s="2820"/>
      <c r="H67" s="686">
        <f t="shared" ref="H67:S67" si="22">SUM(H50,H52)</f>
        <v>0</v>
      </c>
      <c r="I67" s="686">
        <f t="shared" si="22"/>
        <v>0</v>
      </c>
      <c r="J67" s="686">
        <f t="shared" si="22"/>
        <v>0</v>
      </c>
      <c r="K67" s="686">
        <f t="shared" si="22"/>
        <v>0</v>
      </c>
      <c r="L67" s="686">
        <f t="shared" si="22"/>
        <v>0</v>
      </c>
      <c r="M67" s="686">
        <f t="shared" si="22"/>
        <v>0</v>
      </c>
      <c r="N67" s="686">
        <f t="shared" si="22"/>
        <v>0</v>
      </c>
      <c r="O67" s="686">
        <f t="shared" si="22"/>
        <v>0</v>
      </c>
      <c r="P67" s="686">
        <f t="shared" si="22"/>
        <v>0</v>
      </c>
      <c r="Q67" s="686">
        <f t="shared" si="22"/>
        <v>0</v>
      </c>
      <c r="R67" s="686">
        <f t="shared" si="22"/>
        <v>0</v>
      </c>
      <c r="S67" s="686">
        <f t="shared" si="22"/>
        <v>0</v>
      </c>
    </row>
    <row r="68" spans="3:19">
      <c r="C68" s="2820" t="s">
        <v>1053</v>
      </c>
      <c r="D68" s="2820"/>
      <c r="H68" s="686">
        <f t="shared" ref="H68:S68" si="23">SUM(H55)</f>
        <v>0</v>
      </c>
      <c r="I68" s="686">
        <f t="shared" si="23"/>
        <v>0</v>
      </c>
      <c r="J68" s="686">
        <f t="shared" si="23"/>
        <v>0</v>
      </c>
      <c r="K68" s="686">
        <f t="shared" si="23"/>
        <v>0</v>
      </c>
      <c r="L68" s="686">
        <f t="shared" si="23"/>
        <v>0</v>
      </c>
      <c r="M68" s="686">
        <f t="shared" si="23"/>
        <v>0</v>
      </c>
      <c r="N68" s="686">
        <f t="shared" si="23"/>
        <v>0</v>
      </c>
      <c r="O68" s="686">
        <f t="shared" si="23"/>
        <v>0</v>
      </c>
      <c r="P68" s="686">
        <f t="shared" si="23"/>
        <v>0</v>
      </c>
      <c r="Q68" s="686">
        <f t="shared" si="23"/>
        <v>0</v>
      </c>
      <c r="R68" s="686">
        <f t="shared" si="23"/>
        <v>0</v>
      </c>
      <c r="S68" s="686">
        <f t="shared" si="23"/>
        <v>0</v>
      </c>
    </row>
    <row r="69" spans="3:19">
      <c r="C69" s="2820" t="s">
        <v>1206</v>
      </c>
      <c r="D69" s="2820"/>
      <c r="H69" s="686">
        <f t="shared" ref="H69:S69" si="24">SUM(H56)</f>
        <v>0</v>
      </c>
      <c r="I69" s="686">
        <f t="shared" si="24"/>
        <v>0</v>
      </c>
      <c r="J69" s="686">
        <f t="shared" si="24"/>
        <v>0</v>
      </c>
      <c r="K69" s="686">
        <f t="shared" si="24"/>
        <v>0</v>
      </c>
      <c r="L69" s="686">
        <f t="shared" si="24"/>
        <v>0</v>
      </c>
      <c r="M69" s="686">
        <f t="shared" si="24"/>
        <v>0</v>
      </c>
      <c r="N69" s="686">
        <f t="shared" si="24"/>
        <v>0</v>
      </c>
      <c r="O69" s="686">
        <f t="shared" si="24"/>
        <v>0</v>
      </c>
      <c r="P69" s="686">
        <f t="shared" si="24"/>
        <v>0</v>
      </c>
      <c r="Q69" s="686">
        <f t="shared" si="24"/>
        <v>0</v>
      </c>
      <c r="R69" s="686">
        <f t="shared" si="24"/>
        <v>0</v>
      </c>
      <c r="S69" s="686">
        <f t="shared" si="24"/>
        <v>0</v>
      </c>
    </row>
    <row r="70" spans="3:19">
      <c r="C70" s="2820" t="s">
        <v>1181</v>
      </c>
      <c r="D70" s="2820"/>
      <c r="H70" s="686">
        <f t="shared" ref="H70:S70" si="25">SUM(H57)</f>
        <v>0</v>
      </c>
      <c r="I70" s="686">
        <f t="shared" si="25"/>
        <v>0</v>
      </c>
      <c r="J70" s="686">
        <f t="shared" si="25"/>
        <v>0</v>
      </c>
      <c r="K70" s="686">
        <f t="shared" si="25"/>
        <v>0</v>
      </c>
      <c r="L70" s="686">
        <f t="shared" si="25"/>
        <v>0</v>
      </c>
      <c r="M70" s="686">
        <f t="shared" si="25"/>
        <v>0</v>
      </c>
      <c r="N70" s="686">
        <f t="shared" si="25"/>
        <v>0</v>
      </c>
      <c r="O70" s="686">
        <f t="shared" si="25"/>
        <v>0</v>
      </c>
      <c r="P70" s="686">
        <f t="shared" si="25"/>
        <v>0</v>
      </c>
      <c r="Q70" s="686">
        <f t="shared" si="25"/>
        <v>0</v>
      </c>
      <c r="R70" s="686">
        <f t="shared" si="25"/>
        <v>0</v>
      </c>
      <c r="S70" s="686">
        <f t="shared" si="25"/>
        <v>0</v>
      </c>
    </row>
    <row r="71" spans="3:19">
      <c r="C71" s="2822" t="s">
        <v>1207</v>
      </c>
      <c r="D71" s="2822"/>
      <c r="H71" s="100">
        <f t="shared" ref="H71:S71" si="26">H65-(SUM(H67:H70))</f>
        <v>0</v>
      </c>
      <c r="I71" s="100">
        <f t="shared" si="26"/>
        <v>0</v>
      </c>
      <c r="J71" s="100">
        <f t="shared" si="26"/>
        <v>0</v>
      </c>
      <c r="K71" s="100">
        <f t="shared" si="26"/>
        <v>0</v>
      </c>
      <c r="L71" s="100">
        <f t="shared" si="26"/>
        <v>0</v>
      </c>
      <c r="M71" s="100">
        <f t="shared" si="26"/>
        <v>0</v>
      </c>
      <c r="N71" s="100">
        <f t="shared" si="26"/>
        <v>0</v>
      </c>
      <c r="O71" s="100">
        <f t="shared" si="26"/>
        <v>0</v>
      </c>
      <c r="P71" s="100">
        <f t="shared" si="26"/>
        <v>0</v>
      </c>
      <c r="Q71" s="100">
        <f t="shared" si="26"/>
        <v>0</v>
      </c>
      <c r="R71" s="100">
        <f t="shared" si="26"/>
        <v>0</v>
      </c>
      <c r="S71" s="100">
        <f t="shared" si="26"/>
        <v>0</v>
      </c>
    </row>
    <row r="72" spans="3:19">
      <c r="C72" s="780"/>
      <c r="D72" s="781"/>
      <c r="H72" s="685"/>
      <c r="I72" s="685"/>
      <c r="J72" s="685"/>
      <c r="K72" s="685"/>
      <c r="L72" s="685"/>
      <c r="M72" s="685"/>
      <c r="N72" s="685"/>
      <c r="O72" s="685"/>
      <c r="P72" s="685"/>
      <c r="Q72" s="685"/>
      <c r="R72" s="685"/>
      <c r="S72" s="685"/>
    </row>
    <row r="73" spans="3:19">
      <c r="C73" s="2820" t="s">
        <v>1208</v>
      </c>
      <c r="D73" s="2820"/>
      <c r="H73" s="686">
        <f t="shared" ref="H73:S73" si="27">SUM(H49)</f>
        <v>0</v>
      </c>
      <c r="I73" s="686">
        <f t="shared" si="27"/>
        <v>0</v>
      </c>
      <c r="J73" s="686">
        <f t="shared" si="27"/>
        <v>0</v>
      </c>
      <c r="K73" s="686">
        <f t="shared" si="27"/>
        <v>0</v>
      </c>
      <c r="L73" s="686">
        <f t="shared" si="27"/>
        <v>0</v>
      </c>
      <c r="M73" s="686">
        <f t="shared" si="27"/>
        <v>0</v>
      </c>
      <c r="N73" s="686">
        <f t="shared" si="27"/>
        <v>0</v>
      </c>
      <c r="O73" s="686">
        <f t="shared" si="27"/>
        <v>0</v>
      </c>
      <c r="P73" s="686">
        <f t="shared" si="27"/>
        <v>0</v>
      </c>
      <c r="Q73" s="686">
        <f t="shared" si="27"/>
        <v>0</v>
      </c>
      <c r="R73" s="686">
        <f t="shared" si="27"/>
        <v>0</v>
      </c>
      <c r="S73" s="686">
        <f t="shared" si="27"/>
        <v>0</v>
      </c>
    </row>
    <row r="74" spans="3:19">
      <c r="C74" s="780"/>
      <c r="D74" s="781"/>
      <c r="H74" s="685"/>
      <c r="I74" s="685"/>
      <c r="J74" s="685"/>
      <c r="K74" s="685"/>
      <c r="L74" s="685"/>
      <c r="M74" s="685"/>
      <c r="N74" s="685"/>
      <c r="O74" s="685"/>
      <c r="P74" s="685"/>
      <c r="Q74" s="685"/>
      <c r="R74" s="685"/>
      <c r="S74" s="685"/>
    </row>
    <row r="75" spans="3:19">
      <c r="C75" s="2820" t="s">
        <v>1209</v>
      </c>
      <c r="D75" s="2820"/>
      <c r="H75" s="686">
        <f>H71-H73</f>
        <v>0</v>
      </c>
      <c r="I75" s="686">
        <f t="shared" ref="I75:S75" si="28">I71-I73</f>
        <v>0</v>
      </c>
      <c r="J75" s="686">
        <f t="shared" si="28"/>
        <v>0</v>
      </c>
      <c r="K75" s="686">
        <f t="shared" si="28"/>
        <v>0</v>
      </c>
      <c r="L75" s="686">
        <f t="shared" si="28"/>
        <v>0</v>
      </c>
      <c r="M75" s="686">
        <f t="shared" si="28"/>
        <v>0</v>
      </c>
      <c r="N75" s="686">
        <f t="shared" si="28"/>
        <v>0</v>
      </c>
      <c r="O75" s="686">
        <f t="shared" si="28"/>
        <v>0</v>
      </c>
      <c r="P75" s="686">
        <f t="shared" si="28"/>
        <v>0</v>
      </c>
      <c r="Q75" s="686">
        <f t="shared" si="28"/>
        <v>0</v>
      </c>
      <c r="R75" s="686">
        <f t="shared" si="28"/>
        <v>0</v>
      </c>
      <c r="S75" s="686">
        <f t="shared" si="28"/>
        <v>0</v>
      </c>
    </row>
    <row r="76" spans="3:19">
      <c r="C76" s="2820" t="s">
        <v>1210</v>
      </c>
      <c r="D76" s="2820"/>
      <c r="H76" s="686">
        <f t="shared" ref="H76:S76" si="29">SUM(H46)</f>
        <v>0</v>
      </c>
      <c r="I76" s="686">
        <f t="shared" si="29"/>
        <v>0</v>
      </c>
      <c r="J76" s="686">
        <f t="shared" si="29"/>
        <v>0</v>
      </c>
      <c r="K76" s="686">
        <f t="shared" si="29"/>
        <v>0</v>
      </c>
      <c r="L76" s="686">
        <f t="shared" si="29"/>
        <v>0</v>
      </c>
      <c r="M76" s="686">
        <f t="shared" si="29"/>
        <v>0</v>
      </c>
      <c r="N76" s="686">
        <f t="shared" si="29"/>
        <v>0</v>
      </c>
      <c r="O76" s="686">
        <f t="shared" si="29"/>
        <v>0</v>
      </c>
      <c r="P76" s="686">
        <f t="shared" si="29"/>
        <v>0</v>
      </c>
      <c r="Q76" s="686">
        <f t="shared" si="29"/>
        <v>0</v>
      </c>
      <c r="R76" s="686">
        <f t="shared" si="29"/>
        <v>0</v>
      </c>
      <c r="S76" s="686">
        <f t="shared" si="29"/>
        <v>0</v>
      </c>
    </row>
    <row r="77" spans="3:19">
      <c r="C77" s="2820" t="s">
        <v>1211</v>
      </c>
      <c r="D77" s="2820"/>
      <c r="H77" s="686">
        <f t="shared" ref="H77:S77" si="30">SUM(H51,H54)</f>
        <v>0</v>
      </c>
      <c r="I77" s="686">
        <f t="shared" si="30"/>
        <v>0</v>
      </c>
      <c r="J77" s="686">
        <f t="shared" si="30"/>
        <v>0</v>
      </c>
      <c r="K77" s="686">
        <f t="shared" si="30"/>
        <v>0</v>
      </c>
      <c r="L77" s="686">
        <f t="shared" si="30"/>
        <v>0</v>
      </c>
      <c r="M77" s="686">
        <f t="shared" si="30"/>
        <v>0</v>
      </c>
      <c r="N77" s="686">
        <f t="shared" si="30"/>
        <v>0</v>
      </c>
      <c r="O77" s="686">
        <f t="shared" si="30"/>
        <v>0</v>
      </c>
      <c r="P77" s="686">
        <f t="shared" si="30"/>
        <v>0</v>
      </c>
      <c r="Q77" s="686">
        <f t="shared" si="30"/>
        <v>0</v>
      </c>
      <c r="R77" s="686">
        <f t="shared" si="30"/>
        <v>0</v>
      </c>
      <c r="S77" s="686">
        <f t="shared" si="30"/>
        <v>0</v>
      </c>
    </row>
    <row r="78" spans="3:19">
      <c r="C78" s="2820" t="s">
        <v>1189</v>
      </c>
      <c r="D78" s="2820"/>
      <c r="H78" s="686">
        <f t="shared" ref="H78:S78" si="31">SUM(H47)</f>
        <v>0</v>
      </c>
      <c r="I78" s="686">
        <f t="shared" si="31"/>
        <v>0</v>
      </c>
      <c r="J78" s="686">
        <f t="shared" si="31"/>
        <v>0</v>
      </c>
      <c r="K78" s="686">
        <f t="shared" si="31"/>
        <v>0</v>
      </c>
      <c r="L78" s="686">
        <f t="shared" si="31"/>
        <v>0</v>
      </c>
      <c r="M78" s="686">
        <f t="shared" si="31"/>
        <v>0</v>
      </c>
      <c r="N78" s="686">
        <f t="shared" si="31"/>
        <v>0</v>
      </c>
      <c r="O78" s="686">
        <f t="shared" si="31"/>
        <v>0</v>
      </c>
      <c r="P78" s="686">
        <f t="shared" si="31"/>
        <v>0</v>
      </c>
      <c r="Q78" s="686">
        <f t="shared" si="31"/>
        <v>0</v>
      </c>
      <c r="R78" s="686">
        <f t="shared" si="31"/>
        <v>0</v>
      </c>
      <c r="S78" s="686">
        <f t="shared" si="31"/>
        <v>0</v>
      </c>
    </row>
    <row r="79" spans="3:19">
      <c r="C79" s="2822" t="s">
        <v>1212</v>
      </c>
      <c r="D79" s="2822"/>
      <c r="H79" s="782">
        <f>H75+H76-H77+H78</f>
        <v>0</v>
      </c>
      <c r="I79" s="782">
        <f>I75+I76-I77+I78</f>
        <v>0</v>
      </c>
      <c r="J79" s="782">
        <f t="shared" ref="J79:S79" si="32">J75+J76-J77+J78</f>
        <v>0</v>
      </c>
      <c r="K79" s="782">
        <f t="shared" si="32"/>
        <v>0</v>
      </c>
      <c r="L79" s="782">
        <f t="shared" si="32"/>
        <v>0</v>
      </c>
      <c r="M79" s="782">
        <f t="shared" si="32"/>
        <v>0</v>
      </c>
      <c r="N79" s="782">
        <f t="shared" si="32"/>
        <v>0</v>
      </c>
      <c r="O79" s="782">
        <f t="shared" si="32"/>
        <v>0</v>
      </c>
      <c r="P79" s="782">
        <f t="shared" si="32"/>
        <v>0</v>
      </c>
      <c r="Q79" s="782">
        <f t="shared" si="32"/>
        <v>0</v>
      </c>
      <c r="R79" s="782">
        <f t="shared" si="32"/>
        <v>0</v>
      </c>
      <c r="S79" s="782">
        <f t="shared" si="32"/>
        <v>0</v>
      </c>
    </row>
    <row r="80" spans="3:19">
      <c r="C80" s="2822" t="s">
        <v>1213</v>
      </c>
      <c r="D80" s="2822"/>
      <c r="H80" s="782">
        <f>H58</f>
        <v>0</v>
      </c>
      <c r="I80" s="782">
        <f t="shared" ref="I80:S80" si="33">I58</f>
        <v>0</v>
      </c>
      <c r="J80" s="782">
        <f t="shared" si="33"/>
        <v>0</v>
      </c>
      <c r="K80" s="782">
        <f t="shared" si="33"/>
        <v>0</v>
      </c>
      <c r="L80" s="782">
        <f t="shared" si="33"/>
        <v>0</v>
      </c>
      <c r="M80" s="782">
        <f t="shared" si="33"/>
        <v>0</v>
      </c>
      <c r="N80" s="782">
        <f t="shared" si="33"/>
        <v>0</v>
      </c>
      <c r="O80" s="782">
        <f t="shared" si="33"/>
        <v>0</v>
      </c>
      <c r="P80" s="782">
        <f t="shared" si="33"/>
        <v>0</v>
      </c>
      <c r="Q80" s="782">
        <f t="shared" si="33"/>
        <v>0</v>
      </c>
      <c r="R80" s="782">
        <f t="shared" si="33"/>
        <v>0</v>
      </c>
      <c r="S80" s="782">
        <f t="shared" si="33"/>
        <v>0</v>
      </c>
    </row>
    <row r="81" spans="4:4">
      <c r="D81" s="684"/>
    </row>
  </sheetData>
  <sheetProtection sheet="1" formatCells="0" formatColumns="0" formatRows="0"/>
  <mergeCells count="57">
    <mergeCell ref="C79:D79"/>
    <mergeCell ref="C80:D80"/>
    <mergeCell ref="C70:D70"/>
    <mergeCell ref="C71:D71"/>
    <mergeCell ref="C73:D73"/>
    <mergeCell ref="C75:D75"/>
    <mergeCell ref="C76:D76"/>
    <mergeCell ref="C77:D77"/>
    <mergeCell ref="C78:D78"/>
    <mergeCell ref="C69:D69"/>
    <mergeCell ref="B51:E51"/>
    <mergeCell ref="B52:E52"/>
    <mergeCell ref="B54:E54"/>
    <mergeCell ref="B55:E55"/>
    <mergeCell ref="B56:E56"/>
    <mergeCell ref="B57:E57"/>
    <mergeCell ref="C63:D63"/>
    <mergeCell ref="C64:D64"/>
    <mergeCell ref="C65:D65"/>
    <mergeCell ref="C67:D67"/>
    <mergeCell ref="C68:D68"/>
    <mergeCell ref="B53:E53"/>
    <mergeCell ref="B50:E50"/>
    <mergeCell ref="B35:E35"/>
    <mergeCell ref="B36:E36"/>
    <mergeCell ref="B37:E37"/>
    <mergeCell ref="B38:E38"/>
    <mergeCell ref="B39:E39"/>
    <mergeCell ref="B45:E45"/>
    <mergeCell ref="B46:E46"/>
    <mergeCell ref="B47:E47"/>
    <mergeCell ref="B48:F48"/>
    <mergeCell ref="B49:E49"/>
    <mergeCell ref="H43:S43"/>
    <mergeCell ref="B21:E21"/>
    <mergeCell ref="B22:E22"/>
    <mergeCell ref="B23:E23"/>
    <mergeCell ref="B24:E24"/>
    <mergeCell ref="H32:S32"/>
    <mergeCell ref="B34:E34"/>
    <mergeCell ref="G34:G39"/>
    <mergeCell ref="B20:E20"/>
    <mergeCell ref="A3:A59"/>
    <mergeCell ref="G4:G5"/>
    <mergeCell ref="B6:E6"/>
    <mergeCell ref="B7:E7"/>
    <mergeCell ref="B8:E8"/>
    <mergeCell ref="B9:E9"/>
    <mergeCell ref="B10:E10"/>
    <mergeCell ref="B11:E11"/>
    <mergeCell ref="B12:E12"/>
    <mergeCell ref="F14:S14"/>
    <mergeCell ref="B15:E15"/>
    <mergeCell ref="B16:E16"/>
    <mergeCell ref="B17:E17"/>
    <mergeCell ref="B18:E18"/>
    <mergeCell ref="B19:E19"/>
  </mergeCells>
  <conditionalFormatting sqref="H1">
    <cfRule type="colorScale" priority="2">
      <colorScale>
        <cfvo type="min"/>
        <cfvo type="max"/>
        <color rgb="FFFF7128"/>
        <color rgb="FFFFEF9C"/>
      </colorScale>
    </cfRule>
  </conditionalFormatting>
  <conditionalFormatting sqref="H2:S2">
    <cfRule type="cellIs" dxfId="44" priority="1" operator="lessThan">
      <formula>0</formula>
    </cfRule>
  </conditionalFormatting>
  <dataValidations xWindow="586" yWindow="395" count="1">
    <dataValidation allowBlank="1" showInputMessage="1" showErrorMessage="1" promptTitle="Syötö lähtökassa" prompt="Syötä lähtökassa eli paljon yrityksellä on tilillään käytössä rahaa laskujen maksuun." sqref="H4" xr:uid="{00000000-0002-0000-23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81"/>
  <sheetViews>
    <sheetView zoomScaleNormal="100" workbookViewId="0">
      <pane xSplit="6" ySplit="1" topLeftCell="G2" activePane="bottomRight" state="frozen"/>
      <selection pane="topRight" activeCell="B29" sqref="B29"/>
      <selection pane="bottomLeft" activeCell="B29" sqref="B29"/>
      <selection pane="bottomRight" activeCell="H3" sqref="H3"/>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8.28515625" style="661" customWidth="1"/>
    <col min="7" max="7" width="13" style="661" customWidth="1"/>
    <col min="8" max="8" width="13.42578125" style="661" customWidth="1"/>
    <col min="9" max="9" width="13.28515625" style="661" customWidth="1"/>
    <col min="10" max="10" width="13.42578125" style="661" customWidth="1"/>
    <col min="11" max="11" width="13.7109375" style="661" customWidth="1"/>
    <col min="12" max="12" width="14" style="661" customWidth="1"/>
    <col min="13" max="13" width="13.42578125" style="661" customWidth="1"/>
    <col min="14" max="14" width="14.42578125" style="661" customWidth="1"/>
    <col min="15" max="15" width="15.7109375" style="661" customWidth="1"/>
    <col min="16" max="16" width="16.42578125" style="661" customWidth="1"/>
    <col min="17" max="17" width="15.7109375" style="661" customWidth="1"/>
    <col min="18" max="18" width="16.7109375" style="661" customWidth="1"/>
    <col min="19" max="19" width="16.42578125" style="661" customWidth="1"/>
    <col min="20" max="20" width="13.7109375" style="661" customWidth="1"/>
    <col min="21" max="16384" width="11.42578125" style="661"/>
  </cols>
  <sheetData>
    <row r="1" spans="1:21" ht="51" customHeight="1" thickTop="1" thickBot="1">
      <c r="B1" s="1121" t="s">
        <v>1214</v>
      </c>
      <c r="C1" s="732"/>
      <c r="D1" s="732"/>
      <c r="E1" s="732"/>
      <c r="F1" s="732"/>
      <c r="G1" s="732"/>
      <c r="H1" s="1122" t="str">
        <f>IFERROR(IF(H2&lt;0,"Kassakriisi "&amp;H3&amp;".Järjestä maksut uudelleen!","Selviät laskuista "&amp;H3&amp;""),"")</f>
        <v>Selviät laskuista 2027</v>
      </c>
      <c r="I1" s="1122" t="str">
        <f t="shared" ref="I1:S1" si="0">IFERROR(IF(I2&lt;0,"Kassakriisi "&amp;I3&amp;".Järjestä maksut uudelleen!","Selviät laskuista "&amp;I3&amp;""),"")</f>
        <v>Selviät laskuista 2028</v>
      </c>
      <c r="J1" s="1122" t="str">
        <f t="shared" si="0"/>
        <v>Selviät laskuista 2029</v>
      </c>
      <c r="K1" s="1122" t="str">
        <f t="shared" si="0"/>
        <v>Selviät laskuista 2030</v>
      </c>
      <c r="L1" s="1122" t="str">
        <f t="shared" si="0"/>
        <v>Selviät laskuista 2031</v>
      </c>
      <c r="M1" s="1122" t="str">
        <f t="shared" si="0"/>
        <v>Selviät laskuista 2032</v>
      </c>
      <c r="N1" s="1122" t="str">
        <f t="shared" si="0"/>
        <v>Selviät laskuista 2033</v>
      </c>
      <c r="O1" s="1122" t="str">
        <f t="shared" si="0"/>
        <v>Selviät laskuista 2034</v>
      </c>
      <c r="P1" s="1122" t="str">
        <f t="shared" si="0"/>
        <v>Selviät laskuista 2035</v>
      </c>
      <c r="Q1" s="1122" t="str">
        <f t="shared" si="0"/>
        <v>Selviät laskuista 2036</v>
      </c>
      <c r="R1" s="1122" t="str">
        <f t="shared" si="0"/>
        <v>Selviät laskuista 2037</v>
      </c>
      <c r="S1" s="1122" t="str">
        <f t="shared" si="0"/>
        <v>Selviät laskuista 2038</v>
      </c>
      <c r="T1" s="733"/>
      <c r="U1" s="734"/>
    </row>
    <row r="2" spans="1:21" ht="45" thickTop="1">
      <c r="B2" s="1120"/>
      <c r="C2" s="1120"/>
      <c r="D2" s="1120"/>
      <c r="E2" s="1120"/>
      <c r="F2" s="1120"/>
      <c r="G2" s="1457"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04" t="s">
        <v>1136</v>
      </c>
      <c r="H3" s="1448">
        <f>Lähtötiedot!C4</f>
        <v>2027</v>
      </c>
      <c r="I3" s="735">
        <f>H3+1</f>
        <v>2028</v>
      </c>
      <c r="J3" s="735">
        <f t="shared" ref="J3:S3" si="2">I3+1</f>
        <v>2029</v>
      </c>
      <c r="K3" s="735">
        <f t="shared" si="2"/>
        <v>2030</v>
      </c>
      <c r="L3" s="735">
        <f t="shared" si="2"/>
        <v>2031</v>
      </c>
      <c r="M3" s="735">
        <f t="shared" si="2"/>
        <v>2032</v>
      </c>
      <c r="N3" s="735">
        <f t="shared" si="2"/>
        <v>2033</v>
      </c>
      <c r="O3" s="735">
        <f t="shared" si="2"/>
        <v>2034</v>
      </c>
      <c r="P3" s="735">
        <f t="shared" si="2"/>
        <v>2035</v>
      </c>
      <c r="Q3" s="735">
        <f t="shared" si="2"/>
        <v>2036</v>
      </c>
      <c r="R3" s="735">
        <f t="shared" si="2"/>
        <v>2037</v>
      </c>
      <c r="S3" s="735">
        <f t="shared" si="2"/>
        <v>2038</v>
      </c>
      <c r="T3" s="670" t="s">
        <v>3</v>
      </c>
      <c r="U3" s="736"/>
    </row>
    <row r="4" spans="1:21" s="670" customFormat="1" ht="23.25" customHeight="1" thickBot="1">
      <c r="A4" s="2804"/>
      <c r="B4" s="737" t="s">
        <v>1149</v>
      </c>
      <c r="G4" s="1449" t="s">
        <v>1215</v>
      </c>
      <c r="H4" s="1451">
        <v>0</v>
      </c>
      <c r="I4" s="738">
        <f>H58</f>
        <v>0</v>
      </c>
      <c r="J4" s="738">
        <f t="shared" ref="J4:S4" si="3">I58</f>
        <v>0</v>
      </c>
      <c r="K4" s="738">
        <f t="shared" si="3"/>
        <v>0</v>
      </c>
      <c r="L4" s="738">
        <f t="shared" si="3"/>
        <v>0</v>
      </c>
      <c r="M4" s="738">
        <f t="shared" si="3"/>
        <v>0</v>
      </c>
      <c r="N4" s="738">
        <f t="shared" si="3"/>
        <v>0</v>
      </c>
      <c r="O4" s="738">
        <f t="shared" si="3"/>
        <v>0</v>
      </c>
      <c r="P4" s="738">
        <f t="shared" si="3"/>
        <v>0</v>
      </c>
      <c r="Q4" s="738">
        <f t="shared" si="3"/>
        <v>0</v>
      </c>
      <c r="R4" s="738">
        <f t="shared" si="3"/>
        <v>0</v>
      </c>
      <c r="S4" s="738">
        <f t="shared" si="3"/>
        <v>0</v>
      </c>
      <c r="U4" s="736"/>
    </row>
    <row r="5" spans="1:21" s="670" customFormat="1" ht="29.25" customHeight="1" thickBot="1">
      <c r="A5" s="2804"/>
      <c r="B5" s="739" t="s">
        <v>1151</v>
      </c>
      <c r="F5" s="1244"/>
      <c r="G5" s="1458" t="s">
        <v>1216</v>
      </c>
      <c r="H5" s="1452" t="s">
        <v>1217</v>
      </c>
      <c r="I5" s="1459">
        <v>0.02</v>
      </c>
      <c r="J5" s="1459">
        <v>0.02</v>
      </c>
      <c r="K5" s="1459">
        <v>0.01</v>
      </c>
      <c r="L5" s="1459">
        <v>0.01</v>
      </c>
      <c r="M5" s="1459">
        <v>0.01</v>
      </c>
      <c r="N5" s="1459">
        <v>0.01</v>
      </c>
      <c r="O5" s="1459">
        <v>0.01</v>
      </c>
      <c r="P5" s="1459">
        <v>0.01</v>
      </c>
      <c r="Q5" s="1459">
        <v>0.01</v>
      </c>
      <c r="R5" s="1459">
        <v>0.01</v>
      </c>
      <c r="S5" s="1459">
        <v>0.01</v>
      </c>
      <c r="U5" s="736"/>
    </row>
    <row r="6" spans="1:21" ht="14.25" thickTop="1" thickBot="1">
      <c r="A6" s="2804"/>
      <c r="B6" s="2806" t="s">
        <v>1153</v>
      </c>
      <c r="C6" s="2806"/>
      <c r="D6" s="2806"/>
      <c r="E6" s="2807"/>
      <c r="F6" s="1243"/>
      <c r="G6" s="1245"/>
      <c r="H6" s="758">
        <f>Budjettikuukausittain!T6</f>
        <v>0</v>
      </c>
      <c r="I6" s="741">
        <f>H6*I$5+H6</f>
        <v>0</v>
      </c>
      <c r="J6" s="741">
        <f t="shared" ref="J6:S6" si="4">I6*J$5+I6</f>
        <v>0</v>
      </c>
      <c r="K6" s="741">
        <f t="shared" si="4"/>
        <v>0</v>
      </c>
      <c r="L6" s="741">
        <f t="shared" si="4"/>
        <v>0</v>
      </c>
      <c r="M6" s="741">
        <f t="shared" si="4"/>
        <v>0</v>
      </c>
      <c r="N6" s="741">
        <f t="shared" si="4"/>
        <v>0</v>
      </c>
      <c r="O6" s="741">
        <f t="shared" si="4"/>
        <v>0</v>
      </c>
      <c r="P6" s="741">
        <f t="shared" si="4"/>
        <v>0</v>
      </c>
      <c r="Q6" s="741">
        <f t="shared" si="4"/>
        <v>0</v>
      </c>
      <c r="R6" s="741">
        <f t="shared" si="4"/>
        <v>0</v>
      </c>
      <c r="S6" s="741">
        <f t="shared" si="4"/>
        <v>0</v>
      </c>
      <c r="T6" s="742">
        <f t="shared" ref="T6:T12" si="5">SUM(H6:S6)</f>
        <v>0</v>
      </c>
      <c r="U6" s="743"/>
    </row>
    <row r="7" spans="1:21" ht="14.25" thickTop="1" thickBot="1">
      <c r="A7" s="2804"/>
      <c r="B7" s="2806" t="s">
        <v>1155</v>
      </c>
      <c r="C7" s="2806"/>
      <c r="D7" s="2806"/>
      <c r="E7" s="2807"/>
      <c r="F7" s="1243"/>
      <c r="G7" s="740"/>
      <c r="H7" s="741">
        <f>Budjettikuukausittain!T7</f>
        <v>0</v>
      </c>
      <c r="I7" s="741">
        <f t="shared" ref="I7:S7" si="6">H7*I$5+H7</f>
        <v>0</v>
      </c>
      <c r="J7" s="741">
        <f t="shared" si="6"/>
        <v>0</v>
      </c>
      <c r="K7" s="741">
        <f t="shared" si="6"/>
        <v>0</v>
      </c>
      <c r="L7" s="741">
        <f t="shared" si="6"/>
        <v>0</v>
      </c>
      <c r="M7" s="741">
        <f t="shared" si="6"/>
        <v>0</v>
      </c>
      <c r="N7" s="741">
        <f t="shared" si="6"/>
        <v>0</v>
      </c>
      <c r="O7" s="741">
        <f t="shared" si="6"/>
        <v>0</v>
      </c>
      <c r="P7" s="741">
        <f t="shared" si="6"/>
        <v>0</v>
      </c>
      <c r="Q7" s="741">
        <f t="shared" si="6"/>
        <v>0</v>
      </c>
      <c r="R7" s="741">
        <f t="shared" si="6"/>
        <v>0</v>
      </c>
      <c r="S7" s="741">
        <f t="shared" si="6"/>
        <v>0</v>
      </c>
      <c r="T7" s="744">
        <f t="shared" si="5"/>
        <v>0</v>
      </c>
      <c r="U7" s="743"/>
    </row>
    <row r="8" spans="1:21" ht="14.25" thickTop="1" thickBot="1">
      <c r="A8" s="2804"/>
      <c r="B8" s="2806" t="s">
        <v>1156</v>
      </c>
      <c r="C8" s="2806"/>
      <c r="D8" s="2806"/>
      <c r="E8" s="2807"/>
      <c r="F8" s="1243"/>
      <c r="G8" s="740"/>
      <c r="H8" s="741">
        <f>Budjettikuukausittain!T8</f>
        <v>0</v>
      </c>
      <c r="I8" s="741">
        <f t="shared" ref="I8:S8" si="7">H8*I$5+H8</f>
        <v>0</v>
      </c>
      <c r="J8" s="741">
        <f t="shared" si="7"/>
        <v>0</v>
      </c>
      <c r="K8" s="741">
        <f t="shared" si="7"/>
        <v>0</v>
      </c>
      <c r="L8" s="741">
        <f t="shared" si="7"/>
        <v>0</v>
      </c>
      <c r="M8" s="741">
        <f t="shared" si="7"/>
        <v>0</v>
      </c>
      <c r="N8" s="741">
        <f t="shared" si="7"/>
        <v>0</v>
      </c>
      <c r="O8" s="741">
        <f t="shared" si="7"/>
        <v>0</v>
      </c>
      <c r="P8" s="741">
        <f t="shared" si="7"/>
        <v>0</v>
      </c>
      <c r="Q8" s="741">
        <f t="shared" si="7"/>
        <v>0</v>
      </c>
      <c r="R8" s="741">
        <f t="shared" si="7"/>
        <v>0</v>
      </c>
      <c r="S8" s="741">
        <f t="shared" si="7"/>
        <v>0</v>
      </c>
      <c r="T8" s="744">
        <f t="shared" si="5"/>
        <v>0</v>
      </c>
      <c r="U8" s="743"/>
    </row>
    <row r="9" spans="1:21" ht="14.25" thickTop="1" thickBot="1">
      <c r="A9" s="2804"/>
      <c r="B9" s="2806" t="s">
        <v>934</v>
      </c>
      <c r="C9" s="2806"/>
      <c r="D9" s="2806"/>
      <c r="E9" s="2807"/>
      <c r="F9" s="1243"/>
      <c r="G9" s="740"/>
      <c r="H9" s="741">
        <f>Budjettikuukausittain!T9</f>
        <v>0</v>
      </c>
      <c r="I9" s="741">
        <f t="shared" ref="I9:S9" si="8">H9*I$5+H9</f>
        <v>0</v>
      </c>
      <c r="J9" s="741">
        <f t="shared" si="8"/>
        <v>0</v>
      </c>
      <c r="K9" s="741">
        <f t="shared" si="8"/>
        <v>0</v>
      </c>
      <c r="L9" s="741">
        <f t="shared" si="8"/>
        <v>0</v>
      </c>
      <c r="M9" s="741">
        <f t="shared" si="8"/>
        <v>0</v>
      </c>
      <c r="N9" s="741">
        <f t="shared" si="8"/>
        <v>0</v>
      </c>
      <c r="O9" s="741">
        <f t="shared" si="8"/>
        <v>0</v>
      </c>
      <c r="P9" s="741">
        <f t="shared" si="8"/>
        <v>0</v>
      </c>
      <c r="Q9" s="741">
        <f t="shared" si="8"/>
        <v>0</v>
      </c>
      <c r="R9" s="741">
        <f t="shared" si="8"/>
        <v>0</v>
      </c>
      <c r="S9" s="741">
        <f t="shared" si="8"/>
        <v>0</v>
      </c>
      <c r="T9" s="744">
        <f t="shared" si="5"/>
        <v>0</v>
      </c>
      <c r="U9" s="743"/>
    </row>
    <row r="10" spans="1:21" ht="14.25" thickTop="1" thickBot="1">
      <c r="A10" s="2804"/>
      <c r="B10" s="2808" t="s">
        <v>1157</v>
      </c>
      <c r="C10" s="2808"/>
      <c r="D10" s="2808"/>
      <c r="E10" s="2809"/>
      <c r="F10" s="1453">
        <v>-0.01</v>
      </c>
      <c r="G10" s="740"/>
      <c r="H10" s="741">
        <f>Budjettikuukausittain!T10</f>
        <v>0</v>
      </c>
      <c r="I10" s="741">
        <f>H10*(I$5+$F$10)+H10</f>
        <v>0</v>
      </c>
      <c r="J10" s="741">
        <f t="shared" ref="J10:S10" si="9">I10*(J$5+$F$10)+I10</f>
        <v>0</v>
      </c>
      <c r="K10" s="741">
        <f t="shared" si="9"/>
        <v>0</v>
      </c>
      <c r="L10" s="741">
        <f t="shared" si="9"/>
        <v>0</v>
      </c>
      <c r="M10" s="741">
        <f t="shared" si="9"/>
        <v>0</v>
      </c>
      <c r="N10" s="741">
        <f t="shared" si="9"/>
        <v>0</v>
      </c>
      <c r="O10" s="741">
        <f t="shared" si="9"/>
        <v>0</v>
      </c>
      <c r="P10" s="741">
        <f t="shared" si="9"/>
        <v>0</v>
      </c>
      <c r="Q10" s="741">
        <f t="shared" si="9"/>
        <v>0</v>
      </c>
      <c r="R10" s="741">
        <f t="shared" si="9"/>
        <v>0</v>
      </c>
      <c r="S10" s="741">
        <f t="shared" si="9"/>
        <v>0</v>
      </c>
      <c r="T10" s="744">
        <f t="shared" si="5"/>
        <v>0</v>
      </c>
      <c r="U10" s="743"/>
    </row>
    <row r="11" spans="1:21" ht="14.25" thickTop="1" thickBot="1">
      <c r="A11" s="2804"/>
      <c r="B11" s="2808" t="s">
        <v>1158</v>
      </c>
      <c r="C11" s="2808"/>
      <c r="D11" s="2808"/>
      <c r="E11" s="2809"/>
      <c r="F11" s="1453">
        <v>-0.01</v>
      </c>
      <c r="G11" s="7"/>
      <c r="H11" s="741">
        <f>Budjettikuukausittain!T11</f>
        <v>0</v>
      </c>
      <c r="I11" s="741">
        <f>H11*(I$5+$F$10)+H11</f>
        <v>0</v>
      </c>
      <c r="J11" s="741">
        <f t="shared" ref="J11:S11" si="10">I11*(J$5+$F$10)+I11</f>
        <v>0</v>
      </c>
      <c r="K11" s="741">
        <f t="shared" si="10"/>
        <v>0</v>
      </c>
      <c r="L11" s="741">
        <f t="shared" si="10"/>
        <v>0</v>
      </c>
      <c r="M11" s="741">
        <f t="shared" si="10"/>
        <v>0</v>
      </c>
      <c r="N11" s="741">
        <f t="shared" si="10"/>
        <v>0</v>
      </c>
      <c r="O11" s="741">
        <f t="shared" si="10"/>
        <v>0</v>
      </c>
      <c r="P11" s="741">
        <f t="shared" si="10"/>
        <v>0</v>
      </c>
      <c r="Q11" s="741">
        <f t="shared" si="10"/>
        <v>0</v>
      </c>
      <c r="R11" s="741">
        <f t="shared" si="10"/>
        <v>0</v>
      </c>
      <c r="S11" s="741">
        <f t="shared" si="10"/>
        <v>0</v>
      </c>
      <c r="T11" s="744">
        <f t="shared" si="5"/>
        <v>0</v>
      </c>
      <c r="U11" s="743"/>
    </row>
    <row r="12" spans="1:21" ht="13.5" thickTop="1">
      <c r="A12" s="2804"/>
      <c r="B12" s="2806" t="s">
        <v>1159</v>
      </c>
      <c r="C12" s="2806"/>
      <c r="D12" s="2806"/>
      <c r="E12" s="2807"/>
      <c r="F12" s="1243"/>
      <c r="G12" s="840"/>
      <c r="H12" s="741">
        <f>Budjettikuukausittain!T12</f>
        <v>0</v>
      </c>
      <c r="I12" s="741">
        <f t="shared" ref="I12:S12" si="11">H12*I$5+H12</f>
        <v>0</v>
      </c>
      <c r="J12" s="741">
        <f t="shared" si="11"/>
        <v>0</v>
      </c>
      <c r="K12" s="741">
        <f t="shared" si="11"/>
        <v>0</v>
      </c>
      <c r="L12" s="741">
        <f t="shared" si="11"/>
        <v>0</v>
      </c>
      <c r="M12" s="741">
        <f t="shared" si="11"/>
        <v>0</v>
      </c>
      <c r="N12" s="741">
        <f t="shared" si="11"/>
        <v>0</v>
      </c>
      <c r="O12" s="741">
        <f t="shared" si="11"/>
        <v>0</v>
      </c>
      <c r="P12" s="741">
        <f t="shared" si="11"/>
        <v>0</v>
      </c>
      <c r="Q12" s="741">
        <f t="shared" si="11"/>
        <v>0</v>
      </c>
      <c r="R12" s="741">
        <f t="shared" si="11"/>
        <v>0</v>
      </c>
      <c r="S12" s="741">
        <f t="shared" si="11"/>
        <v>0</v>
      </c>
      <c r="T12" s="744">
        <f t="shared" si="5"/>
        <v>0</v>
      </c>
      <c r="U12" s="743"/>
    </row>
    <row r="13" spans="1:21" ht="13.5" thickBot="1">
      <c r="A13" s="2804"/>
      <c r="B13" s="745" t="s">
        <v>1160</v>
      </c>
      <c r="G13" s="1246"/>
      <c r="H13" s="746">
        <f t="shared" ref="H13:S13" si="12">SUM(H6:H12)</f>
        <v>0</v>
      </c>
      <c r="I13" s="746">
        <f t="shared" si="12"/>
        <v>0</v>
      </c>
      <c r="J13" s="746">
        <f t="shared" si="12"/>
        <v>0</v>
      </c>
      <c r="K13" s="746">
        <f t="shared" si="12"/>
        <v>0</v>
      </c>
      <c r="L13" s="746">
        <f t="shared" si="12"/>
        <v>0</v>
      </c>
      <c r="M13" s="746">
        <f t="shared" si="12"/>
        <v>0</v>
      </c>
      <c r="N13" s="746">
        <f t="shared" si="12"/>
        <v>0</v>
      </c>
      <c r="O13" s="746">
        <f t="shared" si="12"/>
        <v>0</v>
      </c>
      <c r="P13" s="746">
        <f t="shared" si="12"/>
        <v>0</v>
      </c>
      <c r="Q13" s="746">
        <f t="shared" si="12"/>
        <v>0</v>
      </c>
      <c r="R13" s="746">
        <f t="shared" si="12"/>
        <v>0</v>
      </c>
      <c r="S13" s="747">
        <f t="shared" si="12"/>
        <v>0</v>
      </c>
      <c r="T13" s="744"/>
      <c r="U13" s="743"/>
    </row>
    <row r="14" spans="1:21" ht="21" customHeight="1" thickBot="1">
      <c r="A14" s="2804"/>
      <c r="B14" s="739" t="s">
        <v>1161</v>
      </c>
      <c r="G14" s="1450" t="s">
        <v>1216</v>
      </c>
      <c r="H14" s="1452" t="s">
        <v>1217</v>
      </c>
      <c r="I14" s="1459">
        <v>0.01</v>
      </c>
      <c r="J14" s="1459">
        <v>0.01</v>
      </c>
      <c r="K14" s="1459">
        <v>0.01</v>
      </c>
      <c r="L14" s="1459">
        <v>0.01</v>
      </c>
      <c r="M14" s="1459">
        <v>0.01</v>
      </c>
      <c r="N14" s="1459">
        <v>0.01</v>
      </c>
      <c r="O14" s="1459">
        <v>0.01</v>
      </c>
      <c r="P14" s="1459">
        <v>0.01</v>
      </c>
      <c r="Q14" s="1459">
        <v>0.01</v>
      </c>
      <c r="R14" s="1459">
        <v>0.01</v>
      </c>
      <c r="S14" s="1459">
        <v>0.01</v>
      </c>
      <c r="T14" s="744"/>
      <c r="U14" s="743"/>
    </row>
    <row r="15" spans="1:21" ht="14.25" thickTop="1" thickBot="1">
      <c r="A15" s="2804"/>
      <c r="B15" s="2801" t="s">
        <v>1162</v>
      </c>
      <c r="C15" s="2801"/>
      <c r="D15" s="2801"/>
      <c r="E15" s="2811"/>
      <c r="F15" s="1242"/>
      <c r="G15" s="740"/>
      <c r="H15" s="741">
        <f>Budjettikuukausittain!T15</f>
        <v>0</v>
      </c>
      <c r="I15" s="741">
        <f>H15*I$14+H15</f>
        <v>0</v>
      </c>
      <c r="J15" s="741">
        <f t="shared" ref="J15:S15" si="13">I15*J$14+I15</f>
        <v>0</v>
      </c>
      <c r="K15" s="741">
        <f t="shared" si="13"/>
        <v>0</v>
      </c>
      <c r="L15" s="741">
        <f t="shared" si="13"/>
        <v>0</v>
      </c>
      <c r="M15" s="741">
        <f t="shared" si="13"/>
        <v>0</v>
      </c>
      <c r="N15" s="741">
        <f t="shared" si="13"/>
        <v>0</v>
      </c>
      <c r="O15" s="741">
        <f t="shared" si="13"/>
        <v>0</v>
      </c>
      <c r="P15" s="741">
        <f t="shared" si="13"/>
        <v>0</v>
      </c>
      <c r="Q15" s="741">
        <f t="shared" si="13"/>
        <v>0</v>
      </c>
      <c r="R15" s="741">
        <f t="shared" si="13"/>
        <v>0</v>
      </c>
      <c r="S15" s="741">
        <f t="shared" si="13"/>
        <v>0</v>
      </c>
      <c r="T15" s="744">
        <f t="shared" ref="T15:T24" si="14">SUM(H15:S15)</f>
        <v>0</v>
      </c>
      <c r="U15" s="743"/>
    </row>
    <row r="16" spans="1:21" ht="14.25" thickTop="1" thickBot="1">
      <c r="A16" s="2804"/>
      <c r="B16" s="2801" t="s">
        <v>1163</v>
      </c>
      <c r="C16" s="2801"/>
      <c r="D16" s="2801"/>
      <c r="E16" s="2811"/>
      <c r="F16" s="1242"/>
      <c r="G16" s="740"/>
      <c r="H16" s="741">
        <f>Budjettikuukausittain!T16</f>
        <v>0</v>
      </c>
      <c r="I16" s="741">
        <f t="shared" ref="I16:S24" si="15">H16*I$14+H16</f>
        <v>0</v>
      </c>
      <c r="J16" s="741">
        <f t="shared" si="15"/>
        <v>0</v>
      </c>
      <c r="K16" s="741">
        <f t="shared" si="15"/>
        <v>0</v>
      </c>
      <c r="L16" s="741">
        <f t="shared" si="15"/>
        <v>0</v>
      </c>
      <c r="M16" s="741">
        <f t="shared" si="15"/>
        <v>0</v>
      </c>
      <c r="N16" s="741">
        <f t="shared" si="15"/>
        <v>0</v>
      </c>
      <c r="O16" s="741">
        <f t="shared" si="15"/>
        <v>0</v>
      </c>
      <c r="P16" s="741">
        <f t="shared" si="15"/>
        <v>0</v>
      </c>
      <c r="Q16" s="741">
        <f t="shared" si="15"/>
        <v>0</v>
      </c>
      <c r="R16" s="741">
        <f t="shared" si="15"/>
        <v>0</v>
      </c>
      <c r="S16" s="741">
        <f t="shared" si="15"/>
        <v>0</v>
      </c>
      <c r="T16" s="744">
        <f t="shared" si="14"/>
        <v>0</v>
      </c>
      <c r="U16" s="743"/>
    </row>
    <row r="17" spans="1:21" ht="14.25" thickTop="1" thickBot="1">
      <c r="A17" s="2804"/>
      <c r="B17" s="2801" t="s">
        <v>1164</v>
      </c>
      <c r="C17" s="2801"/>
      <c r="D17" s="2801"/>
      <c r="E17" s="2811"/>
      <c r="F17" s="1242"/>
      <c r="G17" s="740"/>
      <c r="H17" s="741">
        <f>Budjettikuukausittain!T17</f>
        <v>0</v>
      </c>
      <c r="I17" s="741">
        <f t="shared" si="15"/>
        <v>0</v>
      </c>
      <c r="J17" s="741">
        <f t="shared" si="15"/>
        <v>0</v>
      </c>
      <c r="K17" s="741">
        <f t="shared" si="15"/>
        <v>0</v>
      </c>
      <c r="L17" s="741">
        <f t="shared" si="15"/>
        <v>0</v>
      </c>
      <c r="M17" s="741">
        <f t="shared" si="15"/>
        <v>0</v>
      </c>
      <c r="N17" s="741">
        <f t="shared" si="15"/>
        <v>0</v>
      </c>
      <c r="O17" s="741">
        <f t="shared" si="15"/>
        <v>0</v>
      </c>
      <c r="P17" s="741">
        <f t="shared" si="15"/>
        <v>0</v>
      </c>
      <c r="Q17" s="741">
        <f t="shared" si="15"/>
        <v>0</v>
      </c>
      <c r="R17" s="741">
        <f t="shared" si="15"/>
        <v>0</v>
      </c>
      <c r="S17" s="741">
        <f t="shared" si="15"/>
        <v>0</v>
      </c>
      <c r="T17" s="744">
        <f t="shared" si="14"/>
        <v>0</v>
      </c>
      <c r="U17" s="743"/>
    </row>
    <row r="18" spans="1:21" ht="14.25" thickTop="1" thickBot="1">
      <c r="A18" s="2804"/>
      <c r="B18" s="2801" t="s">
        <v>1165</v>
      </c>
      <c r="C18" s="2801"/>
      <c r="D18" s="2801"/>
      <c r="E18" s="2811"/>
      <c r="F18" s="1242"/>
      <c r="G18" s="740"/>
      <c r="H18" s="741">
        <f>Budjettikuukausittain!T18</f>
        <v>0</v>
      </c>
      <c r="I18" s="741">
        <f t="shared" si="15"/>
        <v>0</v>
      </c>
      <c r="J18" s="741">
        <f t="shared" si="15"/>
        <v>0</v>
      </c>
      <c r="K18" s="741">
        <f t="shared" si="15"/>
        <v>0</v>
      </c>
      <c r="L18" s="741">
        <f t="shared" si="15"/>
        <v>0</v>
      </c>
      <c r="M18" s="741">
        <f t="shared" si="15"/>
        <v>0</v>
      </c>
      <c r="N18" s="741">
        <f t="shared" si="15"/>
        <v>0</v>
      </c>
      <c r="O18" s="741">
        <f t="shared" si="15"/>
        <v>0</v>
      </c>
      <c r="P18" s="741">
        <f t="shared" si="15"/>
        <v>0</v>
      </c>
      <c r="Q18" s="741">
        <f t="shared" si="15"/>
        <v>0</v>
      </c>
      <c r="R18" s="741">
        <f t="shared" si="15"/>
        <v>0</v>
      </c>
      <c r="S18" s="741">
        <f t="shared" si="15"/>
        <v>0</v>
      </c>
      <c r="T18" s="744">
        <f t="shared" si="14"/>
        <v>0</v>
      </c>
      <c r="U18" s="743"/>
    </row>
    <row r="19" spans="1:21" ht="14.25" thickTop="1" thickBot="1">
      <c r="A19" s="2804"/>
      <c r="B19" s="2801" t="s">
        <v>1166</v>
      </c>
      <c r="C19" s="2801"/>
      <c r="D19" s="2801"/>
      <c r="E19" s="2811"/>
      <c r="F19" s="1242"/>
      <c r="G19" s="740"/>
      <c r="H19" s="741">
        <f>Budjettikuukausittain!T19</f>
        <v>0</v>
      </c>
      <c r="I19" s="741">
        <f t="shared" si="15"/>
        <v>0</v>
      </c>
      <c r="J19" s="741">
        <f t="shared" si="15"/>
        <v>0</v>
      </c>
      <c r="K19" s="741">
        <f t="shared" si="15"/>
        <v>0</v>
      </c>
      <c r="L19" s="741">
        <f t="shared" si="15"/>
        <v>0</v>
      </c>
      <c r="M19" s="741">
        <f t="shared" si="15"/>
        <v>0</v>
      </c>
      <c r="N19" s="741">
        <f t="shared" si="15"/>
        <v>0</v>
      </c>
      <c r="O19" s="741">
        <f t="shared" si="15"/>
        <v>0</v>
      </c>
      <c r="P19" s="741">
        <f t="shared" si="15"/>
        <v>0</v>
      </c>
      <c r="Q19" s="741">
        <f t="shared" si="15"/>
        <v>0</v>
      </c>
      <c r="R19" s="741">
        <f t="shared" si="15"/>
        <v>0</v>
      </c>
      <c r="S19" s="741">
        <f t="shared" si="15"/>
        <v>0</v>
      </c>
      <c r="T19" s="744">
        <f t="shared" si="14"/>
        <v>0</v>
      </c>
      <c r="U19" s="743"/>
    </row>
    <row r="20" spans="1:21" ht="14.25" thickTop="1" thickBot="1">
      <c r="A20" s="2804"/>
      <c r="B20" s="2801" t="s">
        <v>1167</v>
      </c>
      <c r="C20" s="2802"/>
      <c r="D20" s="2802"/>
      <c r="E20" s="2803"/>
      <c r="F20" s="1242"/>
      <c r="G20" s="740"/>
      <c r="H20" s="741">
        <f>Budjettikuukausittain!T20</f>
        <v>0</v>
      </c>
      <c r="I20" s="741">
        <f t="shared" si="15"/>
        <v>0</v>
      </c>
      <c r="J20" s="741">
        <f t="shared" si="15"/>
        <v>0</v>
      </c>
      <c r="K20" s="741">
        <f t="shared" si="15"/>
        <v>0</v>
      </c>
      <c r="L20" s="741">
        <f t="shared" si="15"/>
        <v>0</v>
      </c>
      <c r="M20" s="741">
        <f t="shared" si="15"/>
        <v>0</v>
      </c>
      <c r="N20" s="741">
        <f t="shared" si="15"/>
        <v>0</v>
      </c>
      <c r="O20" s="741">
        <f t="shared" si="15"/>
        <v>0</v>
      </c>
      <c r="P20" s="741">
        <f t="shared" si="15"/>
        <v>0</v>
      </c>
      <c r="Q20" s="741">
        <f t="shared" si="15"/>
        <v>0</v>
      </c>
      <c r="R20" s="741">
        <f t="shared" si="15"/>
        <v>0</v>
      </c>
      <c r="S20" s="741">
        <f t="shared" si="15"/>
        <v>0</v>
      </c>
      <c r="T20" s="744">
        <f t="shared" si="14"/>
        <v>0</v>
      </c>
      <c r="U20" s="743"/>
    </row>
    <row r="21" spans="1:21" ht="14.25" thickTop="1" thickBot="1">
      <c r="A21" s="2804"/>
      <c r="B21" s="2801" t="s">
        <v>1168</v>
      </c>
      <c r="C21" s="2802"/>
      <c r="D21" s="2802"/>
      <c r="E21" s="2803"/>
      <c r="F21" s="1242"/>
      <c r="G21" s="740"/>
      <c r="H21" s="741">
        <f>Budjettikuukausittain!T21</f>
        <v>0</v>
      </c>
      <c r="I21" s="741">
        <f t="shared" si="15"/>
        <v>0</v>
      </c>
      <c r="J21" s="741">
        <f t="shared" si="15"/>
        <v>0</v>
      </c>
      <c r="K21" s="741">
        <f t="shared" si="15"/>
        <v>0</v>
      </c>
      <c r="L21" s="741">
        <f t="shared" si="15"/>
        <v>0</v>
      </c>
      <c r="M21" s="741">
        <f t="shared" si="15"/>
        <v>0</v>
      </c>
      <c r="N21" s="741">
        <f t="shared" si="15"/>
        <v>0</v>
      </c>
      <c r="O21" s="741">
        <f t="shared" si="15"/>
        <v>0</v>
      </c>
      <c r="P21" s="741">
        <f t="shared" si="15"/>
        <v>0</v>
      </c>
      <c r="Q21" s="741">
        <f t="shared" si="15"/>
        <v>0</v>
      </c>
      <c r="R21" s="741">
        <f t="shared" si="15"/>
        <v>0</v>
      </c>
      <c r="S21" s="741">
        <f t="shared" si="15"/>
        <v>0</v>
      </c>
      <c r="T21" s="744">
        <f t="shared" si="14"/>
        <v>0</v>
      </c>
      <c r="U21" s="743"/>
    </row>
    <row r="22" spans="1:21" ht="14.25" thickTop="1" thickBot="1">
      <c r="A22" s="2804"/>
      <c r="B22" s="2801" t="s">
        <v>1218</v>
      </c>
      <c r="C22" s="2802"/>
      <c r="D22" s="2802"/>
      <c r="E22" s="2803"/>
      <c r="F22" s="1242"/>
      <c r="G22" s="740"/>
      <c r="H22" s="741">
        <f>Budjettikuukausittain!T22</f>
        <v>0</v>
      </c>
      <c r="I22" s="741">
        <f t="shared" si="15"/>
        <v>0</v>
      </c>
      <c r="J22" s="741">
        <f t="shared" si="15"/>
        <v>0</v>
      </c>
      <c r="K22" s="741">
        <f t="shared" si="15"/>
        <v>0</v>
      </c>
      <c r="L22" s="741">
        <f t="shared" si="15"/>
        <v>0</v>
      </c>
      <c r="M22" s="741">
        <f t="shared" si="15"/>
        <v>0</v>
      </c>
      <c r="N22" s="741">
        <f t="shared" si="15"/>
        <v>0</v>
      </c>
      <c r="O22" s="741">
        <f t="shared" si="15"/>
        <v>0</v>
      </c>
      <c r="P22" s="741">
        <f t="shared" si="15"/>
        <v>0</v>
      </c>
      <c r="Q22" s="741">
        <f t="shared" si="15"/>
        <v>0</v>
      </c>
      <c r="R22" s="741">
        <f t="shared" si="15"/>
        <v>0</v>
      </c>
      <c r="S22" s="741">
        <f t="shared" si="15"/>
        <v>0</v>
      </c>
      <c r="T22" s="744">
        <f t="shared" si="14"/>
        <v>0</v>
      </c>
      <c r="U22" s="743"/>
    </row>
    <row r="23" spans="1:21" ht="14.25" thickTop="1" thickBot="1">
      <c r="A23" s="2804"/>
      <c r="B23" s="2801" t="s">
        <v>1219</v>
      </c>
      <c r="C23" s="2801"/>
      <c r="D23" s="2801"/>
      <c r="E23" s="2811"/>
      <c r="F23" s="1242"/>
      <c r="G23" s="740"/>
      <c r="H23" s="741">
        <f>Budjettikuukausittain!T23</f>
        <v>0</v>
      </c>
      <c r="I23" s="741">
        <f t="shared" si="15"/>
        <v>0</v>
      </c>
      <c r="J23" s="741">
        <f t="shared" si="15"/>
        <v>0</v>
      </c>
      <c r="K23" s="741">
        <f t="shared" si="15"/>
        <v>0</v>
      </c>
      <c r="L23" s="741">
        <f t="shared" si="15"/>
        <v>0</v>
      </c>
      <c r="M23" s="741">
        <f t="shared" si="15"/>
        <v>0</v>
      </c>
      <c r="N23" s="741">
        <f t="shared" si="15"/>
        <v>0</v>
      </c>
      <c r="O23" s="741">
        <f t="shared" si="15"/>
        <v>0</v>
      </c>
      <c r="P23" s="741">
        <f t="shared" si="15"/>
        <v>0</v>
      </c>
      <c r="Q23" s="741">
        <f t="shared" si="15"/>
        <v>0</v>
      </c>
      <c r="R23" s="741">
        <f t="shared" si="15"/>
        <v>0</v>
      </c>
      <c r="S23" s="741">
        <f t="shared" si="15"/>
        <v>0</v>
      </c>
      <c r="T23" s="744">
        <f t="shared" si="14"/>
        <v>0</v>
      </c>
      <c r="U23" s="743"/>
    </row>
    <row r="24" spans="1:21" ht="13.5" thickTop="1">
      <c r="A24" s="2804"/>
      <c r="B24" s="2801"/>
      <c r="C24" s="2801"/>
      <c r="D24" s="2801"/>
      <c r="E24" s="2811"/>
      <c r="F24" s="1242"/>
      <c r="G24" s="840"/>
      <c r="H24" s="741">
        <f>Budjettikuukausittain!T24</f>
        <v>0</v>
      </c>
      <c r="I24" s="741">
        <f t="shared" si="15"/>
        <v>0</v>
      </c>
      <c r="J24" s="741">
        <f t="shared" si="15"/>
        <v>0</v>
      </c>
      <c r="K24" s="741">
        <f t="shared" si="15"/>
        <v>0</v>
      </c>
      <c r="L24" s="741">
        <f t="shared" si="15"/>
        <v>0</v>
      </c>
      <c r="M24" s="741">
        <f t="shared" si="15"/>
        <v>0</v>
      </c>
      <c r="N24" s="741">
        <f t="shared" si="15"/>
        <v>0</v>
      </c>
      <c r="O24" s="741">
        <f t="shared" si="15"/>
        <v>0</v>
      </c>
      <c r="P24" s="741">
        <f t="shared" si="15"/>
        <v>0</v>
      </c>
      <c r="Q24" s="741">
        <f t="shared" si="15"/>
        <v>0</v>
      </c>
      <c r="R24" s="741">
        <f t="shared" si="15"/>
        <v>0</v>
      </c>
      <c r="S24" s="741">
        <f t="shared" si="15"/>
        <v>0</v>
      </c>
      <c r="T24" s="744">
        <f t="shared" si="14"/>
        <v>0</v>
      </c>
      <c r="U24" s="743"/>
    </row>
    <row r="25" spans="1:21">
      <c r="A25" s="2804"/>
      <c r="B25" s="749"/>
      <c r="H25" s="750"/>
      <c r="I25" s="751"/>
      <c r="J25" s="751"/>
      <c r="K25" s="751"/>
      <c r="L25" s="751"/>
      <c r="M25" s="751"/>
      <c r="N25" s="751"/>
      <c r="O25" s="751"/>
      <c r="P25" s="751"/>
      <c r="Q25" s="751"/>
      <c r="R25" s="751"/>
      <c r="S25" s="752"/>
      <c r="T25" s="744"/>
      <c r="U25" s="743"/>
    </row>
    <row r="26" spans="1:21">
      <c r="A26" s="2804"/>
      <c r="B26" s="745" t="s">
        <v>1170</v>
      </c>
      <c r="G26" s="1247"/>
      <c r="H26" s="753">
        <f t="shared" ref="H26:S26" si="16">SUM(H15:H24)</f>
        <v>0</v>
      </c>
      <c r="I26" s="753">
        <f t="shared" si="16"/>
        <v>0</v>
      </c>
      <c r="J26" s="753">
        <f t="shared" si="16"/>
        <v>0</v>
      </c>
      <c r="K26" s="753">
        <f t="shared" si="16"/>
        <v>0</v>
      </c>
      <c r="L26" s="753">
        <f t="shared" si="16"/>
        <v>0</v>
      </c>
      <c r="M26" s="753">
        <f t="shared" si="16"/>
        <v>0</v>
      </c>
      <c r="N26" s="753">
        <f t="shared" si="16"/>
        <v>0</v>
      </c>
      <c r="O26" s="753">
        <f t="shared" si="16"/>
        <v>0</v>
      </c>
      <c r="P26" s="753">
        <f t="shared" si="16"/>
        <v>0</v>
      </c>
      <c r="Q26" s="753">
        <f t="shared" si="16"/>
        <v>0</v>
      </c>
      <c r="R26" s="753">
        <f t="shared" si="16"/>
        <v>0</v>
      </c>
      <c r="S26" s="747">
        <f t="shared" si="16"/>
        <v>0</v>
      </c>
      <c r="T26" s="744">
        <f t="shared" ref="T26:T31" si="17">SUM(H26:S26)</f>
        <v>0</v>
      </c>
      <c r="U26" s="743"/>
    </row>
    <row r="27" spans="1:21">
      <c r="A27" s="2804"/>
      <c r="B27" s="745" t="s">
        <v>1171</v>
      </c>
      <c r="H27" s="746">
        <f t="shared" ref="H27:S27" si="18">H13-H26</f>
        <v>0</v>
      </c>
      <c r="I27" s="746">
        <f t="shared" si="18"/>
        <v>0</v>
      </c>
      <c r="J27" s="746">
        <f t="shared" si="18"/>
        <v>0</v>
      </c>
      <c r="K27" s="746">
        <f t="shared" si="18"/>
        <v>0</v>
      </c>
      <c r="L27" s="746">
        <f t="shared" si="18"/>
        <v>0</v>
      </c>
      <c r="M27" s="746">
        <f t="shared" si="18"/>
        <v>0</v>
      </c>
      <c r="N27" s="746">
        <f t="shared" si="18"/>
        <v>0</v>
      </c>
      <c r="O27" s="746">
        <f t="shared" si="18"/>
        <v>0</v>
      </c>
      <c r="P27" s="746">
        <f t="shared" si="18"/>
        <v>0</v>
      </c>
      <c r="Q27" s="746">
        <f t="shared" si="18"/>
        <v>0</v>
      </c>
      <c r="R27" s="746">
        <f t="shared" si="18"/>
        <v>0</v>
      </c>
      <c r="S27" s="747">
        <f t="shared" si="18"/>
        <v>0</v>
      </c>
      <c r="T27" s="744">
        <f t="shared" si="17"/>
        <v>0</v>
      </c>
      <c r="U27" s="743"/>
    </row>
    <row r="28" spans="1:21" ht="13.5" thickBot="1">
      <c r="A28" s="2804"/>
      <c r="B28" s="749"/>
      <c r="H28" s="746"/>
      <c r="I28" s="754"/>
      <c r="J28" s="754"/>
      <c r="K28" s="754"/>
      <c r="L28" s="754"/>
      <c r="M28" s="754"/>
      <c r="N28" s="754"/>
      <c r="O28" s="754"/>
      <c r="P28" s="754"/>
      <c r="Q28" s="754"/>
      <c r="R28" s="754"/>
      <c r="S28" s="755"/>
      <c r="T28" s="744">
        <f t="shared" si="17"/>
        <v>0</v>
      </c>
      <c r="U28" s="743"/>
    </row>
    <row r="29" spans="1:21" ht="14.25" thickTop="1" thickBot="1">
      <c r="A29" s="2804"/>
      <c r="B29" s="745" t="s">
        <v>1172</v>
      </c>
      <c r="G29" s="840"/>
      <c r="H29" s="756">
        <f>Budjettikuukausittain!T29</f>
        <v>0</v>
      </c>
      <c r="I29" s="741">
        <f t="shared" ref="I29:S29" si="19">H29*I$5+H29</f>
        <v>0</v>
      </c>
      <c r="J29" s="741">
        <f t="shared" si="19"/>
        <v>0</v>
      </c>
      <c r="K29" s="741">
        <f t="shared" si="19"/>
        <v>0</v>
      </c>
      <c r="L29" s="741">
        <f t="shared" si="19"/>
        <v>0</v>
      </c>
      <c r="M29" s="741">
        <f t="shared" si="19"/>
        <v>0</v>
      </c>
      <c r="N29" s="741">
        <f t="shared" si="19"/>
        <v>0</v>
      </c>
      <c r="O29" s="741">
        <f t="shared" si="19"/>
        <v>0</v>
      </c>
      <c r="P29" s="741">
        <f t="shared" si="19"/>
        <v>0</v>
      </c>
      <c r="Q29" s="741">
        <f t="shared" si="19"/>
        <v>0</v>
      </c>
      <c r="R29" s="741">
        <f t="shared" si="19"/>
        <v>0</v>
      </c>
      <c r="S29" s="741">
        <f t="shared" si="19"/>
        <v>0</v>
      </c>
      <c r="T29" s="744">
        <f t="shared" si="17"/>
        <v>0</v>
      </c>
      <c r="U29" s="743"/>
    </row>
    <row r="30" spans="1:21" ht="14.25" thickTop="1" thickBot="1">
      <c r="A30" s="2804"/>
      <c r="B30" s="745" t="s">
        <v>1173</v>
      </c>
      <c r="G30" s="840"/>
      <c r="H30" s="756">
        <f>Budjettikuukausittain!T30</f>
        <v>0</v>
      </c>
      <c r="I30" s="741">
        <f>H30*I$14+H30</f>
        <v>0</v>
      </c>
      <c r="J30" s="741">
        <f t="shared" ref="J30:S30" si="20">I30*J$14+I30</f>
        <v>0</v>
      </c>
      <c r="K30" s="741">
        <f t="shared" si="20"/>
        <v>0</v>
      </c>
      <c r="L30" s="741">
        <f t="shared" si="20"/>
        <v>0</v>
      </c>
      <c r="M30" s="741">
        <f t="shared" si="20"/>
        <v>0</v>
      </c>
      <c r="N30" s="741">
        <f t="shared" si="20"/>
        <v>0</v>
      </c>
      <c r="O30" s="741">
        <f t="shared" si="20"/>
        <v>0</v>
      </c>
      <c r="P30" s="741">
        <f t="shared" si="20"/>
        <v>0</v>
      </c>
      <c r="Q30" s="741">
        <f t="shared" si="20"/>
        <v>0</v>
      </c>
      <c r="R30" s="741">
        <f t="shared" si="20"/>
        <v>0</v>
      </c>
      <c r="S30" s="741">
        <f t="shared" si="20"/>
        <v>0</v>
      </c>
      <c r="T30" s="744">
        <f t="shared" si="17"/>
        <v>0</v>
      </c>
      <c r="U30" s="743"/>
    </row>
    <row r="31" spans="1:21" ht="13.5" thickTop="1">
      <c r="A31" s="2804"/>
      <c r="B31" s="745" t="s">
        <v>1174</v>
      </c>
      <c r="H31" s="746">
        <f t="shared" ref="H31:S31" si="21">H29-H30</f>
        <v>0</v>
      </c>
      <c r="I31" s="746">
        <f t="shared" si="21"/>
        <v>0</v>
      </c>
      <c r="J31" s="746">
        <f t="shared" si="21"/>
        <v>0</v>
      </c>
      <c r="K31" s="746">
        <f t="shared" si="21"/>
        <v>0</v>
      </c>
      <c r="L31" s="746">
        <f t="shared" si="21"/>
        <v>0</v>
      </c>
      <c r="M31" s="746">
        <f t="shared" si="21"/>
        <v>0</v>
      </c>
      <c r="N31" s="746">
        <f t="shared" si="21"/>
        <v>0</v>
      </c>
      <c r="O31" s="746">
        <f t="shared" si="21"/>
        <v>0</v>
      </c>
      <c r="P31" s="746">
        <f t="shared" si="21"/>
        <v>0</v>
      </c>
      <c r="Q31" s="746">
        <f t="shared" si="21"/>
        <v>0</v>
      </c>
      <c r="R31" s="746">
        <f t="shared" si="21"/>
        <v>0</v>
      </c>
      <c r="S31" s="747">
        <f t="shared" si="21"/>
        <v>0</v>
      </c>
      <c r="T31" s="744">
        <f t="shared" si="17"/>
        <v>0</v>
      </c>
      <c r="U31" s="743"/>
    </row>
    <row r="32" spans="1:21" ht="12" customHeight="1">
      <c r="A32" s="2804"/>
      <c r="B32" s="745"/>
      <c r="H32" s="2813"/>
      <c r="I32" s="2813"/>
      <c r="J32" s="2813"/>
      <c r="K32" s="2813"/>
      <c r="L32" s="2813"/>
      <c r="M32" s="2813"/>
      <c r="N32" s="2813"/>
      <c r="O32" s="2813"/>
      <c r="P32" s="2813"/>
      <c r="Q32" s="2813"/>
      <c r="R32" s="2813"/>
      <c r="S32" s="2813"/>
      <c r="T32" s="744"/>
      <c r="U32" s="743"/>
    </row>
    <row r="33" spans="1:45" ht="13.5" thickBot="1">
      <c r="A33" s="2804"/>
      <c r="B33" s="866" t="s">
        <v>1220</v>
      </c>
      <c r="G33" s="836"/>
      <c r="H33" s="756">
        <f>Budjettikuukausittain!T33</f>
        <v>0</v>
      </c>
      <c r="I33" s="756">
        <f>H33*I$5+H33</f>
        <v>0</v>
      </c>
      <c r="J33" s="756">
        <f t="shared" ref="J33:S33" si="22">I33*J$5+I33</f>
        <v>0</v>
      </c>
      <c r="K33" s="756">
        <f t="shared" si="22"/>
        <v>0</v>
      </c>
      <c r="L33" s="756">
        <f t="shared" si="22"/>
        <v>0</v>
      </c>
      <c r="M33" s="756">
        <f t="shared" si="22"/>
        <v>0</v>
      </c>
      <c r="N33" s="756">
        <f t="shared" si="22"/>
        <v>0</v>
      </c>
      <c r="O33" s="756">
        <f t="shared" si="22"/>
        <v>0</v>
      </c>
      <c r="P33" s="756">
        <f t="shared" si="22"/>
        <v>0</v>
      </c>
      <c r="Q33" s="756">
        <f t="shared" si="22"/>
        <v>0</v>
      </c>
      <c r="R33" s="756">
        <f t="shared" si="22"/>
        <v>0</v>
      </c>
      <c r="S33" s="756">
        <f t="shared" si="22"/>
        <v>0</v>
      </c>
      <c r="T33" s="744"/>
      <c r="U33" s="743"/>
    </row>
    <row r="34" spans="1:45" ht="14.25" thickTop="1" thickBot="1">
      <c r="A34" s="2804"/>
      <c r="B34" s="2806" t="s">
        <v>1176</v>
      </c>
      <c r="C34" s="2806"/>
      <c r="D34" s="2806"/>
      <c r="E34" s="2807"/>
      <c r="F34" s="1242"/>
      <c r="G34" s="2823"/>
      <c r="H34" s="756">
        <f>Budjettikuukausittain!T34</f>
        <v>0</v>
      </c>
      <c r="I34" s="741">
        <f>H34*I$14+H34</f>
        <v>0</v>
      </c>
      <c r="J34" s="741">
        <f t="shared" ref="J34:S34" si="23">I34*J$14+I34</f>
        <v>0</v>
      </c>
      <c r="K34" s="741">
        <f t="shared" si="23"/>
        <v>0</v>
      </c>
      <c r="L34" s="741">
        <f t="shared" si="23"/>
        <v>0</v>
      </c>
      <c r="M34" s="741">
        <f t="shared" si="23"/>
        <v>0</v>
      </c>
      <c r="N34" s="741">
        <f t="shared" si="23"/>
        <v>0</v>
      </c>
      <c r="O34" s="741">
        <f t="shared" si="23"/>
        <v>0</v>
      </c>
      <c r="P34" s="741">
        <f t="shared" si="23"/>
        <v>0</v>
      </c>
      <c r="Q34" s="741">
        <f t="shared" si="23"/>
        <v>0</v>
      </c>
      <c r="R34" s="741">
        <f t="shared" si="23"/>
        <v>0</v>
      </c>
      <c r="S34" s="741">
        <f t="shared" si="23"/>
        <v>0</v>
      </c>
      <c r="T34" s="744">
        <f t="shared" ref="T34:T39" si="24">SUM(H34:S34)</f>
        <v>0</v>
      </c>
      <c r="U34" s="743"/>
    </row>
    <row r="35" spans="1:45" ht="14.25" thickTop="1" thickBot="1">
      <c r="A35" s="2804"/>
      <c r="B35" s="2806" t="s">
        <v>1177</v>
      </c>
      <c r="C35" s="2806"/>
      <c r="D35" s="2806"/>
      <c r="E35" s="2807"/>
      <c r="F35" s="1242"/>
      <c r="G35" s="2824"/>
      <c r="H35" s="756">
        <f>Budjettikuukausittain!T35</f>
        <v>0</v>
      </c>
      <c r="I35" s="741">
        <f t="shared" ref="I35:S35" si="25">H35*I$14+H35</f>
        <v>0</v>
      </c>
      <c r="J35" s="741">
        <f t="shared" si="25"/>
        <v>0</v>
      </c>
      <c r="K35" s="741">
        <f t="shared" si="25"/>
        <v>0</v>
      </c>
      <c r="L35" s="741">
        <f t="shared" si="25"/>
        <v>0</v>
      </c>
      <c r="M35" s="741">
        <f t="shared" si="25"/>
        <v>0</v>
      </c>
      <c r="N35" s="741">
        <f t="shared" si="25"/>
        <v>0</v>
      </c>
      <c r="O35" s="741">
        <f t="shared" si="25"/>
        <v>0</v>
      </c>
      <c r="P35" s="741">
        <f t="shared" si="25"/>
        <v>0</v>
      </c>
      <c r="Q35" s="741">
        <f t="shared" si="25"/>
        <v>0</v>
      </c>
      <c r="R35" s="741">
        <f t="shared" si="25"/>
        <v>0</v>
      </c>
      <c r="S35" s="741">
        <f t="shared" si="25"/>
        <v>0</v>
      </c>
      <c r="T35" s="744">
        <f t="shared" si="24"/>
        <v>0</v>
      </c>
      <c r="U35" s="743"/>
    </row>
    <row r="36" spans="1:45" ht="14.25" thickTop="1" thickBot="1">
      <c r="A36" s="2804"/>
      <c r="B36" s="2806" t="s">
        <v>1178</v>
      </c>
      <c r="C36" s="2806"/>
      <c r="D36" s="2806"/>
      <c r="E36" s="2807"/>
      <c r="F36" s="1242"/>
      <c r="G36" s="2824"/>
      <c r="H36" s="756">
        <f>Budjettikuukausittain!T36</f>
        <v>0</v>
      </c>
      <c r="I36" s="741">
        <f t="shared" ref="I36:S36" si="26">H36*I$14+H36</f>
        <v>0</v>
      </c>
      <c r="J36" s="741">
        <f t="shared" si="26"/>
        <v>0</v>
      </c>
      <c r="K36" s="741">
        <f t="shared" si="26"/>
        <v>0</v>
      </c>
      <c r="L36" s="741">
        <f t="shared" si="26"/>
        <v>0</v>
      </c>
      <c r="M36" s="741">
        <f t="shared" si="26"/>
        <v>0</v>
      </c>
      <c r="N36" s="741">
        <f t="shared" si="26"/>
        <v>0</v>
      </c>
      <c r="O36" s="741">
        <f t="shared" si="26"/>
        <v>0</v>
      </c>
      <c r="P36" s="741">
        <f t="shared" si="26"/>
        <v>0</v>
      </c>
      <c r="Q36" s="741">
        <f t="shared" si="26"/>
        <v>0</v>
      </c>
      <c r="R36" s="741">
        <f t="shared" si="26"/>
        <v>0</v>
      </c>
      <c r="S36" s="741">
        <f t="shared" si="26"/>
        <v>0</v>
      </c>
      <c r="T36" s="744">
        <f t="shared" si="24"/>
        <v>0</v>
      </c>
      <c r="U36" s="743"/>
    </row>
    <row r="37" spans="1:45" ht="14.25" thickTop="1" thickBot="1">
      <c r="A37" s="2804"/>
      <c r="B37" s="2806" t="s">
        <v>1179</v>
      </c>
      <c r="C37" s="2806"/>
      <c r="D37" s="2806"/>
      <c r="E37" s="2807"/>
      <c r="F37" s="1242"/>
      <c r="G37" s="2824"/>
      <c r="H37" s="756">
        <f>Budjettikuukausittain!T37</f>
        <v>0</v>
      </c>
      <c r="I37" s="741">
        <f t="shared" ref="I37:S37" si="27">H37*I$14+H37</f>
        <v>0</v>
      </c>
      <c r="J37" s="741">
        <f t="shared" si="27"/>
        <v>0</v>
      </c>
      <c r="K37" s="741">
        <f t="shared" si="27"/>
        <v>0</v>
      </c>
      <c r="L37" s="741">
        <f t="shared" si="27"/>
        <v>0</v>
      </c>
      <c r="M37" s="741">
        <f t="shared" si="27"/>
        <v>0</v>
      </c>
      <c r="N37" s="741">
        <f t="shared" si="27"/>
        <v>0</v>
      </c>
      <c r="O37" s="741">
        <f t="shared" si="27"/>
        <v>0</v>
      </c>
      <c r="P37" s="741">
        <f t="shared" si="27"/>
        <v>0</v>
      </c>
      <c r="Q37" s="741">
        <f t="shared" si="27"/>
        <v>0</v>
      </c>
      <c r="R37" s="741">
        <f t="shared" si="27"/>
        <v>0</v>
      </c>
      <c r="S37" s="741">
        <f t="shared" si="27"/>
        <v>0</v>
      </c>
      <c r="T37" s="744">
        <f t="shared" si="24"/>
        <v>0</v>
      </c>
      <c r="U37" s="743"/>
    </row>
    <row r="38" spans="1:45" ht="14.25" thickTop="1" thickBot="1">
      <c r="A38" s="2804"/>
      <c r="B38" s="2806" t="s">
        <v>1180</v>
      </c>
      <c r="C38" s="2806"/>
      <c r="D38" s="2806"/>
      <c r="E38" s="2807"/>
      <c r="F38" s="1242"/>
      <c r="G38" s="2824"/>
      <c r="H38" s="756">
        <f>Budjettikuukausittain!T38</f>
        <v>0</v>
      </c>
      <c r="I38" s="741">
        <f t="shared" ref="I38:S38" si="28">H38*I$14+H38</f>
        <v>0</v>
      </c>
      <c r="J38" s="741">
        <f t="shared" si="28"/>
        <v>0</v>
      </c>
      <c r="K38" s="741">
        <f t="shared" si="28"/>
        <v>0</v>
      </c>
      <c r="L38" s="741">
        <f t="shared" si="28"/>
        <v>0</v>
      </c>
      <c r="M38" s="741">
        <f t="shared" si="28"/>
        <v>0</v>
      </c>
      <c r="N38" s="741">
        <f t="shared" si="28"/>
        <v>0</v>
      </c>
      <c r="O38" s="741">
        <f t="shared" si="28"/>
        <v>0</v>
      </c>
      <c r="P38" s="741">
        <f t="shared" si="28"/>
        <v>0</v>
      </c>
      <c r="Q38" s="741">
        <f t="shared" si="28"/>
        <v>0</v>
      </c>
      <c r="R38" s="741">
        <f t="shared" si="28"/>
        <v>0</v>
      </c>
      <c r="S38" s="741">
        <f t="shared" si="28"/>
        <v>0</v>
      </c>
      <c r="T38" s="744">
        <f t="shared" si="24"/>
        <v>0</v>
      </c>
      <c r="U38" s="743"/>
    </row>
    <row r="39" spans="1:45" ht="14.25" thickTop="1" thickBot="1">
      <c r="A39" s="2804"/>
      <c r="B39" s="2806" t="s">
        <v>1181</v>
      </c>
      <c r="C39" s="2806"/>
      <c r="D39" s="2806"/>
      <c r="E39" s="2807"/>
      <c r="F39" s="1242"/>
      <c r="G39" s="2825"/>
      <c r="H39" s="756">
        <f>Budjettikuukausittain!T39</f>
        <v>0</v>
      </c>
      <c r="I39" s="741">
        <f t="shared" ref="I39:S39" si="29">H39*I$14+H39</f>
        <v>0</v>
      </c>
      <c r="J39" s="741">
        <f t="shared" si="29"/>
        <v>0</v>
      </c>
      <c r="K39" s="741">
        <f t="shared" si="29"/>
        <v>0</v>
      </c>
      <c r="L39" s="741">
        <f t="shared" si="29"/>
        <v>0</v>
      </c>
      <c r="M39" s="741">
        <f t="shared" si="29"/>
        <v>0</v>
      </c>
      <c r="N39" s="741">
        <f t="shared" si="29"/>
        <v>0</v>
      </c>
      <c r="O39" s="741">
        <f t="shared" si="29"/>
        <v>0</v>
      </c>
      <c r="P39" s="741">
        <f t="shared" si="29"/>
        <v>0</v>
      </c>
      <c r="Q39" s="741">
        <f t="shared" si="29"/>
        <v>0</v>
      </c>
      <c r="R39" s="741">
        <f t="shared" si="29"/>
        <v>0</v>
      </c>
      <c r="S39" s="741">
        <f t="shared" si="29"/>
        <v>0</v>
      </c>
      <c r="T39" s="744">
        <f t="shared" si="24"/>
        <v>0</v>
      </c>
      <c r="U39" s="743"/>
    </row>
    <row r="40" spans="1:45">
      <c r="A40" s="2804"/>
      <c r="B40" s="745" t="s">
        <v>1182</v>
      </c>
      <c r="H40" s="746">
        <f>SUM(H34:H39)</f>
        <v>0</v>
      </c>
      <c r="I40" s="746">
        <f t="shared" ref="I40:S40" si="30">SUM(I34:I39)</f>
        <v>0</v>
      </c>
      <c r="J40" s="746">
        <f t="shared" si="30"/>
        <v>0</v>
      </c>
      <c r="K40" s="746">
        <f t="shared" si="30"/>
        <v>0</v>
      </c>
      <c r="L40" s="746">
        <f t="shared" si="30"/>
        <v>0</v>
      </c>
      <c r="M40" s="746">
        <f t="shared" si="30"/>
        <v>0</v>
      </c>
      <c r="N40" s="746">
        <f t="shared" si="30"/>
        <v>0</v>
      </c>
      <c r="O40" s="746">
        <f t="shared" si="30"/>
        <v>0</v>
      </c>
      <c r="P40" s="746">
        <f t="shared" si="30"/>
        <v>0</v>
      </c>
      <c r="Q40" s="746">
        <f t="shared" si="30"/>
        <v>0</v>
      </c>
      <c r="R40" s="746">
        <f t="shared" si="30"/>
        <v>0</v>
      </c>
      <c r="S40" s="747">
        <f t="shared" si="30"/>
        <v>0</v>
      </c>
      <c r="T40" s="744"/>
      <c r="U40" s="743"/>
    </row>
    <row r="41" spans="1:45" ht="13.5" thickBot="1">
      <c r="A41" s="2804"/>
      <c r="B41" s="745" t="s">
        <v>1183</v>
      </c>
      <c r="H41" s="759">
        <f t="shared" ref="H41:S41" si="31">H33-H40</f>
        <v>0</v>
      </c>
      <c r="I41" s="760">
        <f t="shared" si="31"/>
        <v>0</v>
      </c>
      <c r="J41" s="760">
        <f t="shared" si="31"/>
        <v>0</v>
      </c>
      <c r="K41" s="760">
        <f t="shared" si="31"/>
        <v>0</v>
      </c>
      <c r="L41" s="760">
        <f t="shared" si="31"/>
        <v>0</v>
      </c>
      <c r="M41" s="760">
        <f t="shared" si="31"/>
        <v>0</v>
      </c>
      <c r="N41" s="760">
        <f t="shared" si="31"/>
        <v>0</v>
      </c>
      <c r="O41" s="760">
        <f t="shared" si="31"/>
        <v>0</v>
      </c>
      <c r="P41" s="760">
        <f t="shared" si="31"/>
        <v>0</v>
      </c>
      <c r="Q41" s="760">
        <f t="shared" si="31"/>
        <v>0</v>
      </c>
      <c r="R41" s="760">
        <f t="shared" si="31"/>
        <v>0</v>
      </c>
      <c r="S41" s="761">
        <f t="shared" si="31"/>
        <v>0</v>
      </c>
      <c r="T41" s="744"/>
      <c r="U41" s="743"/>
    </row>
    <row r="42" spans="1:45" ht="14.25" thickTop="1" thickBot="1">
      <c r="A42" s="2804"/>
      <c r="B42" s="745" t="s">
        <v>1184</v>
      </c>
      <c r="H42" s="762">
        <f t="shared" ref="H42:S42" si="32">SUM(H27+H31+H41)</f>
        <v>0</v>
      </c>
      <c r="I42" s="762">
        <f t="shared" si="32"/>
        <v>0</v>
      </c>
      <c r="J42" s="762">
        <f t="shared" si="32"/>
        <v>0</v>
      </c>
      <c r="K42" s="762">
        <f t="shared" si="32"/>
        <v>0</v>
      </c>
      <c r="L42" s="762">
        <f t="shared" si="32"/>
        <v>0</v>
      </c>
      <c r="M42" s="762">
        <f t="shared" si="32"/>
        <v>0</v>
      </c>
      <c r="N42" s="762">
        <f t="shared" si="32"/>
        <v>0</v>
      </c>
      <c r="O42" s="762">
        <f t="shared" si="32"/>
        <v>0</v>
      </c>
      <c r="P42" s="762">
        <f t="shared" si="32"/>
        <v>0</v>
      </c>
      <c r="Q42" s="762">
        <f t="shared" si="32"/>
        <v>0</v>
      </c>
      <c r="R42" s="762">
        <f t="shared" si="32"/>
        <v>0</v>
      </c>
      <c r="S42" s="762">
        <f t="shared" si="32"/>
        <v>0</v>
      </c>
      <c r="T42" s="744"/>
      <c r="U42" s="743"/>
      <c r="AS42" s="743"/>
    </row>
    <row r="43" spans="1:45" ht="24" thickTop="1">
      <c r="A43" s="2804"/>
      <c r="B43" s="763" t="s">
        <v>1185</v>
      </c>
      <c r="H43" s="2812"/>
      <c r="I43" s="2812"/>
      <c r="J43" s="2812"/>
      <c r="K43" s="2812"/>
      <c r="L43" s="2812"/>
      <c r="M43" s="2812"/>
      <c r="N43" s="2812"/>
      <c r="O43" s="2812"/>
      <c r="P43" s="2812"/>
      <c r="Q43" s="2812"/>
      <c r="R43" s="2812"/>
      <c r="S43" s="2812"/>
      <c r="T43" s="744"/>
      <c r="U43" s="743"/>
    </row>
    <row r="44" spans="1:45" ht="15.75">
      <c r="A44" s="2804"/>
      <c r="B44" s="764" t="s">
        <v>1186</v>
      </c>
      <c r="H44" s="765">
        <f>IF(H4="syötä kassa",0,H4)</f>
        <v>0</v>
      </c>
      <c r="I44" s="765">
        <f t="shared" ref="I44:S44" si="33">H58</f>
        <v>0</v>
      </c>
      <c r="J44" s="754">
        <f t="shared" si="33"/>
        <v>0</v>
      </c>
      <c r="K44" s="754">
        <f t="shared" si="33"/>
        <v>0</v>
      </c>
      <c r="L44" s="754">
        <f t="shared" si="33"/>
        <v>0</v>
      </c>
      <c r="M44" s="754">
        <f t="shared" si="33"/>
        <v>0</v>
      </c>
      <c r="N44" s="754">
        <f t="shared" si="33"/>
        <v>0</v>
      </c>
      <c r="O44" s="754">
        <f t="shared" si="33"/>
        <v>0</v>
      </c>
      <c r="P44" s="754">
        <f t="shared" si="33"/>
        <v>0</v>
      </c>
      <c r="Q44" s="754">
        <f t="shared" si="33"/>
        <v>0</v>
      </c>
      <c r="R44" s="754">
        <f t="shared" si="33"/>
        <v>0</v>
      </c>
      <c r="S44" s="754">
        <f t="shared" si="33"/>
        <v>0</v>
      </c>
      <c r="T44" s="744"/>
      <c r="U44" s="743"/>
    </row>
    <row r="45" spans="1:45" ht="13.5" thickBot="1">
      <c r="A45" s="2804"/>
      <c r="B45" s="2806" t="s">
        <v>1187</v>
      </c>
      <c r="C45" s="2806"/>
      <c r="D45" s="2806"/>
      <c r="E45" s="2806"/>
      <c r="G45" s="1087"/>
      <c r="H45" s="748">
        <f>Budjettikuukausittain!T45</f>
        <v>0</v>
      </c>
      <c r="I45" s="756">
        <f>H45*I$5+H45</f>
        <v>0</v>
      </c>
      <c r="J45" s="756">
        <f t="shared" ref="J45:S45" si="34">I45*J$5+I45</f>
        <v>0</v>
      </c>
      <c r="K45" s="756">
        <f t="shared" si="34"/>
        <v>0</v>
      </c>
      <c r="L45" s="756">
        <f t="shared" si="34"/>
        <v>0</v>
      </c>
      <c r="M45" s="756">
        <f t="shared" si="34"/>
        <v>0</v>
      </c>
      <c r="N45" s="756">
        <f t="shared" si="34"/>
        <v>0</v>
      </c>
      <c r="O45" s="756">
        <f t="shared" si="34"/>
        <v>0</v>
      </c>
      <c r="P45" s="756">
        <f t="shared" si="34"/>
        <v>0</v>
      </c>
      <c r="Q45" s="756">
        <f t="shared" si="34"/>
        <v>0</v>
      </c>
      <c r="R45" s="756">
        <f t="shared" si="34"/>
        <v>0</v>
      </c>
      <c r="S45" s="756">
        <f t="shared" si="34"/>
        <v>0</v>
      </c>
      <c r="T45" s="744">
        <f>SUM(H45:S45)</f>
        <v>0</v>
      </c>
      <c r="U45" s="743"/>
    </row>
    <row r="46" spans="1:45" ht="13.5" thickTop="1">
      <c r="A46" s="2804"/>
      <c r="B46" s="2806" t="s">
        <v>1188</v>
      </c>
      <c r="C46" s="2806"/>
      <c r="D46" s="2806"/>
      <c r="E46" s="2806"/>
      <c r="H46" s="748" t="str">
        <f>Budjettikuukausittain!H46</f>
        <v>syötä luku</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04"/>
      <c r="B47" s="2806" t="s">
        <v>1189</v>
      </c>
      <c r="C47" s="2806"/>
      <c r="D47" s="2806"/>
      <c r="E47" s="2806"/>
      <c r="H47" s="748">
        <f>Budjettikuukausittain!T47</f>
        <v>0</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04"/>
      <c r="B48" s="2818"/>
      <c r="C48" s="2818"/>
      <c r="D48" s="2818"/>
      <c r="E48" s="2818"/>
      <c r="F48" s="2818"/>
      <c r="G48" s="766"/>
      <c r="H48" s="767"/>
      <c r="I48" s="767"/>
      <c r="J48" s="767"/>
      <c r="K48" s="767"/>
      <c r="L48" s="767"/>
      <c r="M48" s="767"/>
      <c r="N48" s="767"/>
      <c r="O48" s="767"/>
      <c r="P48" s="767"/>
      <c r="Q48" s="767"/>
      <c r="R48" s="767"/>
      <c r="S48" s="767"/>
      <c r="T48" s="768"/>
      <c r="U48" s="743"/>
    </row>
    <row r="49" spans="1:21" ht="14.25">
      <c r="A49" s="2804"/>
      <c r="B49" s="2819" t="s">
        <v>1190</v>
      </c>
      <c r="C49" s="2819"/>
      <c r="D49" s="2819"/>
      <c r="E49" s="2819"/>
      <c r="G49" s="685"/>
      <c r="H49" s="748">
        <f>Budjettikuukausittain!H49</f>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35">SUM(H49:S49)</f>
        <v>0</v>
      </c>
      <c r="U49" s="743"/>
    </row>
    <row r="50" spans="1:21">
      <c r="A50" s="2804"/>
      <c r="B50" s="2817" t="s">
        <v>1191</v>
      </c>
      <c r="C50" s="2817"/>
      <c r="D50" s="2817"/>
      <c r="E50" s="2817"/>
      <c r="F50" s="769">
        <v>0</v>
      </c>
      <c r="G50" s="740"/>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35"/>
        <v>0</v>
      </c>
      <c r="U50" s="743"/>
    </row>
    <row r="51" spans="1:21">
      <c r="A51" s="2804"/>
      <c r="B51" s="2817" t="s">
        <v>1192</v>
      </c>
      <c r="C51" s="2817"/>
      <c r="D51" s="2817"/>
      <c r="E51" s="2817"/>
      <c r="F51" s="769">
        <v>0</v>
      </c>
      <c r="G51" s="740"/>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35"/>
        <v>0</v>
      </c>
      <c r="U51" s="743"/>
    </row>
    <row r="52" spans="1:21">
      <c r="A52" s="2804"/>
      <c r="B52" s="2806" t="s">
        <v>1193</v>
      </c>
      <c r="C52" s="2806"/>
      <c r="D52" s="2806"/>
      <c r="E52" s="2806"/>
      <c r="G52" s="740"/>
      <c r="H52" s="748" t="str">
        <f>Budjettikuukausittain!H52</f>
        <v>syötä luku</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35"/>
        <v>0</v>
      </c>
      <c r="U52" s="743"/>
    </row>
    <row r="53" spans="1:21">
      <c r="A53" s="2804"/>
      <c r="B53" s="2806" t="s">
        <v>1194</v>
      </c>
      <c r="C53" s="2806"/>
      <c r="D53" s="2806"/>
      <c r="E53" s="2806"/>
      <c r="G53" s="740"/>
      <c r="H53" s="748" t="str">
        <f>Budjettikuukausittain!H53</f>
        <v>syötä luku</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04"/>
      <c r="B54" s="2806" t="s">
        <v>1195</v>
      </c>
      <c r="C54" s="2806"/>
      <c r="D54" s="2806"/>
      <c r="E54" s="2806"/>
      <c r="G54" s="740"/>
      <c r="H54" s="748" t="str">
        <f>Budjettikuukausittain!H54</f>
        <v>syötä luku</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35"/>
        <v>0</v>
      </c>
      <c r="U54" s="743"/>
    </row>
    <row r="55" spans="1:21">
      <c r="A55" s="2804"/>
      <c r="B55" s="2821" t="str">
        <f>"ALV-veron tilitys "&amp;IF(G55&lt;0,"Palautus toukokuu riville 44!","Maksuun helmikuussa")</f>
        <v>ALV-veron tilitys Maksuun helmikuussa</v>
      </c>
      <c r="C55" s="2821"/>
      <c r="D55" s="2821"/>
      <c r="E55" s="2821"/>
      <c r="F55" s="682" t="s">
        <v>1196</v>
      </c>
      <c r="G55" s="1250"/>
      <c r="H55" s="748">
        <f>Budjettikuukausittain!T55</f>
        <v>0</v>
      </c>
      <c r="I55" s="748">
        <f>H55*I14+H55</f>
        <v>0</v>
      </c>
      <c r="J55" s="748">
        <f t="shared" ref="J55:S55" si="36">I55*J14+I55</f>
        <v>0</v>
      </c>
      <c r="K55" s="748">
        <f t="shared" si="36"/>
        <v>0</v>
      </c>
      <c r="L55" s="748">
        <f t="shared" si="36"/>
        <v>0</v>
      </c>
      <c r="M55" s="748">
        <f t="shared" si="36"/>
        <v>0</v>
      </c>
      <c r="N55" s="748">
        <f t="shared" si="36"/>
        <v>0</v>
      </c>
      <c r="O55" s="748">
        <f t="shared" si="36"/>
        <v>0</v>
      </c>
      <c r="P55" s="748">
        <f t="shared" si="36"/>
        <v>0</v>
      </c>
      <c r="Q55" s="748">
        <f t="shared" si="36"/>
        <v>0</v>
      </c>
      <c r="R55" s="748">
        <f t="shared" si="36"/>
        <v>0</v>
      </c>
      <c r="S55" s="748">
        <f t="shared" si="36"/>
        <v>0</v>
      </c>
      <c r="T55" s="744">
        <f t="shared" si="35"/>
        <v>0</v>
      </c>
      <c r="U55" s="743"/>
    </row>
    <row r="56" spans="1:21">
      <c r="A56" s="2804"/>
      <c r="B56" s="2808" t="s">
        <v>1198</v>
      </c>
      <c r="C56" s="2808"/>
      <c r="D56" s="2808"/>
      <c r="E56" s="2808"/>
      <c r="G56" s="740"/>
      <c r="H56" s="748">
        <f>Budjettikuukausittain!T56</f>
        <v>0</v>
      </c>
      <c r="I56" s="1454">
        <f>H56*I14+H56</f>
        <v>0</v>
      </c>
      <c r="J56" s="1454">
        <f t="shared" ref="J56:S56" si="37">I56*J14+I56</f>
        <v>0</v>
      </c>
      <c r="K56" s="1454">
        <f t="shared" si="37"/>
        <v>0</v>
      </c>
      <c r="L56" s="1454">
        <f t="shared" si="37"/>
        <v>0</v>
      </c>
      <c r="M56" s="1454">
        <f t="shared" si="37"/>
        <v>0</v>
      </c>
      <c r="N56" s="1454">
        <f t="shared" si="37"/>
        <v>0</v>
      </c>
      <c r="O56" s="1454">
        <f t="shared" si="37"/>
        <v>0</v>
      </c>
      <c r="P56" s="1454">
        <f t="shared" si="37"/>
        <v>0</v>
      </c>
      <c r="Q56" s="1454">
        <f t="shared" si="37"/>
        <v>0</v>
      </c>
      <c r="R56" s="1454">
        <f t="shared" si="37"/>
        <v>0</v>
      </c>
      <c r="S56" s="1454">
        <f t="shared" si="37"/>
        <v>0</v>
      </c>
      <c r="T56" s="744">
        <f t="shared" si="35"/>
        <v>0</v>
      </c>
      <c r="U56" s="743"/>
    </row>
    <row r="57" spans="1:21">
      <c r="A57" s="2804"/>
      <c r="B57" s="2806" t="s">
        <v>1181</v>
      </c>
      <c r="C57" s="2806"/>
      <c r="D57" s="2806"/>
      <c r="E57" s="2806"/>
      <c r="H57" s="748">
        <f>Budjettikuukausittain!T57</f>
        <v>0</v>
      </c>
      <c r="I57" s="1454">
        <f>H57*I15+H57</f>
        <v>0</v>
      </c>
      <c r="J57" s="1454">
        <f t="shared" ref="J57:S57" si="38">I57*J15+I57</f>
        <v>0</v>
      </c>
      <c r="K57" s="1454">
        <f t="shared" si="38"/>
        <v>0</v>
      </c>
      <c r="L57" s="1454">
        <f t="shared" si="38"/>
        <v>0</v>
      </c>
      <c r="M57" s="1454">
        <f t="shared" si="38"/>
        <v>0</v>
      </c>
      <c r="N57" s="1454">
        <f t="shared" si="38"/>
        <v>0</v>
      </c>
      <c r="O57" s="1454">
        <f t="shared" si="38"/>
        <v>0</v>
      </c>
      <c r="P57" s="1454">
        <f t="shared" si="38"/>
        <v>0</v>
      </c>
      <c r="Q57" s="1454">
        <f t="shared" si="38"/>
        <v>0</v>
      </c>
      <c r="R57" s="1454">
        <f t="shared" si="38"/>
        <v>0</v>
      </c>
      <c r="S57" s="1454">
        <f t="shared" si="38"/>
        <v>0</v>
      </c>
      <c r="T57" s="744">
        <f t="shared" si="35"/>
        <v>0</v>
      </c>
      <c r="U57" s="743"/>
    </row>
    <row r="58" spans="1:21" ht="13.5" thickBot="1">
      <c r="A58" s="2804"/>
      <c r="B58" s="745" t="s">
        <v>1199</v>
      </c>
      <c r="H58" s="771">
        <f t="shared" ref="H58:S58" si="39">H42+SUM(H44:H47)-SUM(H49:H57)</f>
        <v>0</v>
      </c>
      <c r="I58" s="771">
        <f t="shared" si="39"/>
        <v>0</v>
      </c>
      <c r="J58" s="771">
        <f>J42+SUM(J44:J47)-SUM(J49:J57)</f>
        <v>0</v>
      </c>
      <c r="K58" s="771">
        <f t="shared" si="39"/>
        <v>0</v>
      </c>
      <c r="L58" s="771">
        <f t="shared" si="39"/>
        <v>0</v>
      </c>
      <c r="M58" s="771">
        <f t="shared" si="39"/>
        <v>0</v>
      </c>
      <c r="N58" s="771">
        <f t="shared" si="39"/>
        <v>0</v>
      </c>
      <c r="O58" s="771">
        <f t="shared" si="39"/>
        <v>0</v>
      </c>
      <c r="P58" s="771">
        <f t="shared" si="39"/>
        <v>0</v>
      </c>
      <c r="Q58" s="771">
        <f t="shared" si="39"/>
        <v>0</v>
      </c>
      <c r="R58" s="771">
        <f t="shared" si="39"/>
        <v>0</v>
      </c>
      <c r="S58" s="771">
        <f t="shared" si="39"/>
        <v>0</v>
      </c>
      <c r="T58" s="772"/>
      <c r="U58" s="743"/>
    </row>
    <row r="59" spans="1:21" ht="14.25" thickTop="1" thickBot="1">
      <c r="A59" s="2804"/>
      <c r="B59" s="773" t="s">
        <v>1200</v>
      </c>
      <c r="C59" s="774"/>
      <c r="D59" s="774"/>
      <c r="E59" s="774"/>
      <c r="F59" s="774"/>
      <c r="G59" s="774"/>
      <c r="H59" s="774"/>
      <c r="I59" s="774"/>
      <c r="J59" s="774"/>
      <c r="K59" s="774"/>
      <c r="L59" s="774"/>
      <c r="M59" s="774"/>
      <c r="N59" s="775"/>
      <c r="O59" s="775"/>
      <c r="P59" s="775"/>
      <c r="Q59" s="775"/>
      <c r="R59" s="775"/>
      <c r="S59" s="775"/>
      <c r="T59" s="775"/>
      <c r="U59" s="776"/>
    </row>
    <row r="60" spans="1:21" ht="13.5" thickTop="1">
      <c r="G60" s="777" t="s">
        <v>1201</v>
      </c>
      <c r="H60" s="26">
        <f>IFERROR(H71/H63,0)</f>
        <v>0</v>
      </c>
      <c r="I60" s="26">
        <f t="shared" ref="I60:S60" si="40">IFERROR(I71/I63,0)</f>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20" t="s">
        <v>1202</v>
      </c>
      <c r="D63" s="2820"/>
      <c r="H63" s="686">
        <f>SUM(H13,H29,H33,H45)</f>
        <v>0</v>
      </c>
      <c r="I63" s="686">
        <f t="shared" ref="I63:S63" si="41">SUM(I13,I29,I33,I45)</f>
        <v>0</v>
      </c>
      <c r="J63" s="686">
        <f t="shared" si="41"/>
        <v>0</v>
      </c>
      <c r="K63" s="686">
        <f t="shared" si="41"/>
        <v>0</v>
      </c>
      <c r="L63" s="686">
        <f t="shared" si="41"/>
        <v>0</v>
      </c>
      <c r="M63" s="686">
        <f t="shared" si="41"/>
        <v>0</v>
      </c>
      <c r="N63" s="686">
        <f t="shared" si="41"/>
        <v>0</v>
      </c>
      <c r="O63" s="686">
        <f t="shared" si="41"/>
        <v>0</v>
      </c>
      <c r="P63" s="686">
        <f t="shared" si="41"/>
        <v>0</v>
      </c>
      <c r="Q63" s="686">
        <f t="shared" si="41"/>
        <v>0</v>
      </c>
      <c r="R63" s="686">
        <f t="shared" si="41"/>
        <v>0</v>
      </c>
      <c r="S63" s="686">
        <f t="shared" si="41"/>
        <v>0</v>
      </c>
    </row>
    <row r="64" spans="1:21">
      <c r="C64" s="2820" t="s">
        <v>1203</v>
      </c>
      <c r="D64" s="2820"/>
      <c r="H64" s="686">
        <f>SUM(H26,H30,H40)</f>
        <v>0</v>
      </c>
      <c r="I64" s="686">
        <f t="shared" ref="I64:S64" si="42">SUM(I26,I30,I40)</f>
        <v>0</v>
      </c>
      <c r="J64" s="686">
        <f t="shared" si="42"/>
        <v>0</v>
      </c>
      <c r="K64" s="686">
        <f t="shared" si="42"/>
        <v>0</v>
      </c>
      <c r="L64" s="686">
        <f t="shared" si="42"/>
        <v>0</v>
      </c>
      <c r="M64" s="686">
        <f t="shared" si="42"/>
        <v>0</v>
      </c>
      <c r="N64" s="686">
        <f t="shared" si="42"/>
        <v>0</v>
      </c>
      <c r="O64" s="686">
        <f t="shared" si="42"/>
        <v>0</v>
      </c>
      <c r="P64" s="686">
        <f t="shared" si="42"/>
        <v>0</v>
      </c>
      <c r="Q64" s="686">
        <f t="shared" si="42"/>
        <v>0</v>
      </c>
      <c r="R64" s="686">
        <f t="shared" si="42"/>
        <v>0</v>
      </c>
      <c r="S64" s="686">
        <f t="shared" si="42"/>
        <v>0</v>
      </c>
    </row>
    <row r="65" spans="3:19">
      <c r="C65" s="2820" t="s">
        <v>1204</v>
      </c>
      <c r="D65" s="2820"/>
      <c r="H65" s="779">
        <f>H63-H64</f>
        <v>0</v>
      </c>
      <c r="I65" s="779">
        <f t="shared" ref="I65:S65" si="43">I63-I64</f>
        <v>0</v>
      </c>
      <c r="J65" s="779">
        <f t="shared" si="43"/>
        <v>0</v>
      </c>
      <c r="K65" s="779">
        <f t="shared" si="43"/>
        <v>0</v>
      </c>
      <c r="L65" s="779">
        <f t="shared" si="43"/>
        <v>0</v>
      </c>
      <c r="M65" s="779">
        <f t="shared" si="43"/>
        <v>0</v>
      </c>
      <c r="N65" s="779">
        <f t="shared" si="43"/>
        <v>0</v>
      </c>
      <c r="O65" s="779">
        <f t="shared" si="43"/>
        <v>0</v>
      </c>
      <c r="P65" s="779">
        <f t="shared" si="43"/>
        <v>0</v>
      </c>
      <c r="Q65" s="779">
        <f t="shared" si="43"/>
        <v>0</v>
      </c>
      <c r="R65" s="779">
        <f t="shared" si="43"/>
        <v>0</v>
      </c>
      <c r="S65" s="779">
        <f t="shared" si="43"/>
        <v>0</v>
      </c>
    </row>
    <row r="66" spans="3:19">
      <c r="C66" s="780"/>
      <c r="D66" s="781"/>
      <c r="H66" s="685"/>
      <c r="I66" s="685"/>
      <c r="J66" s="685"/>
      <c r="K66" s="685"/>
      <c r="L66" s="685"/>
      <c r="M66" s="685"/>
      <c r="N66" s="685"/>
      <c r="O66" s="685"/>
      <c r="P66" s="685"/>
      <c r="Q66" s="685"/>
      <c r="R66" s="685"/>
      <c r="S66" s="685"/>
    </row>
    <row r="67" spans="3:19">
      <c r="C67" s="2820" t="s">
        <v>1205</v>
      </c>
      <c r="D67" s="2820"/>
      <c r="H67" s="686">
        <f t="shared" ref="H67:S67" si="44">SUM(H50,H52)</f>
        <v>0</v>
      </c>
      <c r="I67" s="686">
        <f t="shared" si="44"/>
        <v>0</v>
      </c>
      <c r="J67" s="686">
        <f t="shared" si="44"/>
        <v>0</v>
      </c>
      <c r="K67" s="686">
        <f t="shared" si="44"/>
        <v>0</v>
      </c>
      <c r="L67" s="686">
        <f t="shared" si="44"/>
        <v>0</v>
      </c>
      <c r="M67" s="686">
        <f t="shared" si="44"/>
        <v>0</v>
      </c>
      <c r="N67" s="686">
        <f t="shared" si="44"/>
        <v>0</v>
      </c>
      <c r="O67" s="686">
        <f t="shared" si="44"/>
        <v>0</v>
      </c>
      <c r="P67" s="686">
        <f t="shared" si="44"/>
        <v>0</v>
      </c>
      <c r="Q67" s="686">
        <f t="shared" si="44"/>
        <v>0</v>
      </c>
      <c r="R67" s="686">
        <f t="shared" si="44"/>
        <v>0</v>
      </c>
      <c r="S67" s="686">
        <f t="shared" si="44"/>
        <v>0</v>
      </c>
    </row>
    <row r="68" spans="3:19">
      <c r="C68" s="2820" t="s">
        <v>1053</v>
      </c>
      <c r="D68" s="2820"/>
      <c r="H68" s="686">
        <f t="shared" ref="H68:S68" si="45">SUM(H55)</f>
        <v>0</v>
      </c>
      <c r="I68" s="686">
        <f t="shared" si="45"/>
        <v>0</v>
      </c>
      <c r="J68" s="686">
        <f t="shared" si="45"/>
        <v>0</v>
      </c>
      <c r="K68" s="686">
        <f t="shared" si="45"/>
        <v>0</v>
      </c>
      <c r="L68" s="686">
        <f t="shared" si="45"/>
        <v>0</v>
      </c>
      <c r="M68" s="686">
        <f t="shared" si="45"/>
        <v>0</v>
      </c>
      <c r="N68" s="686">
        <f t="shared" si="45"/>
        <v>0</v>
      </c>
      <c r="O68" s="686">
        <f t="shared" si="45"/>
        <v>0</v>
      </c>
      <c r="P68" s="686">
        <f t="shared" si="45"/>
        <v>0</v>
      </c>
      <c r="Q68" s="686">
        <f t="shared" si="45"/>
        <v>0</v>
      </c>
      <c r="R68" s="686">
        <f t="shared" si="45"/>
        <v>0</v>
      </c>
      <c r="S68" s="686">
        <f t="shared" si="45"/>
        <v>0</v>
      </c>
    </row>
    <row r="69" spans="3:19">
      <c r="C69" s="2820" t="s">
        <v>1206</v>
      </c>
      <c r="D69" s="2820"/>
      <c r="H69" s="686">
        <f t="shared" ref="H69:S70" si="46">SUM(H56)</f>
        <v>0</v>
      </c>
      <c r="I69" s="686">
        <f t="shared" si="46"/>
        <v>0</v>
      </c>
      <c r="J69" s="686">
        <f t="shared" si="46"/>
        <v>0</v>
      </c>
      <c r="K69" s="686">
        <f t="shared" si="46"/>
        <v>0</v>
      </c>
      <c r="L69" s="686">
        <f t="shared" si="46"/>
        <v>0</v>
      </c>
      <c r="M69" s="686">
        <f t="shared" si="46"/>
        <v>0</v>
      </c>
      <c r="N69" s="686">
        <f t="shared" si="46"/>
        <v>0</v>
      </c>
      <c r="O69" s="686">
        <f t="shared" si="46"/>
        <v>0</v>
      </c>
      <c r="P69" s="686">
        <f t="shared" si="46"/>
        <v>0</v>
      </c>
      <c r="Q69" s="686">
        <f t="shared" si="46"/>
        <v>0</v>
      </c>
      <c r="R69" s="686">
        <f t="shared" si="46"/>
        <v>0</v>
      </c>
      <c r="S69" s="686">
        <f t="shared" si="46"/>
        <v>0</v>
      </c>
    </row>
    <row r="70" spans="3:19">
      <c r="C70" s="2820" t="s">
        <v>1181</v>
      </c>
      <c r="D70" s="2820"/>
      <c r="H70" s="686">
        <f t="shared" si="46"/>
        <v>0</v>
      </c>
      <c r="I70" s="686">
        <f t="shared" si="46"/>
        <v>0</v>
      </c>
      <c r="J70" s="686">
        <f t="shared" si="46"/>
        <v>0</v>
      </c>
      <c r="K70" s="686">
        <f t="shared" si="46"/>
        <v>0</v>
      </c>
      <c r="L70" s="686">
        <f t="shared" si="46"/>
        <v>0</v>
      </c>
      <c r="M70" s="686">
        <f t="shared" si="46"/>
        <v>0</v>
      </c>
      <c r="N70" s="686">
        <f t="shared" si="46"/>
        <v>0</v>
      </c>
      <c r="O70" s="686">
        <f t="shared" si="46"/>
        <v>0</v>
      </c>
      <c r="P70" s="686">
        <f t="shared" si="46"/>
        <v>0</v>
      </c>
      <c r="Q70" s="686">
        <f t="shared" si="46"/>
        <v>0</v>
      </c>
      <c r="R70" s="686">
        <f t="shared" si="46"/>
        <v>0</v>
      </c>
      <c r="S70" s="686">
        <f t="shared" si="46"/>
        <v>0</v>
      </c>
    </row>
    <row r="71" spans="3:19">
      <c r="C71" s="2822" t="s">
        <v>1207</v>
      </c>
      <c r="D71" s="2822"/>
      <c r="H71" s="100">
        <f t="shared" ref="H71:S71" si="47">H65-(SUM(H67:H70))</f>
        <v>0</v>
      </c>
      <c r="I71" s="100">
        <f t="shared" si="47"/>
        <v>0</v>
      </c>
      <c r="J71" s="100">
        <f t="shared" si="47"/>
        <v>0</v>
      </c>
      <c r="K71" s="100">
        <f t="shared" si="47"/>
        <v>0</v>
      </c>
      <c r="L71" s="100">
        <f t="shared" si="47"/>
        <v>0</v>
      </c>
      <c r="M71" s="100">
        <f t="shared" si="47"/>
        <v>0</v>
      </c>
      <c r="N71" s="100">
        <f t="shared" si="47"/>
        <v>0</v>
      </c>
      <c r="O71" s="100">
        <f t="shared" si="47"/>
        <v>0</v>
      </c>
      <c r="P71" s="100">
        <f t="shared" si="47"/>
        <v>0</v>
      </c>
      <c r="Q71" s="100">
        <f t="shared" si="47"/>
        <v>0</v>
      </c>
      <c r="R71" s="100">
        <f t="shared" si="47"/>
        <v>0</v>
      </c>
      <c r="S71" s="100">
        <f t="shared" si="47"/>
        <v>0</v>
      </c>
    </row>
    <row r="72" spans="3:19">
      <c r="C72" s="780"/>
      <c r="D72" s="781"/>
      <c r="H72" s="685"/>
      <c r="I72" s="685"/>
      <c r="J72" s="685"/>
      <c r="K72" s="685"/>
      <c r="L72" s="685"/>
      <c r="M72" s="685"/>
      <c r="N72" s="685"/>
      <c r="O72" s="685"/>
      <c r="P72" s="685"/>
      <c r="Q72" s="685"/>
      <c r="R72" s="685"/>
      <c r="S72" s="685"/>
    </row>
    <row r="73" spans="3:19">
      <c r="C73" s="2820" t="s">
        <v>1208</v>
      </c>
      <c r="D73" s="2820"/>
      <c r="H73" s="686">
        <f t="shared" ref="H73:S73" si="48">SUM(H49)</f>
        <v>0</v>
      </c>
      <c r="I73" s="686">
        <f t="shared" si="48"/>
        <v>0</v>
      </c>
      <c r="J73" s="686">
        <f t="shared" si="48"/>
        <v>0</v>
      </c>
      <c r="K73" s="686">
        <f t="shared" si="48"/>
        <v>0</v>
      </c>
      <c r="L73" s="686">
        <f t="shared" si="48"/>
        <v>0</v>
      </c>
      <c r="M73" s="686">
        <f t="shared" si="48"/>
        <v>0</v>
      </c>
      <c r="N73" s="686">
        <f t="shared" si="48"/>
        <v>0</v>
      </c>
      <c r="O73" s="686">
        <f t="shared" si="48"/>
        <v>0</v>
      </c>
      <c r="P73" s="686">
        <f t="shared" si="48"/>
        <v>0</v>
      </c>
      <c r="Q73" s="686">
        <f t="shared" si="48"/>
        <v>0</v>
      </c>
      <c r="R73" s="686">
        <f t="shared" si="48"/>
        <v>0</v>
      </c>
      <c r="S73" s="686">
        <f t="shared" si="48"/>
        <v>0</v>
      </c>
    </row>
    <row r="74" spans="3:19">
      <c r="C74" s="780"/>
      <c r="D74" s="781"/>
      <c r="H74" s="685"/>
      <c r="I74" s="685"/>
      <c r="J74" s="685"/>
      <c r="K74" s="685"/>
      <c r="L74" s="685"/>
      <c r="M74" s="685"/>
      <c r="N74" s="685"/>
      <c r="O74" s="685"/>
      <c r="P74" s="685"/>
      <c r="Q74" s="685"/>
      <c r="R74" s="685"/>
      <c r="S74" s="685"/>
    </row>
    <row r="75" spans="3:19">
      <c r="C75" s="2820" t="s">
        <v>1209</v>
      </c>
      <c r="D75" s="2820"/>
      <c r="H75" s="686">
        <f>H71-H73</f>
        <v>0</v>
      </c>
      <c r="I75" s="686">
        <f t="shared" ref="I75:S75" si="49">I71-I73</f>
        <v>0</v>
      </c>
      <c r="J75" s="686">
        <f t="shared" si="49"/>
        <v>0</v>
      </c>
      <c r="K75" s="686">
        <f t="shared" si="49"/>
        <v>0</v>
      </c>
      <c r="L75" s="686">
        <f t="shared" si="49"/>
        <v>0</v>
      </c>
      <c r="M75" s="686">
        <f t="shared" si="49"/>
        <v>0</v>
      </c>
      <c r="N75" s="686">
        <f t="shared" si="49"/>
        <v>0</v>
      </c>
      <c r="O75" s="686">
        <f t="shared" si="49"/>
        <v>0</v>
      </c>
      <c r="P75" s="686">
        <f t="shared" si="49"/>
        <v>0</v>
      </c>
      <c r="Q75" s="686">
        <f t="shared" si="49"/>
        <v>0</v>
      </c>
      <c r="R75" s="686">
        <f t="shared" si="49"/>
        <v>0</v>
      </c>
      <c r="S75" s="686">
        <f t="shared" si="49"/>
        <v>0</v>
      </c>
    </row>
    <row r="76" spans="3:19">
      <c r="C76" s="2820" t="s">
        <v>1210</v>
      </c>
      <c r="D76" s="2820"/>
      <c r="H76" s="686">
        <f t="shared" ref="H76:S76" si="50">SUM(H46)</f>
        <v>0</v>
      </c>
      <c r="I76" s="686">
        <f t="shared" si="50"/>
        <v>0</v>
      </c>
      <c r="J76" s="686">
        <f t="shared" si="50"/>
        <v>0</v>
      </c>
      <c r="K76" s="686">
        <f t="shared" si="50"/>
        <v>0</v>
      </c>
      <c r="L76" s="686">
        <f t="shared" si="50"/>
        <v>0</v>
      </c>
      <c r="M76" s="686">
        <f t="shared" si="50"/>
        <v>0</v>
      </c>
      <c r="N76" s="686">
        <f t="shared" si="50"/>
        <v>0</v>
      </c>
      <c r="O76" s="686">
        <f t="shared" si="50"/>
        <v>0</v>
      </c>
      <c r="P76" s="686">
        <f t="shared" si="50"/>
        <v>0</v>
      </c>
      <c r="Q76" s="686">
        <f t="shared" si="50"/>
        <v>0</v>
      </c>
      <c r="R76" s="686">
        <f t="shared" si="50"/>
        <v>0</v>
      </c>
      <c r="S76" s="686">
        <f t="shared" si="50"/>
        <v>0</v>
      </c>
    </row>
    <row r="77" spans="3:19">
      <c r="C77" s="2820" t="s">
        <v>1211</v>
      </c>
      <c r="D77" s="2820"/>
      <c r="H77" s="686">
        <f t="shared" ref="H77:S77" si="51">SUM(H51,H54)</f>
        <v>0</v>
      </c>
      <c r="I77" s="686">
        <f t="shared" si="51"/>
        <v>0</v>
      </c>
      <c r="J77" s="686">
        <f t="shared" si="51"/>
        <v>0</v>
      </c>
      <c r="K77" s="686">
        <f t="shared" si="51"/>
        <v>0</v>
      </c>
      <c r="L77" s="686">
        <f t="shared" si="51"/>
        <v>0</v>
      </c>
      <c r="M77" s="686">
        <f t="shared" si="51"/>
        <v>0</v>
      </c>
      <c r="N77" s="686">
        <f t="shared" si="51"/>
        <v>0</v>
      </c>
      <c r="O77" s="686">
        <f t="shared" si="51"/>
        <v>0</v>
      </c>
      <c r="P77" s="686">
        <f t="shared" si="51"/>
        <v>0</v>
      </c>
      <c r="Q77" s="686">
        <f t="shared" si="51"/>
        <v>0</v>
      </c>
      <c r="R77" s="686">
        <f t="shared" si="51"/>
        <v>0</v>
      </c>
      <c r="S77" s="686">
        <f t="shared" si="51"/>
        <v>0</v>
      </c>
    </row>
    <row r="78" spans="3:19">
      <c r="C78" s="2820" t="s">
        <v>1189</v>
      </c>
      <c r="D78" s="2820"/>
      <c r="H78" s="686">
        <f t="shared" ref="H78:S78" si="52">SUM(H47)</f>
        <v>0</v>
      </c>
      <c r="I78" s="686">
        <f t="shared" si="52"/>
        <v>0</v>
      </c>
      <c r="J78" s="686">
        <f t="shared" si="52"/>
        <v>0</v>
      </c>
      <c r="K78" s="686">
        <f t="shared" si="52"/>
        <v>0</v>
      </c>
      <c r="L78" s="686">
        <f t="shared" si="52"/>
        <v>0</v>
      </c>
      <c r="M78" s="686">
        <f t="shared" si="52"/>
        <v>0</v>
      </c>
      <c r="N78" s="686">
        <f t="shared" si="52"/>
        <v>0</v>
      </c>
      <c r="O78" s="686">
        <f t="shared" si="52"/>
        <v>0</v>
      </c>
      <c r="P78" s="686">
        <f t="shared" si="52"/>
        <v>0</v>
      </c>
      <c r="Q78" s="686">
        <f t="shared" si="52"/>
        <v>0</v>
      </c>
      <c r="R78" s="686">
        <f t="shared" si="52"/>
        <v>0</v>
      </c>
      <c r="S78" s="686">
        <f t="shared" si="52"/>
        <v>0</v>
      </c>
    </row>
    <row r="79" spans="3:19">
      <c r="C79" s="2822" t="s">
        <v>1212</v>
      </c>
      <c r="D79" s="2822"/>
      <c r="H79" s="782">
        <f>H75+H76-H77+H78</f>
        <v>0</v>
      </c>
      <c r="I79" s="782">
        <f>I75+I76-I77+I78</f>
        <v>0</v>
      </c>
      <c r="J79" s="782">
        <f t="shared" ref="J79:S79" si="53">J75+J76-J77+J78</f>
        <v>0</v>
      </c>
      <c r="K79" s="782">
        <f t="shared" si="53"/>
        <v>0</v>
      </c>
      <c r="L79" s="782">
        <f t="shared" si="53"/>
        <v>0</v>
      </c>
      <c r="M79" s="782">
        <f t="shared" si="53"/>
        <v>0</v>
      </c>
      <c r="N79" s="782">
        <f t="shared" si="53"/>
        <v>0</v>
      </c>
      <c r="O79" s="782">
        <f t="shared" si="53"/>
        <v>0</v>
      </c>
      <c r="P79" s="782">
        <f t="shared" si="53"/>
        <v>0</v>
      </c>
      <c r="Q79" s="782">
        <f t="shared" si="53"/>
        <v>0</v>
      </c>
      <c r="R79" s="782">
        <f t="shared" si="53"/>
        <v>0</v>
      </c>
      <c r="S79" s="782">
        <f t="shared" si="53"/>
        <v>0</v>
      </c>
    </row>
    <row r="80" spans="3:19">
      <c r="C80" s="2822" t="s">
        <v>1213</v>
      </c>
      <c r="D80" s="2822"/>
      <c r="H80" s="782">
        <f>H58</f>
        <v>0</v>
      </c>
      <c r="I80" s="782">
        <f t="shared" ref="I80:S80" si="54">I58</f>
        <v>0</v>
      </c>
      <c r="J80" s="782">
        <f t="shared" si="54"/>
        <v>0</v>
      </c>
      <c r="K80" s="782">
        <f t="shared" si="54"/>
        <v>0</v>
      </c>
      <c r="L80" s="782">
        <f t="shared" si="54"/>
        <v>0</v>
      </c>
      <c r="M80" s="782">
        <f t="shared" si="54"/>
        <v>0</v>
      </c>
      <c r="N80" s="782">
        <f t="shared" si="54"/>
        <v>0</v>
      </c>
      <c r="O80" s="782">
        <f t="shared" si="54"/>
        <v>0</v>
      </c>
      <c r="P80" s="782">
        <f t="shared" si="54"/>
        <v>0</v>
      </c>
      <c r="Q80" s="782">
        <f t="shared" si="54"/>
        <v>0</v>
      </c>
      <c r="R80" s="782">
        <f t="shared" si="54"/>
        <v>0</v>
      </c>
      <c r="S80" s="782">
        <f t="shared" si="54"/>
        <v>0</v>
      </c>
    </row>
    <row r="81" spans="4:4">
      <c r="D81" s="684"/>
    </row>
  </sheetData>
  <sheetProtection sheet="1" formatCells="0" formatColumns="0" formatRows="0"/>
  <mergeCells count="55">
    <mergeCell ref="B20:E20"/>
    <mergeCell ref="A3:A59"/>
    <mergeCell ref="B6:E6"/>
    <mergeCell ref="B7:E7"/>
    <mergeCell ref="B8:E8"/>
    <mergeCell ref="B9:E9"/>
    <mergeCell ref="B10:E10"/>
    <mergeCell ref="B11:E11"/>
    <mergeCell ref="B12:E12"/>
    <mergeCell ref="B15:E15"/>
    <mergeCell ref="B16:E16"/>
    <mergeCell ref="B17:E17"/>
    <mergeCell ref="B18:E18"/>
    <mergeCell ref="B19:E19"/>
    <mergeCell ref="B34:E34"/>
    <mergeCell ref="B37:E37"/>
    <mergeCell ref="B21:E21"/>
    <mergeCell ref="B22:E22"/>
    <mergeCell ref="B23:E23"/>
    <mergeCell ref="B24:E24"/>
    <mergeCell ref="H32:S32"/>
    <mergeCell ref="B53:E53"/>
    <mergeCell ref="B38:E38"/>
    <mergeCell ref="B39:E39"/>
    <mergeCell ref="H43:S43"/>
    <mergeCell ref="B45:E45"/>
    <mergeCell ref="B46:E46"/>
    <mergeCell ref="B47:E47"/>
    <mergeCell ref="B48:F48"/>
    <mergeCell ref="B49:E49"/>
    <mergeCell ref="B50:E50"/>
    <mergeCell ref="B51:E51"/>
    <mergeCell ref="B52:E52"/>
    <mergeCell ref="G34:G39"/>
    <mergeCell ref="B35:E35"/>
    <mergeCell ref="B36:E36"/>
    <mergeCell ref="C71:D71"/>
    <mergeCell ref="B54:E54"/>
    <mergeCell ref="B55:E55"/>
    <mergeCell ref="B56:E56"/>
    <mergeCell ref="B57:E57"/>
    <mergeCell ref="C63:D63"/>
    <mergeCell ref="C64:D64"/>
    <mergeCell ref="C65:D65"/>
    <mergeCell ref="C67:D67"/>
    <mergeCell ref="C68:D68"/>
    <mergeCell ref="C69:D69"/>
    <mergeCell ref="C70:D70"/>
    <mergeCell ref="C80:D80"/>
    <mergeCell ref="C73:D73"/>
    <mergeCell ref="C75:D75"/>
    <mergeCell ref="C76:D76"/>
    <mergeCell ref="C77:D77"/>
    <mergeCell ref="C78:D78"/>
    <mergeCell ref="C79:D79"/>
  </mergeCells>
  <conditionalFormatting sqref="H1:S1">
    <cfRule type="colorScale" priority="2">
      <colorScale>
        <cfvo type="min"/>
        <cfvo type="max"/>
        <color rgb="FFFF7128"/>
        <color rgb="FFFFEF9C"/>
      </colorScale>
    </cfRule>
  </conditionalFormatting>
  <conditionalFormatting sqref="H2:S2">
    <cfRule type="cellIs" dxfId="43" priority="1" operator="lessThan">
      <formula>0</formula>
    </cfRule>
  </conditionalFormatting>
  <dataValidations count="1">
    <dataValidation allowBlank="1" showInputMessage="1" showErrorMessage="1" promptTitle="Syötö lähtökassa" prompt="Syötä lähtökassa eli paljon yrityksellä on tilillään käytössä rahaa laskujen maksuun." sqref="H4" xr:uid="{00000000-0002-0000-24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2"/>
  <sheetViews>
    <sheetView zoomScale="80" zoomScaleNormal="80" workbookViewId="0">
      <selection activeCell="C5" sqref="C5"/>
    </sheetView>
  </sheetViews>
  <sheetFormatPr defaultRowHeight="12.75"/>
  <cols>
    <col min="1" max="1" width="14.5703125" customWidth="1"/>
    <col min="2" max="2" width="30.28515625" customWidth="1"/>
    <col min="3" max="3" width="13.5703125" customWidth="1"/>
    <col min="4" max="4" width="15.28515625" customWidth="1"/>
    <col min="5" max="5" width="16.5703125" customWidth="1"/>
    <col min="6" max="6" width="7.85546875" customWidth="1"/>
    <col min="7" max="7" width="20.85546875" customWidth="1"/>
    <col min="9" max="9" width="1.7109375" customWidth="1"/>
    <col min="10" max="10" width="14.42578125" customWidth="1"/>
    <col min="11" max="11" width="14.28515625" customWidth="1"/>
    <col min="12" max="12" width="13.28515625" customWidth="1"/>
    <col min="13" max="13" width="17.5703125" customWidth="1"/>
    <col min="14" max="14" width="13.5703125" customWidth="1"/>
    <col min="15" max="15" width="12.7109375" customWidth="1"/>
    <col min="16" max="16" width="13.85546875" customWidth="1"/>
    <col min="18" max="18" width="13.7109375" customWidth="1"/>
    <col min="19" max="19" width="4.5703125" customWidth="1"/>
    <col min="20" max="20" width="12.42578125" customWidth="1"/>
    <col min="21" max="21" width="5.7109375" customWidth="1"/>
  </cols>
  <sheetData>
    <row r="1" spans="1:20" ht="15.75">
      <c r="A1" s="1" t="s">
        <v>111</v>
      </c>
      <c r="J1" t="s">
        <v>112</v>
      </c>
      <c r="K1" s="1708">
        <v>4</v>
      </c>
    </row>
    <row r="2" spans="1:20" ht="15.75">
      <c r="A2" s="1"/>
      <c r="B2" t="s">
        <v>113</v>
      </c>
    </row>
    <row r="3" spans="1:20" ht="16.5" thickBot="1">
      <c r="A3" s="1"/>
      <c r="B3" t="s">
        <v>114</v>
      </c>
    </row>
    <row r="4" spans="1:20">
      <c r="B4" s="1688" t="s">
        <v>115</v>
      </c>
      <c r="C4" s="813"/>
      <c r="D4" s="813"/>
      <c r="E4" s="813"/>
      <c r="F4" s="839"/>
    </row>
    <row r="5" spans="1:20">
      <c r="B5" s="1684" t="s">
        <v>116</v>
      </c>
      <c r="C5" s="1678">
        <v>1</v>
      </c>
      <c r="D5" t="s">
        <v>117</v>
      </c>
      <c r="F5" s="841"/>
    </row>
    <row r="6" spans="1:20" ht="14.25">
      <c r="B6" s="1684" t="s">
        <v>118</v>
      </c>
      <c r="C6" s="1678">
        <v>1</v>
      </c>
      <c r="D6" t="s">
        <v>117</v>
      </c>
      <c r="E6" s="1685">
        <f>C5*C6</f>
        <v>1</v>
      </c>
      <c r="F6" s="841" t="s">
        <v>119</v>
      </c>
    </row>
    <row r="7" spans="1:20">
      <c r="B7" s="1684" t="s">
        <v>120</v>
      </c>
      <c r="C7" s="1678">
        <v>1</v>
      </c>
      <c r="D7" t="s">
        <v>117</v>
      </c>
      <c r="E7" s="1686">
        <f>E6/100</f>
        <v>0.01</v>
      </c>
      <c r="F7" s="841" t="s">
        <v>121</v>
      </c>
    </row>
    <row r="8" spans="1:20" ht="13.5" thickBot="1">
      <c r="B8" s="1684" t="s">
        <v>122</v>
      </c>
      <c r="C8" s="1678">
        <v>1</v>
      </c>
      <c r="D8" t="s">
        <v>117</v>
      </c>
      <c r="E8" s="1687">
        <f>E7/100</f>
        <v>1E-4</v>
      </c>
      <c r="F8" s="843" t="s">
        <v>99</v>
      </c>
    </row>
    <row r="9" spans="1:20" ht="5.25" customHeight="1" thickBot="1"/>
    <row r="10" spans="1:20" ht="34.5" customHeight="1" thickBot="1">
      <c r="B10" s="1688" t="s">
        <v>123</v>
      </c>
      <c r="C10" s="813"/>
      <c r="D10" s="813"/>
      <c r="E10" s="813"/>
      <c r="F10" s="838"/>
      <c r="G10" s="2592" t="s">
        <v>124</v>
      </c>
      <c r="H10" s="2593"/>
      <c r="I10" s="1987"/>
      <c r="J10" s="2018" t="str">
        <f>B13&amp;" kpl/ala"</f>
        <v>Taimi kpl/ala</v>
      </c>
      <c r="K10" s="2018" t="str">
        <f>A13&amp;" kpl/ha"</f>
        <v>Taimi kpl/ha</v>
      </c>
      <c r="L10" s="2017" t="str">
        <f>B13&amp;" kpl/m2"</f>
        <v>Taimi kpl/m2</v>
      </c>
      <c r="M10" s="2018" t="str">
        <f>A13&amp;"väli (cm)"</f>
        <v>Taimiväli (cm)</v>
      </c>
      <c r="N10" s="2019" t="str">
        <f>A13&amp;"a tarvitaan kg alalle"</f>
        <v>Taimia tarvitaan kg alalle</v>
      </c>
      <c r="O10" s="1908" t="str">
        <f>B13&amp;"a tarvitaan kg/ha"</f>
        <v>Taimia tarvitaan kg/ha</v>
      </c>
      <c r="P10" s="2604" t="s">
        <v>125</v>
      </c>
      <c r="Q10" s="2605"/>
      <c r="R10" s="2606"/>
      <c r="S10" s="813"/>
      <c r="T10" s="839"/>
    </row>
    <row r="11" spans="1:20" ht="22.5">
      <c r="B11" s="814" t="s">
        <v>126</v>
      </c>
      <c r="D11" s="1678">
        <v>1</v>
      </c>
      <c r="E11" s="1564" t="s">
        <v>117</v>
      </c>
      <c r="F11" s="814"/>
      <c r="G11" s="2609" t="str">
        <f>IF(H12&gt;0,"Pakotettu penkkirivimäärä aktivoitu!","")</f>
        <v/>
      </c>
      <c r="H11" s="2610"/>
      <c r="J11" s="1696"/>
      <c r="K11" s="1696"/>
      <c r="L11" s="814"/>
      <c r="M11" s="1696"/>
      <c r="N11" s="1734" t="s">
        <v>127</v>
      </c>
      <c r="O11" s="1909"/>
      <c r="P11" s="814"/>
      <c r="Q11" s="841"/>
      <c r="R11" s="841"/>
      <c r="T11" s="841"/>
    </row>
    <row r="12" spans="1:20" ht="13.5" thickBot="1">
      <c r="B12" s="814" t="s">
        <v>128</v>
      </c>
      <c r="D12" s="1678">
        <v>0.7</v>
      </c>
      <c r="E12" s="1564" t="s">
        <v>117</v>
      </c>
      <c r="F12" s="2009"/>
      <c r="G12" s="1700">
        <f>IF(H12&gt;0,H12,ROUNDDOWN(C6/(D11+D12),0))</f>
        <v>0</v>
      </c>
      <c r="H12" s="1701"/>
      <c r="J12" s="1702"/>
      <c r="K12" s="1696"/>
      <c r="L12" s="814"/>
      <c r="M12" s="1702"/>
      <c r="N12" s="2014">
        <v>0.12</v>
      </c>
      <c r="O12" s="1909"/>
      <c r="P12" s="814"/>
      <c r="Q12" s="841"/>
      <c r="R12" s="1910" t="s">
        <v>129</v>
      </c>
      <c r="S12" s="52" t="s">
        <v>130</v>
      </c>
      <c r="T12" s="841"/>
    </row>
    <row r="13" spans="1:20" ht="15" thickBot="1">
      <c r="A13" s="2579" t="s">
        <v>1568</v>
      </c>
      <c r="B13" s="1693" t="str">
        <f>A13</f>
        <v>Taimi</v>
      </c>
      <c r="C13" s="298" t="s">
        <v>1566</v>
      </c>
      <c r="D13" s="1679">
        <v>3</v>
      </c>
      <c r="E13" s="1564" t="s">
        <v>131</v>
      </c>
      <c r="F13" s="2539">
        <f>IF(D13&gt;0,D13,IF(D14&gt;=0,100/D14,0))</f>
        <v>3</v>
      </c>
      <c r="G13" s="1700">
        <f>IF(H12&gt;0,H12*D11*(C5-SUM(C7:C8)),G12*D11*(C5-SUM(C7:C8)))</f>
        <v>0</v>
      </c>
      <c r="H13" s="997" t="s">
        <v>119</v>
      </c>
      <c r="J13" s="1703">
        <f>F13*D15*(G12*(C5-SUM(C7:C8)))</f>
        <v>0</v>
      </c>
      <c r="K13" s="1703">
        <f>J13/E7*100</f>
        <v>0</v>
      </c>
      <c r="L13" s="2012">
        <f>J13/E6</f>
        <v>0</v>
      </c>
      <c r="M13" s="2016">
        <f>100/F13</f>
        <v>33.333333333333336</v>
      </c>
      <c r="O13" s="814"/>
      <c r="P13" s="1715">
        <f>E6-G13</f>
        <v>1</v>
      </c>
      <c r="Q13" s="1716" t="s">
        <v>119</v>
      </c>
      <c r="R13" s="1988">
        <f>P13/E6</f>
        <v>1</v>
      </c>
      <c r="S13" s="2607">
        <f>G13/E6</f>
        <v>0</v>
      </c>
      <c r="T13" s="2608"/>
    </row>
    <row r="14" spans="1:20" ht="13.5" thickBot="1">
      <c r="A14" s="2579"/>
      <c r="B14" s="1693" t="str">
        <f>"Tai "&amp;A13&amp;"väli"</f>
        <v>Tai Taimiväli</v>
      </c>
      <c r="C14" s="298" t="s">
        <v>1567</v>
      </c>
      <c r="D14" s="2007"/>
      <c r="E14" s="2008" t="s">
        <v>132</v>
      </c>
      <c r="F14" s="2538" t="str">
        <f>IF(F13=D14,D14/100,"-")</f>
        <v>-</v>
      </c>
      <c r="G14" s="1709">
        <f>IF(H12&gt;0,H12*D11*(C5-SUM(C7:C8))/10000,G12*D11*(C5-SUM(C7:C8))/10000)</f>
        <v>0</v>
      </c>
      <c r="H14" s="818" t="s">
        <v>99</v>
      </c>
      <c r="I14" s="818"/>
      <c r="J14" s="1704"/>
      <c r="K14" s="1704"/>
      <c r="L14" s="2013"/>
      <c r="M14" s="2011"/>
      <c r="N14" s="2015">
        <f>IF(J13&gt;0,N12*J13,IF(J14&gt;0,N12*J14,0))</f>
        <v>0</v>
      </c>
      <c r="O14" s="1697">
        <f>IF(K13&gt;0,N12*K13,0)</f>
        <v>0</v>
      </c>
      <c r="P14" s="1717">
        <f>E8-G14</f>
        <v>1E-4</v>
      </c>
      <c r="Q14" s="843" t="s">
        <v>99</v>
      </c>
      <c r="R14" s="843"/>
      <c r="S14" s="818"/>
      <c r="T14" s="843"/>
    </row>
    <row r="15" spans="1:20">
      <c r="A15" s="2002"/>
      <c r="B15" s="1693" t="str">
        <f>"Penkissä "&amp;A13&amp;"rivejä     (oletus 1)"</f>
        <v>Penkissä Taimirivejä     (oletus 1)</v>
      </c>
      <c r="C15" s="868"/>
      <c r="D15" s="1679">
        <v>1</v>
      </c>
      <c r="E15" s="886" t="s">
        <v>1565</v>
      </c>
      <c r="F15" s="2010"/>
      <c r="G15" s="4"/>
      <c r="J15" s="2003"/>
      <c r="K15" s="2003"/>
      <c r="L15" s="2004"/>
      <c r="M15" s="2005"/>
      <c r="N15" s="2006"/>
      <c r="O15" s="2006"/>
      <c r="P15" s="1713"/>
    </row>
    <row r="16" spans="1:20" ht="6.75" customHeight="1" thickBot="1"/>
    <row r="17" spans="2:21" ht="13.5" hidden="1" thickBot="1"/>
    <row r="18" spans="2:21">
      <c r="B18" s="1688" t="s">
        <v>133</v>
      </c>
      <c r="C18" s="813"/>
      <c r="D18" s="813"/>
      <c r="E18" s="813"/>
      <c r="F18" s="813"/>
      <c r="G18" s="813"/>
      <c r="H18" s="813"/>
      <c r="I18" s="813"/>
      <c r="J18" s="813"/>
      <c r="K18" s="813"/>
      <c r="L18" s="813"/>
      <c r="M18" s="813"/>
      <c r="N18" s="839"/>
      <c r="O18" s="813"/>
      <c r="P18" s="813"/>
      <c r="Q18" s="813"/>
      <c r="R18" s="2598" t="s">
        <v>134</v>
      </c>
      <c r="S18" s="2599"/>
      <c r="T18" s="2602" t="s">
        <v>135</v>
      </c>
    </row>
    <row r="19" spans="2:21" ht="13.5" thickBot="1">
      <c r="B19" s="814" t="str">
        <f>"Satoa keskimäärin/"&amp;A13</f>
        <v>Satoa keskimäärin/Taimi</v>
      </c>
      <c r="E19" t="s">
        <v>136</v>
      </c>
      <c r="F19" s="1680">
        <v>0.1</v>
      </c>
      <c r="G19" t="s">
        <v>137</v>
      </c>
      <c r="H19" t="s">
        <v>138</v>
      </c>
      <c r="J19" s="1680">
        <v>0.3</v>
      </c>
      <c r="K19" t="s">
        <v>137</v>
      </c>
      <c r="L19" t="s">
        <v>139</v>
      </c>
      <c r="M19" s="1680">
        <v>0.4</v>
      </c>
      <c r="N19" s="841" t="s">
        <v>137</v>
      </c>
      <c r="O19" t="s">
        <v>140</v>
      </c>
      <c r="P19" s="1680">
        <v>0.25</v>
      </c>
      <c r="Q19" t="s">
        <v>137</v>
      </c>
      <c r="R19" s="2600"/>
      <c r="S19" s="2601"/>
      <c r="T19" s="2603"/>
    </row>
    <row r="20" spans="2:21" ht="13.5" thickBot="1">
      <c r="B20" s="814" t="s">
        <v>141</v>
      </c>
      <c r="F20" s="2584">
        <f>IF($J$13&gt;0,F19*$J$13,$J$14*F19)</f>
        <v>0</v>
      </c>
      <c r="G20" s="2585"/>
      <c r="H20" s="1419"/>
      <c r="I20" s="1419"/>
      <c r="J20" s="2580">
        <f>IF($J$13&gt;0,J19*$J$13,$J$14*J19)</f>
        <v>0</v>
      </c>
      <c r="K20" s="2585"/>
      <c r="L20" s="1419"/>
      <c r="M20" s="2580">
        <f>IF($J$13&gt;0,M19*$J$13,$J$14*M19)</f>
        <v>0</v>
      </c>
      <c r="N20" s="2581"/>
      <c r="O20" s="1419"/>
      <c r="P20" s="2580">
        <f>IF($J$13&gt;0,P19*$J$13,$J$14*P19)</f>
        <v>0</v>
      </c>
      <c r="Q20" s="2595"/>
      <c r="R20" s="2596">
        <f>SUM(F20:Q20)</f>
        <v>0</v>
      </c>
      <c r="S20" s="2597"/>
      <c r="T20" s="1736">
        <f>R20/4</f>
        <v>0</v>
      </c>
      <c r="U20" s="2587" t="s">
        <v>137</v>
      </c>
    </row>
    <row r="21" spans="2:21" ht="13.5" thickBot="1">
      <c r="B21" s="815" t="s">
        <v>142</v>
      </c>
      <c r="C21" s="818"/>
      <c r="D21" s="818"/>
      <c r="E21" s="818"/>
      <c r="F21" s="2586">
        <f>F20/$E$7*100</f>
        <v>0</v>
      </c>
      <c r="G21" s="2583"/>
      <c r="H21" s="1720"/>
      <c r="I21" s="1720"/>
      <c r="J21" s="2582">
        <f>J20/$E$7*100</f>
        <v>0</v>
      </c>
      <c r="K21" s="2583"/>
      <c r="L21" s="1721"/>
      <c r="M21" s="2582">
        <f>M20/$E$7*100</f>
        <v>0</v>
      </c>
      <c r="N21" s="2583"/>
      <c r="O21" s="1721"/>
      <c r="P21" s="2582">
        <f>P20/$E$7*100</f>
        <v>0</v>
      </c>
      <c r="Q21" s="2594"/>
      <c r="R21" s="2590">
        <f>SUM(F21:Q21)</f>
        <v>0</v>
      </c>
      <c r="S21" s="2591"/>
      <c r="T21" s="1735">
        <f>R21/4</f>
        <v>0</v>
      </c>
      <c r="U21" s="2588"/>
    </row>
    <row r="22" spans="2:21" ht="5.25" customHeight="1" thickBot="1"/>
    <row r="23" spans="2:21">
      <c r="B23" s="1688" t="s">
        <v>143</v>
      </c>
      <c r="C23" s="813"/>
      <c r="D23" s="813"/>
      <c r="E23" s="813"/>
      <c r="F23" s="813"/>
      <c r="G23" s="839"/>
      <c r="J23" s="1688" t="s">
        <v>144</v>
      </c>
      <c r="K23" s="813"/>
      <c r="L23" s="813"/>
      <c r="M23" s="813"/>
      <c r="N23" s="839"/>
    </row>
    <row r="24" spans="2:21">
      <c r="B24" s="842" t="s">
        <v>145</v>
      </c>
      <c r="C24" s="3" t="s">
        <v>146</v>
      </c>
      <c r="D24" s="3" t="s">
        <v>147</v>
      </c>
      <c r="E24" s="3" t="s">
        <v>148</v>
      </c>
      <c r="F24" s="3"/>
      <c r="G24" s="1682" t="s">
        <v>3</v>
      </c>
      <c r="J24" s="814" t="s">
        <v>125</v>
      </c>
      <c r="L24" s="1713">
        <f>P14</f>
        <v>1E-4</v>
      </c>
      <c r="M24" t="s">
        <v>99</v>
      </c>
      <c r="N24" s="841"/>
    </row>
    <row r="25" spans="2:21">
      <c r="B25" s="2426" t="s">
        <v>149</v>
      </c>
      <c r="C25" s="886" t="s">
        <v>150</v>
      </c>
      <c r="D25" s="1710">
        <f>J13</f>
        <v>0</v>
      </c>
      <c r="E25" s="1015">
        <v>0.35</v>
      </c>
      <c r="F25" s="1192">
        <v>1</v>
      </c>
      <c r="G25" s="1615">
        <f>D25*E25*F25</f>
        <v>0</v>
      </c>
      <c r="J25" s="814" t="s">
        <v>151</v>
      </c>
      <c r="L25" s="1711">
        <v>2</v>
      </c>
      <c r="M25" t="s">
        <v>152</v>
      </c>
      <c r="N25" s="2589" t="s">
        <v>153</v>
      </c>
      <c r="P25" s="1166" t="s">
        <v>154</v>
      </c>
    </row>
    <row r="26" spans="2:21" ht="14.25">
      <c r="B26" s="2426" t="s">
        <v>155</v>
      </c>
      <c r="C26" s="886" t="s">
        <v>117</v>
      </c>
      <c r="D26" s="1710">
        <f>C5*G12</f>
        <v>0</v>
      </c>
      <c r="E26" s="1015">
        <f>N35</f>
        <v>0.2</v>
      </c>
      <c r="F26" s="1192">
        <v>1</v>
      </c>
      <c r="G26" s="1615">
        <f t="shared" ref="G26:G48" si="0">D26*E26*F26</f>
        <v>0</v>
      </c>
      <c r="J26" s="814" t="s">
        <v>156</v>
      </c>
      <c r="L26" s="1711">
        <v>1250</v>
      </c>
      <c r="M26" t="s">
        <v>150</v>
      </c>
      <c r="N26" s="2589"/>
    </row>
    <row r="27" spans="2:21">
      <c r="B27" s="2426" t="s">
        <v>157</v>
      </c>
      <c r="C27" s="886" t="s">
        <v>137</v>
      </c>
      <c r="D27" s="1719">
        <f>L29</f>
        <v>2.604166666666667E-3</v>
      </c>
      <c r="E27" s="1015">
        <v>6</v>
      </c>
      <c r="F27" s="1192">
        <v>1</v>
      </c>
      <c r="G27" s="1615">
        <f t="shared" si="0"/>
        <v>1.5625E-2</v>
      </c>
      <c r="J27" s="814" t="s">
        <v>158</v>
      </c>
      <c r="L27" s="1712">
        <v>96</v>
      </c>
      <c r="M27" t="s">
        <v>159</v>
      </c>
      <c r="N27" s="2589"/>
    </row>
    <row r="28" spans="2:21">
      <c r="B28" s="2426" t="s">
        <v>1574</v>
      </c>
      <c r="C28" s="886" t="s">
        <v>1569</v>
      </c>
      <c r="D28" s="2021">
        <f>$G$12*($C$5-$C$7-$C$8)</f>
        <v>0</v>
      </c>
      <c r="E28" s="1662">
        <v>0</v>
      </c>
      <c r="F28" s="1192">
        <v>1</v>
      </c>
      <c r="G28" s="1615">
        <f t="shared" si="0"/>
        <v>0</v>
      </c>
      <c r="J28" s="814" t="s">
        <v>161</v>
      </c>
      <c r="L28" s="1417">
        <f>L25*L26/L27</f>
        <v>26.041666666666668</v>
      </c>
      <c r="M28" t="s">
        <v>162</v>
      </c>
      <c r="N28" s="841"/>
    </row>
    <row r="29" spans="2:21" ht="13.5" thickBot="1">
      <c r="B29" s="2426" t="s">
        <v>1573</v>
      </c>
      <c r="C29" s="886"/>
      <c r="D29" s="2021">
        <f>$G$12</f>
        <v>0</v>
      </c>
      <c r="E29" s="1662">
        <v>0</v>
      </c>
      <c r="F29" s="1192">
        <v>1</v>
      </c>
      <c r="G29" s="1615">
        <f t="shared" si="0"/>
        <v>0</v>
      </c>
      <c r="J29" s="815" t="s">
        <v>163</v>
      </c>
      <c r="K29" s="818"/>
      <c r="L29" s="1718">
        <f>L28*L24</f>
        <v>2.604166666666667E-3</v>
      </c>
      <c r="M29" s="818" t="s">
        <v>164</v>
      </c>
      <c r="N29" s="843"/>
    </row>
    <row r="30" spans="2:21" ht="24">
      <c r="B30" s="2426" t="s">
        <v>1904</v>
      </c>
      <c r="C30" s="886" t="s">
        <v>150</v>
      </c>
      <c r="D30" s="2020">
        <v>0</v>
      </c>
      <c r="E30" s="1662">
        <v>4500</v>
      </c>
      <c r="F30" s="1192">
        <v>1</v>
      </c>
      <c r="G30" s="1615">
        <f t="shared" si="0"/>
        <v>0</v>
      </c>
    </row>
    <row r="31" spans="2:21">
      <c r="B31" s="2426" t="s">
        <v>1570</v>
      </c>
      <c r="C31" s="886" t="s">
        <v>150</v>
      </c>
      <c r="D31" s="2020">
        <v>0</v>
      </c>
      <c r="E31" s="1662">
        <v>600</v>
      </c>
      <c r="F31" s="1192">
        <v>1</v>
      </c>
      <c r="G31" s="1615">
        <f t="shared" si="0"/>
        <v>0</v>
      </c>
    </row>
    <row r="32" spans="2:21" ht="13.5" thickBot="1">
      <c r="B32" s="2426" t="s">
        <v>165</v>
      </c>
      <c r="C32" s="886" t="s">
        <v>137</v>
      </c>
      <c r="D32" s="2020">
        <v>5000</v>
      </c>
      <c r="E32" s="1662">
        <v>0.05</v>
      </c>
      <c r="F32" s="1192">
        <v>1</v>
      </c>
      <c r="G32" s="1615">
        <f t="shared" si="0"/>
        <v>250</v>
      </c>
    </row>
    <row r="33" spans="2:14">
      <c r="B33" s="2426" t="s">
        <v>166</v>
      </c>
      <c r="C33" s="886" t="s">
        <v>167</v>
      </c>
      <c r="D33" s="2020">
        <v>5</v>
      </c>
      <c r="E33" s="1662">
        <v>15</v>
      </c>
      <c r="F33" s="1192">
        <v>1</v>
      </c>
      <c r="G33" s="1615">
        <f t="shared" si="0"/>
        <v>75</v>
      </c>
      <c r="J33" s="845" t="s">
        <v>169</v>
      </c>
      <c r="K33" s="813"/>
      <c r="L33" s="813"/>
      <c r="M33" s="813"/>
      <c r="N33" s="839"/>
    </row>
    <row r="34" spans="2:14">
      <c r="B34" s="2426" t="s">
        <v>168</v>
      </c>
      <c r="C34" s="886" t="s">
        <v>137</v>
      </c>
      <c r="D34" s="2020">
        <v>250</v>
      </c>
      <c r="E34" s="1662">
        <v>0.8</v>
      </c>
      <c r="F34" s="1192">
        <v>1</v>
      </c>
      <c r="G34" s="1615">
        <f t="shared" si="0"/>
        <v>200</v>
      </c>
      <c r="J34" s="842" t="s">
        <v>145</v>
      </c>
      <c r="K34" s="3" t="s">
        <v>146</v>
      </c>
      <c r="L34" s="3" t="s">
        <v>148</v>
      </c>
      <c r="M34" s="3" t="s">
        <v>170</v>
      </c>
      <c r="N34" s="1714" t="s">
        <v>171</v>
      </c>
    </row>
    <row r="35" spans="2:14">
      <c r="B35" s="2426" t="s">
        <v>172</v>
      </c>
      <c r="C35" s="886" t="s">
        <v>167</v>
      </c>
      <c r="D35" s="2020">
        <v>10</v>
      </c>
      <c r="E35" s="1662">
        <v>60</v>
      </c>
      <c r="F35" s="1192">
        <v>1</v>
      </c>
      <c r="G35" s="1615">
        <f t="shared" si="0"/>
        <v>600</v>
      </c>
      <c r="J35" s="1683" t="s">
        <v>155</v>
      </c>
      <c r="K35" s="886" t="s">
        <v>173</v>
      </c>
      <c r="L35" s="1015">
        <v>60</v>
      </c>
      <c r="M35" s="1679">
        <v>300</v>
      </c>
      <c r="N35" s="1689">
        <f>IF(L35&gt;0,L35/M35,0)</f>
        <v>0.2</v>
      </c>
    </row>
    <row r="36" spans="2:14">
      <c r="B36" s="2426" t="s">
        <v>1575</v>
      </c>
      <c r="C36" s="886" t="s">
        <v>167</v>
      </c>
      <c r="D36" s="2020">
        <f>D25/900*8</f>
        <v>0</v>
      </c>
      <c r="E36" s="1662">
        <v>16</v>
      </c>
      <c r="F36" s="1192">
        <v>1</v>
      </c>
      <c r="G36" s="1615">
        <f t="shared" si="0"/>
        <v>0</v>
      </c>
      <c r="J36" s="1683"/>
      <c r="K36" s="886"/>
      <c r="L36" s="1015"/>
      <c r="M36" s="1678"/>
      <c r="N36" s="1689">
        <f>IF(L36&gt;0,L36/M36,0)</f>
        <v>0</v>
      </c>
    </row>
    <row r="37" spans="2:14">
      <c r="B37" s="2426" t="s">
        <v>174</v>
      </c>
      <c r="C37" s="886" t="s">
        <v>167</v>
      </c>
      <c r="D37" s="2020">
        <v>0</v>
      </c>
      <c r="E37" s="1662"/>
      <c r="F37" s="1192">
        <v>1</v>
      </c>
      <c r="G37" s="1615">
        <f t="shared" si="0"/>
        <v>0</v>
      </c>
      <c r="J37" s="1683"/>
      <c r="K37" s="886"/>
      <c r="L37" s="1015"/>
      <c r="M37" s="1678"/>
      <c r="N37" s="1689">
        <f t="shared" ref="N37:N39" si="1">IF(L37&gt;0,L37/M37,0)</f>
        <v>0</v>
      </c>
    </row>
    <row r="38" spans="2:14">
      <c r="B38" s="2426" t="s">
        <v>175</v>
      </c>
      <c r="C38" s="886" t="s">
        <v>167</v>
      </c>
      <c r="D38" s="2020">
        <v>30</v>
      </c>
      <c r="E38" s="1662">
        <v>0</v>
      </c>
      <c r="F38" s="1192">
        <v>1</v>
      </c>
      <c r="G38" s="1615">
        <f t="shared" si="0"/>
        <v>0</v>
      </c>
      <c r="J38" s="1683"/>
      <c r="K38" s="886"/>
      <c r="L38" s="1015"/>
      <c r="M38" s="1678"/>
      <c r="N38" s="1689">
        <f t="shared" si="1"/>
        <v>0</v>
      </c>
    </row>
    <row r="39" spans="2:14">
      <c r="B39" s="2426"/>
      <c r="C39" s="886"/>
      <c r="D39" s="1698">
        <v>0</v>
      </c>
      <c r="E39" s="1015"/>
      <c r="F39" s="1192">
        <v>1</v>
      </c>
      <c r="G39" s="1615">
        <f t="shared" si="0"/>
        <v>0</v>
      </c>
      <c r="J39" s="1683"/>
      <c r="K39" s="886"/>
      <c r="L39" s="1015"/>
      <c r="M39" s="1678"/>
      <c r="N39" s="1689">
        <f t="shared" si="1"/>
        <v>0</v>
      </c>
    </row>
    <row r="40" spans="2:14">
      <c r="B40" s="2426"/>
      <c r="C40" s="886"/>
      <c r="D40" s="1698">
        <v>0</v>
      </c>
      <c r="E40" s="1015"/>
      <c r="F40" s="1192">
        <v>1</v>
      </c>
      <c r="G40" s="1615">
        <f t="shared" si="0"/>
        <v>0</v>
      </c>
      <c r="J40" s="1683"/>
      <c r="K40" s="886"/>
      <c r="L40" s="1015"/>
      <c r="M40" s="1678"/>
      <c r="N40" s="1689">
        <f t="shared" ref="N40:N41" si="2">IF(L40&gt;0,L40/M40,0)</f>
        <v>0</v>
      </c>
    </row>
    <row r="41" spans="2:14">
      <c r="B41" s="2426"/>
      <c r="C41" s="886"/>
      <c r="D41" s="1698">
        <v>0</v>
      </c>
      <c r="E41" s="1015"/>
      <c r="F41" s="1192">
        <v>1</v>
      </c>
      <c r="G41" s="1615">
        <f t="shared" si="0"/>
        <v>0</v>
      </c>
      <c r="J41" s="1683"/>
      <c r="K41" s="886"/>
      <c r="L41" s="1015"/>
      <c r="M41" s="1678"/>
      <c r="N41" s="1689">
        <f t="shared" si="2"/>
        <v>0</v>
      </c>
    </row>
    <row r="42" spans="2:14" ht="13.5" thickBot="1">
      <c r="B42" s="2426"/>
      <c r="C42" s="886"/>
      <c r="D42" s="1698">
        <v>0</v>
      </c>
      <c r="E42" s="1015"/>
      <c r="F42" s="1192">
        <v>1</v>
      </c>
      <c r="G42" s="1615">
        <f t="shared" si="0"/>
        <v>0</v>
      </c>
      <c r="J42" s="1690"/>
      <c r="K42" s="1681"/>
      <c r="L42" s="1691"/>
      <c r="M42" s="1695"/>
      <c r="N42" s="1692">
        <f t="shared" ref="N42" si="3">IF(L42&gt;0,L42/M42,0)</f>
        <v>0</v>
      </c>
    </row>
    <row r="43" spans="2:14">
      <c r="B43" s="2426"/>
      <c r="C43" s="886"/>
      <c r="D43" s="1698">
        <v>0</v>
      </c>
      <c r="E43" s="1015"/>
      <c r="F43" s="1192">
        <v>1</v>
      </c>
      <c r="G43" s="1615">
        <f t="shared" si="0"/>
        <v>0</v>
      </c>
    </row>
    <row r="44" spans="2:14">
      <c r="B44" s="2426"/>
      <c r="C44" s="886"/>
      <c r="D44" s="1698">
        <v>0</v>
      </c>
      <c r="E44" s="1015"/>
      <c r="F44" s="1192">
        <v>1</v>
      </c>
      <c r="G44" s="1615">
        <f t="shared" si="0"/>
        <v>0</v>
      </c>
    </row>
    <row r="45" spans="2:14">
      <c r="B45" s="2426"/>
      <c r="C45" s="886"/>
      <c r="D45" s="1698">
        <v>0</v>
      </c>
      <c r="E45" s="1015"/>
      <c r="F45" s="1192">
        <v>1</v>
      </c>
      <c r="G45" s="1615">
        <f t="shared" si="0"/>
        <v>0</v>
      </c>
    </row>
    <row r="46" spans="2:14">
      <c r="B46" s="2426"/>
      <c r="C46" s="886"/>
      <c r="D46" s="1698">
        <v>0</v>
      </c>
      <c r="E46" s="1015"/>
      <c r="F46" s="1192">
        <v>1</v>
      </c>
      <c r="G46" s="1615">
        <f t="shared" si="0"/>
        <v>0</v>
      </c>
    </row>
    <row r="47" spans="2:14">
      <c r="B47" s="2426"/>
      <c r="C47" s="886"/>
      <c r="D47" s="1698">
        <v>0</v>
      </c>
      <c r="E47" s="1015"/>
      <c r="F47" s="1192">
        <v>1</v>
      </c>
      <c r="G47" s="1615">
        <f t="shared" si="0"/>
        <v>0</v>
      </c>
    </row>
    <row r="48" spans="2:14" ht="13.5" thickBot="1">
      <c r="B48" s="2426"/>
      <c r="C48" s="886"/>
      <c r="D48" s="1699">
        <v>0</v>
      </c>
      <c r="E48" s="1015"/>
      <c r="F48" s="1192">
        <v>1</v>
      </c>
      <c r="G48" s="1615">
        <f t="shared" si="0"/>
        <v>0</v>
      </c>
    </row>
    <row r="49" spans="2:8" ht="13.5" thickBot="1">
      <c r="B49" s="933"/>
      <c r="C49" s="818"/>
      <c r="D49" s="1705">
        <f>SUM(D25:D48)</f>
        <v>5295.002604166667</v>
      </c>
      <c r="E49" s="818"/>
      <c r="F49" s="818"/>
      <c r="G49" s="1706">
        <f>SUM(G25:G48)</f>
        <v>1125.015625</v>
      </c>
      <c r="H49" s="1166"/>
    </row>
    <row r="51" spans="2:8">
      <c r="E51" t="s">
        <v>176</v>
      </c>
      <c r="F51" s="1694">
        <v>4</v>
      </c>
      <c r="G51" s="1707">
        <f>G49/F51</f>
        <v>281.25390625</v>
      </c>
      <c r="H51" t="s">
        <v>177</v>
      </c>
    </row>
    <row r="52" spans="2:8">
      <c r="H52" t="s">
        <v>1905</v>
      </c>
    </row>
  </sheetData>
  <sheetProtection algorithmName="SHA-512" hashValue="/QDIOc8LDCgXqPaK9muidULhrAEyhCsBVRUR2Vhn18w83RhXKIZIIaW0QlpX7LzkcvZBTrZuo2tgPs1co+EfVQ==" saltValue="IiiUjairm/qbrWq88OXOIQ==" spinCount="100000" sheet="1" formatCells="0" formatColumns="0" formatRows="0"/>
  <mergeCells count="19">
    <mergeCell ref="U20:U21"/>
    <mergeCell ref="N25:N27"/>
    <mergeCell ref="R21:S21"/>
    <mergeCell ref="G10:H10"/>
    <mergeCell ref="P21:Q21"/>
    <mergeCell ref="P20:Q20"/>
    <mergeCell ref="R20:S20"/>
    <mergeCell ref="R18:S19"/>
    <mergeCell ref="T18:T19"/>
    <mergeCell ref="P10:R10"/>
    <mergeCell ref="S13:T13"/>
    <mergeCell ref="G11:H11"/>
    <mergeCell ref="A13:A14"/>
    <mergeCell ref="M20:N20"/>
    <mergeCell ref="M21:N21"/>
    <mergeCell ref="F20:G20"/>
    <mergeCell ref="F21:G21"/>
    <mergeCell ref="J20:K20"/>
    <mergeCell ref="J21:K21"/>
  </mergeCells>
  <conditionalFormatting sqref="G11">
    <cfRule type="expression" dxfId="59" priority="4">
      <formula>$H$12&gt;0</formula>
    </cfRule>
  </conditionalFormatting>
  <hyperlinks>
    <hyperlink ref="P25" r:id="rId1" display="Ohje_kustannuslaskuri siemenlaskenta" xr:uid="{00000000-0004-0000-0300-000000000000}"/>
  </hyperlinks>
  <pageMargins left="0.7" right="0.7" top="0.75" bottom="0.75" header="0.3" footer="0.3"/>
  <pageSetup paperSize="9" orientation="portrait" horizontalDpi="300" verticalDpi="4294967293" r:id="rId2"/>
  <drawing r:id="rId3"/>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41:N70"/>
  <sheetViews>
    <sheetView zoomScale="80" zoomScaleNormal="80" workbookViewId="0">
      <selection activeCell="C10" sqref="C10"/>
    </sheetView>
  </sheetViews>
  <sheetFormatPr defaultRowHeight="12.75"/>
  <cols>
    <col min="1" max="1" width="23.28515625" bestFit="1" customWidth="1"/>
    <col min="2" max="2" width="15.7109375" customWidth="1"/>
    <col min="3" max="4" width="12" bestFit="1" customWidth="1"/>
    <col min="5" max="6" width="9.85546875" bestFit="1" customWidth="1"/>
    <col min="7" max="13" width="10.85546875" bestFit="1" customWidth="1"/>
  </cols>
  <sheetData>
    <row r="41" spans="1:14" ht="13.5" thickBot="1">
      <c r="B41" s="1617">
        <v>1</v>
      </c>
      <c r="C41" s="1617">
        <v>2</v>
      </c>
      <c r="D41" s="1617">
        <v>3</v>
      </c>
      <c r="E41" s="1617">
        <v>4</v>
      </c>
      <c r="F41" s="1617">
        <v>5</v>
      </c>
      <c r="G41" s="1617">
        <v>6</v>
      </c>
      <c r="H41" s="1617">
        <v>7</v>
      </c>
      <c r="I41" s="1617">
        <v>8</v>
      </c>
      <c r="J41" s="1617">
        <v>9</v>
      </c>
      <c r="K41" s="1617">
        <v>10</v>
      </c>
      <c r="L41" s="1617">
        <v>11</v>
      </c>
      <c r="M41" s="1617">
        <v>12</v>
      </c>
    </row>
    <row r="42" spans="1:14">
      <c r="A42" s="23" t="s">
        <v>1151</v>
      </c>
      <c r="B42" s="1610">
        <f>Budjettikuukausittain!H13</f>
        <v>0</v>
      </c>
      <c r="C42" s="1611">
        <f>Budjettikuukausittain!I13</f>
        <v>0</v>
      </c>
      <c r="D42" s="1611">
        <f>Budjettikuukausittain!J13</f>
        <v>0</v>
      </c>
      <c r="E42" s="1611">
        <f>Budjettikuukausittain!K13</f>
        <v>0</v>
      </c>
      <c r="F42" s="1611">
        <f>Budjettikuukausittain!L13</f>
        <v>0</v>
      </c>
      <c r="G42" s="1611">
        <f>Budjettikuukausittain!M13</f>
        <v>0</v>
      </c>
      <c r="H42" s="1611">
        <f>Budjettikuukausittain!N13</f>
        <v>0</v>
      </c>
      <c r="I42" s="1611">
        <f>Budjettikuukausittain!O13</f>
        <v>0</v>
      </c>
      <c r="J42" s="1611">
        <f>Budjettikuukausittain!P13</f>
        <v>0</v>
      </c>
      <c r="K42" s="1611">
        <f>Budjettikuukausittain!Q13</f>
        <v>0</v>
      </c>
      <c r="L42" s="1611">
        <f>Budjettikuukausittain!R13</f>
        <v>0</v>
      </c>
      <c r="M42" s="1612">
        <f>Budjettikuukausittain!S13</f>
        <v>0</v>
      </c>
      <c r="N42" s="836"/>
    </row>
    <row r="43" spans="1:14">
      <c r="A43" s="23" t="s">
        <v>1221</v>
      </c>
      <c r="B43" s="1613">
        <f>Budjettikuukausittain!H26</f>
        <v>0</v>
      </c>
      <c r="C43" s="1614">
        <f>Budjettikuukausittain!I26</f>
        <v>0</v>
      </c>
      <c r="D43" s="1614">
        <f>Budjettikuukausittain!J26</f>
        <v>0</v>
      </c>
      <c r="E43" s="1614">
        <f>Budjettikuukausittain!K26</f>
        <v>0</v>
      </c>
      <c r="F43" s="1614">
        <f>Budjettikuukausittain!L26</f>
        <v>0</v>
      </c>
      <c r="G43" s="1614">
        <f>Budjettikuukausittain!M26</f>
        <v>0</v>
      </c>
      <c r="H43" s="1614">
        <f>Budjettikuukausittain!N26</f>
        <v>0</v>
      </c>
      <c r="I43" s="1614">
        <f>Budjettikuukausittain!O26</f>
        <v>0</v>
      </c>
      <c r="J43" s="1614">
        <f>Budjettikuukausittain!P26</f>
        <v>0</v>
      </c>
      <c r="K43" s="1614">
        <f>Budjettikuukausittain!Q26</f>
        <v>0</v>
      </c>
      <c r="L43" s="1614">
        <f>Budjettikuukausittain!R26</f>
        <v>0</v>
      </c>
      <c r="M43" s="1615">
        <f>Budjettikuukausittain!S26</f>
        <v>0</v>
      </c>
    </row>
    <row r="44" spans="1:14">
      <c r="A44" s="23" t="s">
        <v>1222</v>
      </c>
      <c r="B44" s="1613">
        <f>Budjettikuukausittain!H29</f>
        <v>0</v>
      </c>
      <c r="C44" s="1614">
        <f>Budjettikuukausittain!I29</f>
        <v>0</v>
      </c>
      <c r="D44" s="1614">
        <f>Budjettikuukausittain!J29</f>
        <v>0</v>
      </c>
      <c r="E44" s="1614">
        <f>Budjettikuukausittain!K29</f>
        <v>0</v>
      </c>
      <c r="F44" s="1614">
        <f>Budjettikuukausittain!L29</f>
        <v>0</v>
      </c>
      <c r="G44" s="1614">
        <f>Budjettikuukausittain!M29</f>
        <v>0</v>
      </c>
      <c r="H44" s="1614">
        <f>Budjettikuukausittain!N29</f>
        <v>0</v>
      </c>
      <c r="I44" s="1614">
        <f>Budjettikuukausittain!O29</f>
        <v>0</v>
      </c>
      <c r="J44" s="1614">
        <f>Budjettikuukausittain!P29</f>
        <v>0</v>
      </c>
      <c r="K44" s="1614">
        <f>Budjettikuukausittain!Q29</f>
        <v>0</v>
      </c>
      <c r="L44" s="1614">
        <f>Budjettikuukausittain!R29</f>
        <v>0</v>
      </c>
      <c r="M44" s="1615">
        <f>Budjettikuukausittain!S29</f>
        <v>0</v>
      </c>
    </row>
    <row r="45" spans="1:14">
      <c r="A45" s="23" t="s">
        <v>1223</v>
      </c>
      <c r="B45" s="1613">
        <f>Budjettikuukausittain!H30</f>
        <v>0</v>
      </c>
      <c r="C45" s="1614">
        <f>Budjettikuukausittain!I30</f>
        <v>0</v>
      </c>
      <c r="D45" s="1614">
        <f>Budjettikuukausittain!J30</f>
        <v>0</v>
      </c>
      <c r="E45" s="1614">
        <f>Budjettikuukausittain!K30</f>
        <v>0</v>
      </c>
      <c r="F45" s="1614">
        <f>Budjettikuukausittain!L30</f>
        <v>0</v>
      </c>
      <c r="G45" s="1614">
        <f>Budjettikuukausittain!M30</f>
        <v>0</v>
      </c>
      <c r="H45" s="1614">
        <f>Budjettikuukausittain!N30</f>
        <v>0</v>
      </c>
      <c r="I45" s="1614">
        <f>Budjettikuukausittain!O30</f>
        <v>0</v>
      </c>
      <c r="J45" s="1614">
        <f>Budjettikuukausittain!P30</f>
        <v>0</v>
      </c>
      <c r="K45" s="1614">
        <f>Budjettikuukausittain!Q30</f>
        <v>0</v>
      </c>
      <c r="L45" s="1614">
        <f>Budjettikuukausittain!R30</f>
        <v>0</v>
      </c>
      <c r="M45" s="1615">
        <f>Budjettikuukausittain!S30</f>
        <v>0</v>
      </c>
    </row>
    <row r="46" spans="1:14">
      <c r="A46" s="23" t="s">
        <v>1224</v>
      </c>
      <c r="B46" s="1613">
        <f>Budjettikuukausittain!H33</f>
        <v>0</v>
      </c>
      <c r="C46" s="1614">
        <f>Budjettikuukausittain!I33</f>
        <v>0</v>
      </c>
      <c r="D46" s="1614">
        <f>Budjettikuukausittain!J33</f>
        <v>0</v>
      </c>
      <c r="E46" s="1614">
        <f>Budjettikuukausittain!K33</f>
        <v>0</v>
      </c>
      <c r="F46" s="1614">
        <f>Budjettikuukausittain!L33</f>
        <v>0</v>
      </c>
      <c r="G46" s="1614">
        <f>Budjettikuukausittain!M33</f>
        <v>0</v>
      </c>
      <c r="H46" s="1614">
        <f>Budjettikuukausittain!N33</f>
        <v>0</v>
      </c>
      <c r="I46" s="1614">
        <f>Budjettikuukausittain!O33</f>
        <v>0</v>
      </c>
      <c r="J46" s="1614">
        <f>Budjettikuukausittain!P33</f>
        <v>0</v>
      </c>
      <c r="K46" s="1614">
        <f>Budjettikuukausittain!Q33</f>
        <v>0</v>
      </c>
      <c r="L46" s="1614">
        <f>Budjettikuukausittain!R33</f>
        <v>0</v>
      </c>
      <c r="M46" s="1615">
        <f>Budjettikuukausittain!S33</f>
        <v>0</v>
      </c>
    </row>
    <row r="47" spans="1:14">
      <c r="A47" s="23" t="s">
        <v>1225</v>
      </c>
      <c r="B47" s="1613">
        <f>SUM(Budjettikuukausittain!H34:H39)</f>
        <v>0</v>
      </c>
      <c r="C47" s="1614">
        <f>SUM(Budjettikuukausittain!I34:I39)</f>
        <v>0</v>
      </c>
      <c r="D47" s="1614">
        <f>SUM(Budjettikuukausittain!J34:J39)</f>
        <v>0</v>
      </c>
      <c r="E47" s="1614">
        <f>SUM(Budjettikuukausittain!K34:K39)</f>
        <v>0</v>
      </c>
      <c r="F47" s="1614">
        <f>SUM(Budjettikuukausittain!L34:L39)</f>
        <v>0</v>
      </c>
      <c r="G47" s="1614">
        <f>SUM(Budjettikuukausittain!M34:M39)</f>
        <v>0</v>
      </c>
      <c r="H47" s="1614">
        <f>SUM(Budjettikuukausittain!N34:N39)</f>
        <v>0</v>
      </c>
      <c r="I47" s="1614">
        <f>SUM(Budjettikuukausittain!O34:O39)</f>
        <v>0</v>
      </c>
      <c r="J47" s="1614">
        <f>SUM(Budjettikuukausittain!P34:P39)</f>
        <v>0</v>
      </c>
      <c r="K47" s="1614">
        <f>SUM(Budjettikuukausittain!Q34:Q39)</f>
        <v>0</v>
      </c>
      <c r="L47" s="1614">
        <f>SUM(Budjettikuukausittain!R34:R39)</f>
        <v>0</v>
      </c>
      <c r="M47" s="1615">
        <f>SUM(Budjettikuukausittain!S34:S39)</f>
        <v>0</v>
      </c>
    </row>
    <row r="48" spans="1:14">
      <c r="A48" s="23" t="s">
        <v>425</v>
      </c>
      <c r="B48" s="1613">
        <f>SUM(Budjettikuukausittain!H45:H47)</f>
        <v>0</v>
      </c>
      <c r="C48" s="1614">
        <f>SUM(Budjettikuukausittain!I45:I47)</f>
        <v>0</v>
      </c>
      <c r="D48" s="1614">
        <f>SUM(Budjettikuukausittain!J45:J47)</f>
        <v>0</v>
      </c>
      <c r="E48" s="1614">
        <f>SUM(Budjettikuukausittain!K45:K47)</f>
        <v>0</v>
      </c>
      <c r="F48" s="1614">
        <f>SUM(Budjettikuukausittain!L45:L47)</f>
        <v>0</v>
      </c>
      <c r="G48" s="1614">
        <f>SUM(Budjettikuukausittain!M45:M47)</f>
        <v>0</v>
      </c>
      <c r="H48" s="1614">
        <f>SUM(Budjettikuukausittain!N45:N47)</f>
        <v>0</v>
      </c>
      <c r="I48" s="1614">
        <f>SUM(Budjettikuukausittain!O45:O47)</f>
        <v>0</v>
      </c>
      <c r="J48" s="1614">
        <f>SUM(Budjettikuukausittain!P45:P47)</f>
        <v>0</v>
      </c>
      <c r="K48" s="1614">
        <f>SUM(Budjettikuukausittain!Q45:Q47)</f>
        <v>0</v>
      </c>
      <c r="L48" s="1614">
        <f>SUM(Budjettikuukausittain!R45:R47)</f>
        <v>0</v>
      </c>
      <c r="M48" s="1615">
        <f>SUM(Budjettikuukausittain!S45:S47)</f>
        <v>0</v>
      </c>
    </row>
    <row r="49" spans="1:13">
      <c r="A49" s="23" t="s">
        <v>1208</v>
      </c>
      <c r="B49" s="1613">
        <f>IF(ISNUMBER(Budjettikuukausittain!H49),0-Budjettikuukausittain!H49,0)</f>
        <v>0</v>
      </c>
      <c r="C49" s="1613">
        <f>IF(ISNUMBER(Budjettikuukausittain!I49),0-Budjettikuukausittain!I49,0)</f>
        <v>0</v>
      </c>
      <c r="D49" s="1613">
        <f>IF(ISNUMBER(Budjettikuukausittain!J49),0-Budjettikuukausittain!J49,0)</f>
        <v>0</v>
      </c>
      <c r="E49" s="1613">
        <f>IF(ISNUMBER(Budjettikuukausittain!K49),0-Budjettikuukausittain!K49,0)</f>
        <v>0</v>
      </c>
      <c r="F49" s="1613">
        <f>IF(ISNUMBER(Budjettikuukausittain!L49),0-Budjettikuukausittain!L49,0)</f>
        <v>0</v>
      </c>
      <c r="G49" s="1613">
        <f>IF(ISNUMBER(Budjettikuukausittain!M49),0-Budjettikuukausittain!M49,0)</f>
        <v>0</v>
      </c>
      <c r="H49" s="1613">
        <f>IF(ISNUMBER(Budjettikuukausittain!N49),0-Budjettikuukausittain!N49,0)</f>
        <v>0</v>
      </c>
      <c r="I49" s="1613">
        <f>IF(ISNUMBER(Budjettikuukausittain!O49),0-Budjettikuukausittain!O49,0)</f>
        <v>0</v>
      </c>
      <c r="J49" s="1613">
        <f>IF(ISNUMBER(Budjettikuukausittain!P49),0-Budjettikuukausittain!P49,0)</f>
        <v>0</v>
      </c>
      <c r="K49" s="1613">
        <f>IF(ISNUMBER(Budjettikuukausittain!Q49),0-Budjettikuukausittain!Q49,0)</f>
        <v>0</v>
      </c>
      <c r="L49" s="1613">
        <f>IF(ISNUMBER(Budjettikuukausittain!R49),0-Budjettikuukausittain!R49,0)</f>
        <v>0</v>
      </c>
      <c r="M49" s="1613">
        <f>IF(ISNUMBER(Budjettikuukausittain!S49),0-Budjettikuukausittain!S49,0)</f>
        <v>0</v>
      </c>
    </row>
    <row r="50" spans="1:13">
      <c r="A50" s="23" t="s">
        <v>1226</v>
      </c>
      <c r="B50" s="1613">
        <f>IF(ISNUMBER(SUM(Budjettikuukausittain!H50:H53)),0-SUM(Budjettikuukausittain!H50:H53),0)</f>
        <v>0</v>
      </c>
      <c r="C50" s="1613">
        <f>IF(ISNUMBER(SUM(Budjettikuukausittain!I50:I53)),0-SUM(Budjettikuukausittain!I50:I53),0)</f>
        <v>0</v>
      </c>
      <c r="D50" s="1613">
        <f>IF(ISNUMBER(SUM(Budjettikuukausittain!J50:J53)),0-SUM(Budjettikuukausittain!J50:J53),0)</f>
        <v>0</v>
      </c>
      <c r="E50" s="1613">
        <f>IF(ISNUMBER(SUM(Budjettikuukausittain!K50:K53)),0-SUM(Budjettikuukausittain!K50:K53),0)</f>
        <v>0</v>
      </c>
      <c r="F50" s="1613">
        <f>IF(ISNUMBER(SUM(Budjettikuukausittain!L50:L53)),0-SUM(Budjettikuukausittain!L50:L53),0)</f>
        <v>0</v>
      </c>
      <c r="G50" s="1613">
        <f>IF(ISNUMBER(SUM(Budjettikuukausittain!M50:M53)),0-SUM(Budjettikuukausittain!M50:M53),0)</f>
        <v>0</v>
      </c>
      <c r="H50" s="1613">
        <f>IF(ISNUMBER(SUM(Budjettikuukausittain!N50:N53)),0-SUM(Budjettikuukausittain!N50:N53),0)</f>
        <v>0</v>
      </c>
      <c r="I50" s="1613">
        <f>IF(ISNUMBER(SUM(Budjettikuukausittain!O50:O53)),0-SUM(Budjettikuukausittain!O50:O53),0)</f>
        <v>0</v>
      </c>
      <c r="J50" s="1613">
        <f>IF(ISNUMBER(SUM(Budjettikuukausittain!P50:P53)),0-SUM(Budjettikuukausittain!P50:P53),0)</f>
        <v>0</v>
      </c>
      <c r="K50" s="1613">
        <f>IF(ISNUMBER(SUM(Budjettikuukausittain!Q50:Q53)),0-SUM(Budjettikuukausittain!Q50:Q53),0)</f>
        <v>0</v>
      </c>
      <c r="L50" s="1613">
        <f>IF(ISNUMBER(SUM(Budjettikuukausittain!R50:R53)),0-SUM(Budjettikuukausittain!R50:R53),0)</f>
        <v>0</v>
      </c>
      <c r="M50" s="1613">
        <f>IF(ISNUMBER(SUM(Budjettikuukausittain!S50:S53)),0-SUM(Budjettikuukausittain!S50:S53),0)</f>
        <v>0</v>
      </c>
    </row>
    <row r="51" spans="1:13">
      <c r="A51" s="23" t="s">
        <v>1053</v>
      </c>
      <c r="B51" s="1613">
        <f>IF(ISNUMBER(SUM(Budjettikuukausittain!H54:H54)),0-SUM(Budjettikuukausittain!H54:H54),0)</f>
        <v>0</v>
      </c>
      <c r="C51" s="1613">
        <f>IF(ISNUMBER(SUM(Budjettikuukausittain!I54:I54)),0-SUM(Budjettikuukausittain!I54:I54),0)</f>
        <v>0</v>
      </c>
      <c r="D51" s="1613">
        <f>IF(ISNUMBER(SUM(Budjettikuukausittain!J54:J54)),0-SUM(Budjettikuukausittain!J54:J54),0)</f>
        <v>0</v>
      </c>
      <c r="E51" s="1613">
        <f>IF(ISNUMBER(SUM(Budjettikuukausittain!K54:K54)),0-SUM(Budjettikuukausittain!K54:K54),0)</f>
        <v>0</v>
      </c>
      <c r="F51" s="1613">
        <f>IF(ISNUMBER(SUM(Budjettikuukausittain!L54:L54)),0-SUM(Budjettikuukausittain!L54:L54),0)</f>
        <v>0</v>
      </c>
      <c r="G51" s="1613">
        <f>IF(ISNUMBER(SUM(Budjettikuukausittain!M54:M54)),0-SUM(Budjettikuukausittain!M54:M54),0)</f>
        <v>0</v>
      </c>
      <c r="H51" s="1613">
        <f>IF(ISNUMBER(SUM(Budjettikuukausittain!N54:N54)),0-SUM(Budjettikuukausittain!N54:N54),0)</f>
        <v>0</v>
      </c>
      <c r="I51" s="1613">
        <f>IF(ISNUMBER(SUM(Budjettikuukausittain!O54:O54)),0-SUM(Budjettikuukausittain!O54:O54),0)</f>
        <v>0</v>
      </c>
      <c r="J51" s="1613">
        <f>IF(ISNUMBER(SUM(Budjettikuukausittain!P54:P54)),0-SUM(Budjettikuukausittain!P54:P54),0)</f>
        <v>0</v>
      </c>
      <c r="K51" s="1613">
        <f>IF(ISNUMBER(SUM(Budjettikuukausittain!Q54:Q54)),0-SUM(Budjettikuukausittain!Q54:Q54),0)</f>
        <v>0</v>
      </c>
      <c r="L51" s="1613">
        <f>IF(ISNUMBER(SUM(Budjettikuukausittain!R54:R54)),0-SUM(Budjettikuukausittain!R54:R54),0)</f>
        <v>0</v>
      </c>
      <c r="M51" s="1613">
        <f>IF(ISNUMBER(SUM(Budjettikuukausittain!S54:S54)),0-SUM(Budjettikuukausittain!S54:S54),0)</f>
        <v>0</v>
      </c>
    </row>
    <row r="52" spans="1:13">
      <c r="A52" s="23" t="s">
        <v>42</v>
      </c>
      <c r="B52" s="1613">
        <f>IF(ISNUMBER(SUM(Budjettikuukausittain!H55:H55)),0-SUM(Budjettikuukausittain!H55:H55),0)</f>
        <v>0</v>
      </c>
      <c r="C52" s="1613">
        <f>IF(ISNUMBER(SUM(Budjettikuukausittain!I55:I55)),0-SUM(Budjettikuukausittain!I55:I55),0)</f>
        <v>0</v>
      </c>
      <c r="D52" s="1613">
        <f>IF(ISNUMBER(SUM(Budjettikuukausittain!J55:J55)),0-SUM(Budjettikuukausittain!J55:J55),0)</f>
        <v>0</v>
      </c>
      <c r="E52" s="1613">
        <f>IF(ISNUMBER(SUM(Budjettikuukausittain!K55:K55)),0-SUM(Budjettikuukausittain!K55:K55),0)</f>
        <v>0</v>
      </c>
      <c r="F52" s="1613">
        <f>IF(ISNUMBER(SUM(Budjettikuukausittain!L55:L55)),0-SUM(Budjettikuukausittain!L55:L55),0)</f>
        <v>0</v>
      </c>
      <c r="G52" s="1613">
        <f>IF(ISNUMBER(SUM(Budjettikuukausittain!M55:M55)),0-SUM(Budjettikuukausittain!M55:M55),0)</f>
        <v>0</v>
      </c>
      <c r="H52" s="1613">
        <f>IF(ISNUMBER(SUM(Budjettikuukausittain!N55:N55)),0-SUM(Budjettikuukausittain!N55:N55),0)</f>
        <v>0</v>
      </c>
      <c r="I52" s="1613">
        <f>IF(ISNUMBER(SUM(Budjettikuukausittain!O55:O55)),0-SUM(Budjettikuukausittain!O55:O55),0)</f>
        <v>0</v>
      </c>
      <c r="J52" s="1613">
        <f>IF(ISNUMBER(SUM(Budjettikuukausittain!P55:P55)),0-SUM(Budjettikuukausittain!P55:P55),0)</f>
        <v>0</v>
      </c>
      <c r="K52" s="1613">
        <f>IF(ISNUMBER(SUM(Budjettikuukausittain!Q55:Q55)),0-SUM(Budjettikuukausittain!Q55:Q55),0)</f>
        <v>0</v>
      </c>
      <c r="L52" s="1613">
        <f>IF(ISNUMBER(SUM(Budjettikuukausittain!R55:R55)),0-SUM(Budjettikuukausittain!R55:R55),0)</f>
        <v>0</v>
      </c>
      <c r="M52" s="1613">
        <f>IF(ISNUMBER(SUM(Budjettikuukausittain!S55:S55)),0-SUM(Budjettikuukausittain!S55:S55),0)</f>
        <v>0</v>
      </c>
    </row>
    <row r="53" spans="1:13">
      <c r="A53" s="23" t="s">
        <v>1206</v>
      </c>
      <c r="B53" s="1613">
        <f>IF(ISNUMBER(SUM(Budjettikuukausittain!H56:H56)),0-SUM(Budjettikuukausittain!H56:H56),0)</f>
        <v>0</v>
      </c>
      <c r="C53" s="1613">
        <f>IF(ISNUMBER(SUM(Budjettikuukausittain!I56:I56)),0-SUM(Budjettikuukausittain!I56:I56),0)</f>
        <v>0</v>
      </c>
      <c r="D53" s="1613">
        <f>IF(ISNUMBER(SUM(Budjettikuukausittain!J56:J56)),0-SUM(Budjettikuukausittain!J56:J56),0)</f>
        <v>0</v>
      </c>
      <c r="E53" s="1613">
        <f>IF(ISNUMBER(SUM(Budjettikuukausittain!K56:K56)),0-SUM(Budjettikuukausittain!K56:K56),0)</f>
        <v>0</v>
      </c>
      <c r="F53" s="1613">
        <f>IF(ISNUMBER(SUM(Budjettikuukausittain!L56:L56)),0-SUM(Budjettikuukausittain!L56:L56),0)</f>
        <v>0</v>
      </c>
      <c r="G53" s="1613">
        <f>IF(ISNUMBER(SUM(Budjettikuukausittain!M56:M56)),0-SUM(Budjettikuukausittain!M56:M56),0)</f>
        <v>0</v>
      </c>
      <c r="H53" s="1613">
        <f>IF(ISNUMBER(SUM(Budjettikuukausittain!N56:N56)),0-SUM(Budjettikuukausittain!N56:N56),0)</f>
        <v>0</v>
      </c>
      <c r="I53" s="1613">
        <f>IF(ISNUMBER(SUM(Budjettikuukausittain!O56:O56)),0-SUM(Budjettikuukausittain!O56:O56),0)</f>
        <v>0</v>
      </c>
      <c r="J53" s="1613">
        <f>IF(ISNUMBER(SUM(Budjettikuukausittain!P56:P56)),0-SUM(Budjettikuukausittain!P56:P56),0)</f>
        <v>0</v>
      </c>
      <c r="K53" s="1613">
        <f>IF(ISNUMBER(SUM(Budjettikuukausittain!Q56:Q56)),0-SUM(Budjettikuukausittain!Q56:Q56),0)</f>
        <v>0</v>
      </c>
      <c r="L53" s="1613">
        <f>IF(ISNUMBER(SUM(Budjettikuukausittain!R56:R56)),0-SUM(Budjettikuukausittain!R56:R56),0)</f>
        <v>0</v>
      </c>
      <c r="M53" s="1613">
        <f>IF(ISNUMBER(SUM(Budjettikuukausittain!S56:S56)),0-SUM(Budjettikuukausittain!S56:S56),0)</f>
        <v>0</v>
      </c>
    </row>
    <row r="54" spans="1:13" ht="13.5" thickBot="1">
      <c r="A54" s="23" t="s">
        <v>1181</v>
      </c>
      <c r="B54" s="1616">
        <f>IF(ISNUMBER(SUM(Budjettikuukausittain!H57:H57)),0-SUM(Budjettikuukausittain!H57:H57),0)</f>
        <v>0</v>
      </c>
      <c r="C54" s="1616">
        <f>IF(ISNUMBER(SUM(Budjettikuukausittain!I57:I57)),0-SUM(Budjettikuukausittain!I57:I57),0)</f>
        <v>0</v>
      </c>
      <c r="D54" s="1616">
        <f>IF(ISNUMBER(SUM(Budjettikuukausittain!J57:J57)),0-SUM(Budjettikuukausittain!J57:J57),0)</f>
        <v>0</v>
      </c>
      <c r="E54" s="1616">
        <f>IF(ISNUMBER(SUM(Budjettikuukausittain!K57:K57)),0-SUM(Budjettikuukausittain!K57:K57),0)</f>
        <v>0</v>
      </c>
      <c r="F54" s="1616">
        <f>IF(ISNUMBER(SUM(Budjettikuukausittain!L57:L57)),0-SUM(Budjettikuukausittain!L57:L57),0)</f>
        <v>0</v>
      </c>
      <c r="G54" s="1616">
        <f>IF(ISNUMBER(SUM(Budjettikuukausittain!M57:M57)),0-SUM(Budjettikuukausittain!M57:M57),0)</f>
        <v>0</v>
      </c>
      <c r="H54" s="1616">
        <f>IF(ISNUMBER(SUM(Budjettikuukausittain!N57:N57)),0-SUM(Budjettikuukausittain!N57:N57),0)</f>
        <v>0</v>
      </c>
      <c r="I54" s="1616">
        <f>IF(ISNUMBER(SUM(Budjettikuukausittain!O57:O57)),0-SUM(Budjettikuukausittain!O57:O57),0)</f>
        <v>0</v>
      </c>
      <c r="J54" s="1616">
        <f>IF(ISNUMBER(SUM(Budjettikuukausittain!P57:P57)),0-SUM(Budjettikuukausittain!P57:P57),0)</f>
        <v>0</v>
      </c>
      <c r="K54" s="1616">
        <f>IF(ISNUMBER(SUM(Budjettikuukausittain!Q57:Q57)),0-SUM(Budjettikuukausittain!Q57:Q57),0)</f>
        <v>0</v>
      </c>
      <c r="L54" s="1616">
        <f>IF(ISNUMBER(SUM(Budjettikuukausittain!R57:R57)),0-SUM(Budjettikuukausittain!R57:R57),0)</f>
        <v>0</v>
      </c>
      <c r="M54" s="1616">
        <f>IF(ISNUMBER(SUM(Budjettikuukausittain!S57:S57)),0-SUM(Budjettikuukausittain!S57:S57),0)</f>
        <v>0</v>
      </c>
    </row>
    <row r="55" spans="1:13" ht="13.5" thickBot="1">
      <c r="B55" s="2832" t="s">
        <v>1227</v>
      </c>
      <c r="C55" s="2832"/>
      <c r="D55" s="2832"/>
      <c r="E55" s="2832" t="s">
        <v>1228</v>
      </c>
      <c r="F55" s="2832"/>
      <c r="G55" s="2832"/>
      <c r="H55" s="2832" t="s">
        <v>1229</v>
      </c>
      <c r="I55" s="2832"/>
      <c r="J55" s="2832"/>
      <c r="K55" s="2832" t="s">
        <v>1230</v>
      </c>
      <c r="L55" s="2832"/>
      <c r="M55" s="2832"/>
    </row>
    <row r="56" spans="1:13">
      <c r="A56" s="23" t="s">
        <v>1151</v>
      </c>
      <c r="B56" s="2833">
        <f>SUM(B42:D42)</f>
        <v>0</v>
      </c>
      <c r="C56" s="2834"/>
      <c r="D56" s="2835"/>
      <c r="E56" s="2833">
        <f>SUM(E42:G42)</f>
        <v>0</v>
      </c>
      <c r="F56" s="2834"/>
      <c r="G56" s="2835"/>
      <c r="H56" s="2833">
        <f>SUM(H42:J42)</f>
        <v>0</v>
      </c>
      <c r="I56" s="2834"/>
      <c r="J56" s="2835"/>
      <c r="K56" s="2833">
        <f>SUM(K42:M42)</f>
        <v>0</v>
      </c>
      <c r="L56" s="2834"/>
      <c r="M56" s="2835"/>
    </row>
    <row r="57" spans="1:13">
      <c r="A57" s="23" t="s">
        <v>1221</v>
      </c>
      <c r="B57" s="2826">
        <f t="shared" ref="B57:B66" si="0">SUM(B43:D43)</f>
        <v>0</v>
      </c>
      <c r="C57" s="2827"/>
      <c r="D57" s="2828"/>
      <c r="E57" s="2826">
        <f t="shared" ref="E57:E66" si="1">SUM(E43:G43)</f>
        <v>0</v>
      </c>
      <c r="F57" s="2827"/>
      <c r="G57" s="2828"/>
      <c r="H57" s="2826">
        <f t="shared" ref="H57:H66" si="2">SUM(H43:J43)</f>
        <v>0</v>
      </c>
      <c r="I57" s="2827"/>
      <c r="J57" s="2828"/>
      <c r="K57" s="2826">
        <f t="shared" ref="K57:K66" si="3">SUM(K43:M43)</f>
        <v>0</v>
      </c>
      <c r="L57" s="2827"/>
      <c r="M57" s="2828"/>
    </row>
    <row r="58" spans="1:13">
      <c r="A58" s="23" t="s">
        <v>1222</v>
      </c>
      <c r="B58" s="2826">
        <f t="shared" si="0"/>
        <v>0</v>
      </c>
      <c r="C58" s="2827"/>
      <c r="D58" s="2828"/>
      <c r="E58" s="2826">
        <f t="shared" si="1"/>
        <v>0</v>
      </c>
      <c r="F58" s="2827"/>
      <c r="G58" s="2828"/>
      <c r="H58" s="2826">
        <f t="shared" si="2"/>
        <v>0</v>
      </c>
      <c r="I58" s="2827"/>
      <c r="J58" s="2828"/>
      <c r="K58" s="2826">
        <f t="shared" si="3"/>
        <v>0</v>
      </c>
      <c r="L58" s="2827"/>
      <c r="M58" s="2828"/>
    </row>
    <row r="59" spans="1:13">
      <c r="A59" s="23" t="s">
        <v>1223</v>
      </c>
      <c r="B59" s="2826">
        <f>0-SUM(B45:D45)</f>
        <v>0</v>
      </c>
      <c r="C59" s="2827"/>
      <c r="D59" s="2828"/>
      <c r="E59" s="2826">
        <f>0-SUM(E45:G45)</f>
        <v>0</v>
      </c>
      <c r="F59" s="2827"/>
      <c r="G59" s="2828"/>
      <c r="H59" s="2826">
        <f>0-SUM(H45:J45)</f>
        <v>0</v>
      </c>
      <c r="I59" s="2827"/>
      <c r="J59" s="2828"/>
      <c r="K59" s="2826">
        <f>0-SUM(K45:M45)</f>
        <v>0</v>
      </c>
      <c r="L59" s="2827"/>
      <c r="M59" s="2828"/>
    </row>
    <row r="60" spans="1:13">
      <c r="A60" s="23" t="s">
        <v>1224</v>
      </c>
      <c r="B60" s="2826">
        <f t="shared" si="0"/>
        <v>0</v>
      </c>
      <c r="C60" s="2827"/>
      <c r="D60" s="2828"/>
      <c r="E60" s="2826">
        <f t="shared" si="1"/>
        <v>0</v>
      </c>
      <c r="F60" s="2827"/>
      <c r="G60" s="2828"/>
      <c r="H60" s="2826">
        <f t="shared" si="2"/>
        <v>0</v>
      </c>
      <c r="I60" s="2827"/>
      <c r="J60" s="2828"/>
      <c r="K60" s="2826">
        <f t="shared" si="3"/>
        <v>0</v>
      </c>
      <c r="L60" s="2827"/>
      <c r="M60" s="2828"/>
    </row>
    <row r="61" spans="1:13">
      <c r="A61" s="23" t="s">
        <v>1225</v>
      </c>
      <c r="B61" s="2826">
        <f>0-SUM(B47:D47)</f>
        <v>0</v>
      </c>
      <c r="C61" s="2827"/>
      <c r="D61" s="2828"/>
      <c r="E61" s="2826">
        <f>0-SUM(E47:G47)</f>
        <v>0</v>
      </c>
      <c r="F61" s="2827"/>
      <c r="G61" s="2828"/>
      <c r="H61" s="2826">
        <f>0-SUM(H47:J47)</f>
        <v>0</v>
      </c>
      <c r="I61" s="2827"/>
      <c r="J61" s="2828"/>
      <c r="K61" s="2826">
        <f>0-SUM(K47:M47)</f>
        <v>0</v>
      </c>
      <c r="L61" s="2827"/>
      <c r="M61" s="2828"/>
    </row>
    <row r="62" spans="1:13">
      <c r="A62" s="23" t="s">
        <v>425</v>
      </c>
      <c r="B62" s="2826">
        <f t="shared" si="0"/>
        <v>0</v>
      </c>
      <c r="C62" s="2827"/>
      <c r="D62" s="2828"/>
      <c r="E62" s="2826">
        <f t="shared" si="1"/>
        <v>0</v>
      </c>
      <c r="F62" s="2827"/>
      <c r="G62" s="2828"/>
      <c r="H62" s="2826">
        <f t="shared" si="2"/>
        <v>0</v>
      </c>
      <c r="I62" s="2827"/>
      <c r="J62" s="2828"/>
      <c r="K62" s="2826">
        <f t="shared" si="3"/>
        <v>0</v>
      </c>
      <c r="L62" s="2827"/>
      <c r="M62" s="2828"/>
    </row>
    <row r="63" spans="1:13">
      <c r="A63" s="23" t="s">
        <v>1208</v>
      </c>
      <c r="B63" s="2826">
        <f t="shared" si="0"/>
        <v>0</v>
      </c>
      <c r="C63" s="2827"/>
      <c r="D63" s="2828"/>
      <c r="E63" s="2826">
        <f t="shared" si="1"/>
        <v>0</v>
      </c>
      <c r="F63" s="2827"/>
      <c r="G63" s="2828"/>
      <c r="H63" s="2826">
        <f t="shared" si="2"/>
        <v>0</v>
      </c>
      <c r="I63" s="2827"/>
      <c r="J63" s="2828"/>
      <c r="K63" s="2826">
        <f t="shared" si="3"/>
        <v>0</v>
      </c>
      <c r="L63" s="2827"/>
      <c r="M63" s="2828"/>
    </row>
    <row r="64" spans="1:13">
      <c r="A64" s="23" t="s">
        <v>1226</v>
      </c>
      <c r="B64" s="2826">
        <f t="shared" si="0"/>
        <v>0</v>
      </c>
      <c r="C64" s="2827"/>
      <c r="D64" s="2828"/>
      <c r="E64" s="2826">
        <f t="shared" si="1"/>
        <v>0</v>
      </c>
      <c r="F64" s="2827"/>
      <c r="G64" s="2828"/>
      <c r="H64" s="2826">
        <f t="shared" si="2"/>
        <v>0</v>
      </c>
      <c r="I64" s="2827"/>
      <c r="J64" s="2828"/>
      <c r="K64" s="2826">
        <f t="shared" si="3"/>
        <v>0</v>
      </c>
      <c r="L64" s="2827"/>
      <c r="M64" s="2828"/>
    </row>
    <row r="65" spans="1:13">
      <c r="A65" s="23" t="s">
        <v>1053</v>
      </c>
      <c r="B65" s="2826">
        <f>0-SUM(B51:D51)</f>
        <v>0</v>
      </c>
      <c r="C65" s="2827"/>
      <c r="D65" s="2828"/>
      <c r="E65" s="2826">
        <f>0-SUM(E51:G51)</f>
        <v>0</v>
      </c>
      <c r="F65" s="2827"/>
      <c r="G65" s="2828"/>
      <c r="H65" s="2826">
        <f>0-SUM(H51:J51)</f>
        <v>0</v>
      </c>
      <c r="I65" s="2827"/>
      <c r="J65" s="2828"/>
      <c r="K65" s="2826">
        <f>0-SUM(K51:M51)</f>
        <v>0</v>
      </c>
      <c r="L65" s="2827"/>
      <c r="M65" s="2828"/>
    </row>
    <row r="66" spans="1:13">
      <c r="A66" s="23" t="s">
        <v>42</v>
      </c>
      <c r="B66" s="2826">
        <f t="shared" si="0"/>
        <v>0</v>
      </c>
      <c r="C66" s="2827"/>
      <c r="D66" s="2828"/>
      <c r="E66" s="2826">
        <f t="shared" si="1"/>
        <v>0</v>
      </c>
      <c r="F66" s="2827"/>
      <c r="G66" s="2828"/>
      <c r="H66" s="2826">
        <f t="shared" si="2"/>
        <v>0</v>
      </c>
      <c r="I66" s="2827"/>
      <c r="J66" s="2828"/>
      <c r="K66" s="2826">
        <f t="shared" si="3"/>
        <v>0</v>
      </c>
      <c r="L66" s="2827"/>
      <c r="M66" s="2828"/>
    </row>
    <row r="67" spans="1:13">
      <c r="A67" s="23" t="s">
        <v>1206</v>
      </c>
      <c r="B67" s="2826">
        <f>0-SUM(B53:D53)</f>
        <v>0</v>
      </c>
      <c r="C67" s="2827"/>
      <c r="D67" s="2828"/>
      <c r="E67" s="2826">
        <f>0-SUM(E53:G53)</f>
        <v>0</v>
      </c>
      <c r="F67" s="2827"/>
      <c r="G67" s="2828"/>
      <c r="H67" s="2826">
        <f>0-SUM(H53:J53)</f>
        <v>0</v>
      </c>
      <c r="I67" s="2827"/>
      <c r="J67" s="2828"/>
      <c r="K67" s="2826">
        <f>0-SUM(K53:M53)</f>
        <v>0</v>
      </c>
      <c r="L67" s="2827"/>
      <c r="M67" s="2828"/>
    </row>
    <row r="68" spans="1:13" ht="13.5" thickBot="1">
      <c r="A68" s="23" t="s">
        <v>1181</v>
      </c>
      <c r="B68" s="2829">
        <f>0-SUM(B54:D54)</f>
        <v>0</v>
      </c>
      <c r="C68" s="2830"/>
      <c r="D68" s="2831"/>
      <c r="E68" s="2829">
        <f t="shared" ref="E68" si="4">0-SUM(E54:G54)</f>
        <v>0</v>
      </c>
      <c r="F68" s="2830"/>
      <c r="G68" s="2831"/>
      <c r="H68" s="2829">
        <f t="shared" ref="H68" si="5">0-SUM(H54:J54)</f>
        <v>0</v>
      </c>
      <c r="I68" s="2830"/>
      <c r="J68" s="2831"/>
      <c r="K68" s="2829">
        <f>0-SUM(K54:M54)</f>
        <v>0</v>
      </c>
      <c r="L68" s="2830"/>
      <c r="M68" s="2831"/>
    </row>
    <row r="69" spans="1:13">
      <c r="A69" s="2800" t="s">
        <v>1231</v>
      </c>
      <c r="B69" s="2836">
        <f>SUM(B70:D70)</f>
        <v>0</v>
      </c>
      <c r="C69" s="2836"/>
      <c r="D69" s="2836"/>
      <c r="E69" s="2836">
        <f t="shared" ref="E69" si="6">SUM(E70:G70)</f>
        <v>0</v>
      </c>
      <c r="F69" s="2836"/>
      <c r="G69" s="2836"/>
      <c r="H69" s="2836">
        <f t="shared" ref="H69" si="7">SUM(H70:J70)</f>
        <v>0</v>
      </c>
      <c r="I69" s="2836"/>
      <c r="J69" s="2836"/>
      <c r="K69" s="2836">
        <f t="shared" ref="K69" si="8">SUM(K70:M70)</f>
        <v>0</v>
      </c>
      <c r="L69" s="2836"/>
      <c r="M69" s="2836"/>
    </row>
    <row r="70" spans="1:13">
      <c r="A70" s="2800"/>
      <c r="B70" s="1138">
        <f>Budjettikuukausittain!H58</f>
        <v>0</v>
      </c>
      <c r="C70" s="1138">
        <f>Budjettikuukausittain!I58</f>
        <v>0</v>
      </c>
      <c r="D70" s="1138">
        <f>Budjettikuukausittain!J58</f>
        <v>0</v>
      </c>
      <c r="E70" s="1492">
        <f>Budjettikuukausittain!K58</f>
        <v>0</v>
      </c>
      <c r="F70" s="1492">
        <f>Budjettikuukausittain!L58</f>
        <v>0</v>
      </c>
      <c r="G70" s="1492">
        <f>Budjettikuukausittain!M58</f>
        <v>0</v>
      </c>
      <c r="H70" s="1492">
        <f>Budjettikuukausittain!N58</f>
        <v>0</v>
      </c>
      <c r="I70" s="1492">
        <f>Budjettikuukausittain!O58</f>
        <v>0</v>
      </c>
      <c r="J70" s="1492">
        <f>Budjettikuukausittain!P58</f>
        <v>0</v>
      </c>
      <c r="K70" s="1492">
        <f>Budjettikuukausittain!Q58</f>
        <v>0</v>
      </c>
      <c r="L70" s="1492">
        <f>Budjettikuukausittain!R58</f>
        <v>0</v>
      </c>
      <c r="M70" s="1492">
        <f>Budjettikuukausittain!S58</f>
        <v>0</v>
      </c>
    </row>
  </sheetData>
  <sheetProtection sheet="1" formatCells="0" formatColumns="0"/>
  <mergeCells count="61">
    <mergeCell ref="B69:D69"/>
    <mergeCell ref="E69:G69"/>
    <mergeCell ref="H69:J69"/>
    <mergeCell ref="K69:M69"/>
    <mergeCell ref="A69:A70"/>
    <mergeCell ref="B68:D68"/>
    <mergeCell ref="E56:G56"/>
    <mergeCell ref="E57:G57"/>
    <mergeCell ref="E58:G58"/>
    <mergeCell ref="E59:G59"/>
    <mergeCell ref="E60:G60"/>
    <mergeCell ref="E61:G61"/>
    <mergeCell ref="E62:G62"/>
    <mergeCell ref="E63:G63"/>
    <mergeCell ref="B61:D61"/>
    <mergeCell ref="B62:D62"/>
    <mergeCell ref="B63:D63"/>
    <mergeCell ref="B64:D64"/>
    <mergeCell ref="B65:D65"/>
    <mergeCell ref="B66:D66"/>
    <mergeCell ref="B56:D56"/>
    <mergeCell ref="E68:G68"/>
    <mergeCell ref="H56:J56"/>
    <mergeCell ref="H57:J57"/>
    <mergeCell ref="H58:J58"/>
    <mergeCell ref="H59:J59"/>
    <mergeCell ref="H60:J60"/>
    <mergeCell ref="H68:J68"/>
    <mergeCell ref="H64:J64"/>
    <mergeCell ref="H65:J65"/>
    <mergeCell ref="H66:J66"/>
    <mergeCell ref="K56:M56"/>
    <mergeCell ref="K57:M57"/>
    <mergeCell ref="K58:M58"/>
    <mergeCell ref="K59:M59"/>
    <mergeCell ref="K60:M60"/>
    <mergeCell ref="B60:D60"/>
    <mergeCell ref="K64:M64"/>
    <mergeCell ref="K65:M65"/>
    <mergeCell ref="K61:M61"/>
    <mergeCell ref="K62:M62"/>
    <mergeCell ref="K63:M63"/>
    <mergeCell ref="H61:J61"/>
    <mergeCell ref="H62:J62"/>
    <mergeCell ref="H63:J63"/>
    <mergeCell ref="K66:M66"/>
    <mergeCell ref="K67:M67"/>
    <mergeCell ref="K68:M68"/>
    <mergeCell ref="B55:D55"/>
    <mergeCell ref="E55:G55"/>
    <mergeCell ref="H55:J55"/>
    <mergeCell ref="K55:M55"/>
    <mergeCell ref="H67:J67"/>
    <mergeCell ref="E64:G64"/>
    <mergeCell ref="E65:G65"/>
    <mergeCell ref="E66:G66"/>
    <mergeCell ref="E67:G67"/>
    <mergeCell ref="B67:D67"/>
    <mergeCell ref="B57:D57"/>
    <mergeCell ref="B58:D58"/>
    <mergeCell ref="B59:D59"/>
  </mergeCells>
  <pageMargins left="0.7" right="0.7" top="0.75" bottom="0.75" header="0.3" footer="0.3"/>
  <pageSetup paperSize="9" scale="35" orientation="landscape" horizontalDpi="4294967293" verticalDpi="4294967293" r:id="rId1"/>
  <rowBreaks count="1" manualBreakCount="1">
    <brk id="39" max="21"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1048576"/>
  <sheetViews>
    <sheetView zoomScale="80" zoomScaleNormal="80" workbookViewId="0">
      <selection activeCell="A197" sqref="A197"/>
    </sheetView>
  </sheetViews>
  <sheetFormatPr defaultRowHeight="12.75"/>
  <cols>
    <col min="1" max="1" width="33.7109375" customWidth="1"/>
    <col min="2" max="2" width="27.28515625" customWidth="1"/>
    <col min="3" max="3" width="7" customWidth="1"/>
    <col min="4" max="4" width="27.42578125" customWidth="1"/>
    <col min="5" max="5" width="7.7109375" customWidth="1"/>
    <col min="6" max="6" width="31.28515625" customWidth="1"/>
    <col min="7" max="7" width="6.85546875" customWidth="1"/>
    <col min="8" max="8" width="20.85546875" customWidth="1"/>
    <col min="9" max="9" width="6" customWidth="1"/>
    <col min="10" max="10" width="25.85546875" customWidth="1"/>
    <col min="11" max="11" width="7.140625" customWidth="1"/>
    <col min="12" max="12" width="25.42578125" customWidth="1"/>
    <col min="13" max="13" width="22.28515625" customWidth="1"/>
    <col min="15" max="15" width="12.28515625" customWidth="1"/>
    <col min="16" max="16" width="13" customWidth="1"/>
    <col min="17" max="17" width="15.5703125" customWidth="1"/>
  </cols>
  <sheetData>
    <row r="1" spans="1:18" ht="12.75" customHeight="1"/>
    <row r="2" spans="1:18" ht="20.25" hidden="1">
      <c r="A2" s="1229" t="str">
        <f>IF(Lähtötiedot!B1&lt;&gt;"",Lähtötiedot!A1&amp;" :  "&amp;Lähtötiedot!B1&amp;" "&amp;Lähtötiedot!A2&amp;"  : "&amp;Lähtötiedot!B2&amp;" "&amp;Lähtötiedot!A3&amp;" "&amp;Lähtötiedot!B3,Lähtötiedot!A3&amp;" "&amp;Lähtötiedot!B3)</f>
        <v>Yrityksen nimi :  Nimi Tekijän nimi  :  Laskelmaversio 1</v>
      </c>
      <c r="P2" s="2794" t="s">
        <v>893</v>
      </c>
      <c r="Q2" s="2795"/>
      <c r="R2" s="2796"/>
    </row>
    <row r="3" spans="1:18" ht="27.75" hidden="1">
      <c r="A3" s="2799" t="s">
        <v>946</v>
      </c>
      <c r="B3" s="2799"/>
      <c r="C3" s="2799"/>
      <c r="D3" s="2799"/>
      <c r="E3" s="2799"/>
      <c r="F3" s="2799"/>
      <c r="G3" s="2799"/>
      <c r="H3" s="2799"/>
      <c r="I3" s="2799"/>
      <c r="J3" s="2799"/>
      <c r="K3" s="2799"/>
      <c r="L3" s="2799"/>
      <c r="P3" s="521"/>
      <c r="Q3" s="521"/>
      <c r="R3" s="521"/>
    </row>
    <row r="4" spans="1:18" ht="18.75" hidden="1" customHeight="1" thickBot="1">
      <c r="A4" s="3" t="s">
        <v>947</v>
      </c>
      <c r="B4" s="2800" t="s">
        <v>948</v>
      </c>
      <c r="C4" s="2800"/>
      <c r="D4" s="2800"/>
      <c r="E4" s="1999"/>
      <c r="F4" s="2738" t="s">
        <v>949</v>
      </c>
      <c r="G4" s="1991"/>
      <c r="H4" s="521"/>
      <c r="I4" s="521"/>
      <c r="J4" s="689" t="s">
        <v>235</v>
      </c>
      <c r="K4" s="689"/>
      <c r="O4" s="893">
        <f>Lähtötiedot!F5</f>
        <v>0.255</v>
      </c>
      <c r="P4" s="894">
        <f>Lähtötiedot!F6</f>
        <v>0.14000000000000001</v>
      </c>
      <c r="Q4" s="895">
        <f>Lähtötiedot!F7</f>
        <v>0.1</v>
      </c>
    </row>
    <row r="5" spans="1:18" ht="13.5" hidden="1" thickBot="1">
      <c r="A5" s="521" t="s">
        <v>950</v>
      </c>
      <c r="B5" s="1999" t="s">
        <v>951</v>
      </c>
      <c r="C5" s="1999"/>
      <c r="D5" s="1999"/>
      <c r="E5" s="1999"/>
      <c r="F5" s="2798"/>
      <c r="G5" s="1991"/>
      <c r="H5" s="521"/>
      <c r="I5" s="521"/>
      <c r="J5" s="3"/>
      <c r="K5" s="3"/>
      <c r="L5" s="3"/>
      <c r="M5" s="521" t="s">
        <v>952</v>
      </c>
    </row>
    <row r="6" spans="1:18" hidden="1">
      <c r="A6" s="889" t="str">
        <f>LaskeKasvi1!D7*LaskeKasvi1!E4&amp;" "&amp;LaskeKasvi1!C7</f>
        <v>0 kg</v>
      </c>
      <c r="B6" s="1132" t="str">
        <f>"Hävikki "&amp; LaskeKasvi1!D7*LaskeKasvi1!E4*F6&amp;" "&amp;LaskeKasvi1!C7</f>
        <v>Hävikki 0 kg</v>
      </c>
      <c r="C6" s="1416"/>
      <c r="D6" t="str">
        <f>LaskeKasvi1!B2</f>
        <v>LaskeKasvi1</v>
      </c>
      <c r="F6" s="1129">
        <v>0.01</v>
      </c>
      <c r="G6" s="1129"/>
      <c r="H6" s="1130">
        <v>1</v>
      </c>
      <c r="I6" s="789"/>
      <c r="J6" s="10">
        <f>IF((H6-F6)&lt;0,0,SUM(LaskeKasvi1!H7,LaskeKasvi1!$H$15:$H$17)*(H6-F6))</f>
        <v>0</v>
      </c>
      <c r="K6" s="10"/>
      <c r="L6" s="26" t="str">
        <f t="shared" ref="L6:L11" si="0">IFERROR(J6/$J$33,"")</f>
        <v/>
      </c>
      <c r="M6" s="164">
        <f>LaskeKasvi1!E4</f>
        <v>0</v>
      </c>
      <c r="O6" s="1077">
        <f t="shared" ref="O6:O11" si="1">$P$4</f>
        <v>0.14000000000000001</v>
      </c>
      <c r="P6" s="691">
        <f t="shared" ref="P6:P11" si="2">J6*O6</f>
        <v>0</v>
      </c>
    </row>
    <row r="7" spans="1:18" hidden="1">
      <c r="A7" s="890" t="str">
        <f>LaskeKasvi2!D7*LaskeKasvi2!E4&amp;" "&amp;LaskeKasvi2!C7</f>
        <v>0 kg</v>
      </c>
      <c r="B7" s="890" t="str">
        <f>LaskeKasvi2!D7*LaskeKasvi2!E4*F7&amp;" "&amp;LaskeKasvi2!C7</f>
        <v>0 kg</v>
      </c>
      <c r="C7" s="1417"/>
      <c r="D7" t="str">
        <f>LaskeKasvi2!B2</f>
        <v>LaskeKasvi 2</v>
      </c>
      <c r="F7" s="1129">
        <v>0.01</v>
      </c>
      <c r="G7" s="1426"/>
      <c r="H7" s="1128">
        <v>1</v>
      </c>
      <c r="I7" s="789"/>
      <c r="J7" s="10">
        <f>IF((H7-F7)&lt;0,0,SUM(LaskeKasvi2!$H$7,LaskeKasvi2!$H$15:$H$17)*(H7-F7))</f>
        <v>0</v>
      </c>
      <c r="K7" s="10"/>
      <c r="L7" s="26" t="str">
        <f t="shared" si="0"/>
        <v/>
      </c>
      <c r="M7" s="164">
        <f>LaskeKasvi2!E4</f>
        <v>0</v>
      </c>
      <c r="O7" s="1077">
        <f t="shared" si="1"/>
        <v>0.14000000000000001</v>
      </c>
      <c r="P7" s="691">
        <f t="shared" si="2"/>
        <v>0</v>
      </c>
    </row>
    <row r="8" spans="1:18" hidden="1">
      <c r="A8" s="890" t="str">
        <f>LaskeSäilörehu!D8*LaskeSäilörehu!E4&amp;" kg KA"</f>
        <v>0 kg KA</v>
      </c>
      <c r="B8" s="890" t="str">
        <f>LaskeSäilörehu!D8*LaskeSäilörehu!E4*F8&amp;" kg KA"</f>
        <v>0 kg KA</v>
      </c>
      <c r="C8" s="1417"/>
      <c r="D8" t="str">
        <f>LaskeSäilörehu!B2</f>
        <v>LaskeSäilörehu</v>
      </c>
      <c r="F8" s="1129">
        <v>0.01</v>
      </c>
      <c r="G8" s="1426"/>
      <c r="H8" s="1128">
        <v>1</v>
      </c>
      <c r="I8" s="789"/>
      <c r="J8" s="10">
        <f>IF((H8-F8)&lt;0,0,SUM(LaskeSäilörehu!$H$8,LaskeSäilörehu!$H$17:$H$19)*(H8-F8))</f>
        <v>0</v>
      </c>
      <c r="K8" s="10"/>
      <c r="L8" s="26" t="str">
        <f t="shared" si="0"/>
        <v/>
      </c>
      <c r="M8" s="164">
        <f>LaskeSäilörehu!E4</f>
        <v>0</v>
      </c>
      <c r="O8" s="1077">
        <f t="shared" si="1"/>
        <v>0.14000000000000001</v>
      </c>
      <c r="P8" s="691">
        <f t="shared" si="2"/>
        <v>0</v>
      </c>
    </row>
    <row r="9" spans="1:18" hidden="1">
      <c r="A9" s="890" t="str">
        <f>LaskeKasvi4!D7*LaskeKasvi4!E4&amp;" "&amp;LaskeKasvi4!C7</f>
        <v>0 kg</v>
      </c>
      <c r="B9" s="890" t="str">
        <f>LaskeKasvi4!D7*LaskeKasvi4!E4*F9&amp;" "&amp;LaskeKasvi4!C7</f>
        <v>0 kg</v>
      </c>
      <c r="C9" s="1417"/>
      <c r="D9" t="str">
        <f>LaskeKasvi4!B2</f>
        <v>LaskeKasvi 4 - Piilossa, aktivoi (hiiren oikea, näytä)</v>
      </c>
      <c r="F9" s="1129">
        <v>0.01</v>
      </c>
      <c r="G9" s="1426"/>
      <c r="H9" s="1128">
        <v>1</v>
      </c>
      <c r="I9" s="789"/>
      <c r="J9" s="10">
        <f>IF((H9-F9)&lt;0,0,SUM(LaskeKasvi4!$H$7,LaskeKasvi4!$H$15:$H$17)*(H9-F9))</f>
        <v>0</v>
      </c>
      <c r="K9" s="10"/>
      <c r="L9" s="26" t="str">
        <f t="shared" si="0"/>
        <v/>
      </c>
      <c r="M9" s="164">
        <f>LaskeKasvi4!E4</f>
        <v>0</v>
      </c>
      <c r="O9" s="1077">
        <f t="shared" si="1"/>
        <v>0.14000000000000001</v>
      </c>
      <c r="P9" s="691">
        <f t="shared" si="2"/>
        <v>0</v>
      </c>
    </row>
    <row r="10" spans="1:18" hidden="1">
      <c r="A10" s="900">
        <f>LaskeKasvi5!D7*LaskeKasvi5!E4</f>
        <v>0</v>
      </c>
      <c r="B10" s="900">
        <f>LaskeKasvi5!D7*LaskeKasvi5!E4*F10</f>
        <v>0</v>
      </c>
      <c r="C10" s="1418"/>
      <c r="D10" t="str">
        <f>LaskeKasvi5!B2</f>
        <v>LaskeKasvi 5 - Piilossa, aktivoi (hiiren oikea, näytä)</v>
      </c>
      <c r="F10" s="1129">
        <v>0.01</v>
      </c>
      <c r="G10" s="1426"/>
      <c r="H10" s="1128">
        <v>1</v>
      </c>
      <c r="I10" s="789"/>
      <c r="J10" s="10">
        <f>IF((H10-F10)&lt;0,0,SUM(LaskeKasvi5!$H$7,LaskeKasvi5!$H$15:$H$17)*(H10-F10))</f>
        <v>0</v>
      </c>
      <c r="K10" s="10"/>
      <c r="L10" s="26" t="str">
        <f t="shared" si="0"/>
        <v/>
      </c>
      <c r="M10" s="164">
        <f>LaskeKasvi5!E4</f>
        <v>0</v>
      </c>
      <c r="O10" s="1077">
        <f t="shared" si="1"/>
        <v>0.14000000000000001</v>
      </c>
      <c r="P10" s="691">
        <f t="shared" si="2"/>
        <v>0</v>
      </c>
    </row>
    <row r="11" spans="1:18" hidden="1">
      <c r="A11" s="900">
        <f>LaskeKasvihuoneenkasvi!D7</f>
        <v>0</v>
      </c>
      <c r="B11" s="900">
        <f>LaskeKasvihuoneenkasvi!E7*F11</f>
        <v>0</v>
      </c>
      <c r="C11" s="1418"/>
      <c r="D11" t="str">
        <f>LaskeKasvihuoneenkasvi!B2</f>
        <v>Kasvihuone (puutarhatilat) - Piilossa, aktivoi</v>
      </c>
      <c r="F11" s="1129">
        <v>0.01</v>
      </c>
      <c r="G11" s="1426"/>
      <c r="H11" s="1128">
        <v>1</v>
      </c>
      <c r="I11" s="789"/>
      <c r="J11" s="10">
        <f>IF((H11-F11)&lt;0,0,SUM(LaskeKasvihuoneenkasvi!$H$7,LaskeKasvihuoneenkasvi!$H$15:$H$17)*(H11-F11))</f>
        <v>0</v>
      </c>
      <c r="K11" s="10"/>
      <c r="L11" s="26" t="str">
        <f t="shared" si="0"/>
        <v/>
      </c>
      <c r="M11" s="164"/>
      <c r="O11" s="1077">
        <f t="shared" si="1"/>
        <v>0.14000000000000001</v>
      </c>
      <c r="P11" s="691">
        <f t="shared" si="2"/>
        <v>0</v>
      </c>
    </row>
    <row r="12" spans="1:18" hidden="1">
      <c r="A12" s="888"/>
      <c r="B12" s="1133"/>
      <c r="J12" s="10"/>
      <c r="K12" s="10"/>
      <c r="L12" s="654" t="s">
        <v>953</v>
      </c>
      <c r="M12" s="242">
        <f>SUM(M6:M10)</f>
        <v>0</v>
      </c>
      <c r="O12" s="18"/>
      <c r="P12" s="52"/>
    </row>
    <row r="13" spans="1:18" ht="13.5" hidden="1" thickBot="1">
      <c r="A13" s="694"/>
      <c r="B13" s="1134"/>
      <c r="J13" s="10"/>
      <c r="K13" s="10"/>
      <c r="L13" s="26"/>
      <c r="O13" s="18"/>
      <c r="P13" s="52"/>
    </row>
    <row r="14" spans="1:18" hidden="1">
      <c r="A14" s="694"/>
      <c r="B14" s="3" t="s">
        <v>954</v>
      </c>
      <c r="C14" s="3"/>
      <c r="H14" s="37">
        <v>1</v>
      </c>
      <c r="I14" s="789"/>
      <c r="J14" s="10">
        <f>SUM(LaskeKasvi1!H8:H14,LaskeKasvi2!H8:H14,LaskeSäilörehu!H10:H16,LaskeKasvi4!H8:H14,LaskeKasvi5!H8:H14,LaskeKasvihuoneenkasvi!H8:H14)*H14</f>
        <v>0</v>
      </c>
      <c r="K14" s="10"/>
      <c r="L14" s="26" t="str">
        <f>IFERROR(J14/$J$33,"")</f>
        <v/>
      </c>
      <c r="O14" s="18"/>
      <c r="P14" s="52"/>
    </row>
    <row r="15" spans="1:18" hidden="1">
      <c r="A15" s="694"/>
      <c r="B15" s="3" t="s">
        <v>955</v>
      </c>
      <c r="C15" s="3"/>
      <c r="J15" s="10">
        <f>SUM(J6:J14)</f>
        <v>0</v>
      </c>
      <c r="K15" s="10"/>
      <c r="L15" s="26" t="str">
        <f>IFERROR(J15/$J$33,"")</f>
        <v/>
      </c>
      <c r="O15" s="18"/>
      <c r="P15" s="52"/>
    </row>
    <row r="16" spans="1:18" hidden="1">
      <c r="A16" s="694"/>
      <c r="B16" s="3"/>
      <c r="C16" s="3"/>
      <c r="L16" s="26"/>
      <c r="O16" s="18"/>
      <c r="P16" s="52"/>
    </row>
    <row r="17" spans="1:16" ht="13.5" hidden="1" thickBot="1">
      <c r="A17" s="692"/>
      <c r="B17" s="3" t="s">
        <v>956</v>
      </c>
      <c r="C17" s="3"/>
      <c r="L17" s="26"/>
      <c r="O17" s="18"/>
      <c r="P17" s="52"/>
    </row>
    <row r="18" spans="1:16" ht="13.5" hidden="1" thickBot="1">
      <c r="A18" s="690" t="str">
        <f>LaskeMaito1!D7*LaskeMaito1!E4&amp;" "&amp;LaskeMaito1!C7</f>
        <v>0 l</v>
      </c>
      <c r="B18" t="str">
        <f>"Hävikki "&amp;LaskeMaito1!D7*LaskeMaito1!E4*TulosTASE!F18&amp;" litraa"</f>
        <v>Hävikki 0 litraa</v>
      </c>
      <c r="D18" s="52" t="str">
        <f>LaskeMaito1!B2</f>
        <v>Maito (LaskeMaito1)</v>
      </c>
      <c r="E18" s="52"/>
      <c r="F18" s="1129">
        <v>0.01</v>
      </c>
      <c r="G18" s="1129"/>
      <c r="H18" s="1130">
        <v>1</v>
      </c>
      <c r="I18" s="789"/>
      <c r="J18" s="10">
        <f>IF((H18-F18)&lt;0,0,SUM(LaskeMaito1!H7,LaskeMaito1!H13:H17)*(H18-F18))</f>
        <v>0</v>
      </c>
      <c r="K18" s="10"/>
      <c r="L18" s="26" t="str">
        <f t="shared" ref="L18:L23" si="3">IFERROR(J18/$J$33,"")</f>
        <v/>
      </c>
      <c r="O18" s="1077">
        <f t="shared" ref="O18:O23" si="4">$P$4</f>
        <v>0.14000000000000001</v>
      </c>
      <c r="P18" s="691">
        <f t="shared" ref="P18:P23" si="5">J18*O18</f>
        <v>0</v>
      </c>
    </row>
    <row r="19" spans="1:16" ht="13.5" hidden="1" thickBot="1">
      <c r="A19" s="690" t="str">
        <f>'LaskeMaito 2'!D7*'LaskeMaito 2'!E4&amp;" "&amp;'LaskeMaito 2'!C7</f>
        <v>0 litraa</v>
      </c>
      <c r="B19" t="str">
        <f>"Hävikki "&amp;'LaskeMaito 2'!D7*'LaskeMaito 2'!E4*TulosTASE!F19&amp;" litraa"</f>
        <v>Hävikki 0 litraa</v>
      </c>
      <c r="D19" s="52" t="str">
        <f>'LaskeMaito 2'!B2</f>
        <v>LaskeMaito2 laskelma 2. Piilossa, aktivoi</v>
      </c>
      <c r="E19" s="52"/>
      <c r="F19" s="1129">
        <v>0.01</v>
      </c>
      <c r="G19" s="1129"/>
      <c r="H19" s="1130">
        <v>1</v>
      </c>
      <c r="I19" s="789"/>
      <c r="J19" s="10">
        <f>IF((H19-F19)&lt;0,0,SUM('LaskeMaito 2'!H7,'LaskeMaito 2'!H13:H17)*(H19-F19))</f>
        <v>0</v>
      </c>
      <c r="K19" s="10"/>
      <c r="L19" s="26" t="str">
        <f t="shared" si="3"/>
        <v/>
      </c>
      <c r="O19" s="1077">
        <f t="shared" si="4"/>
        <v>0.14000000000000001</v>
      </c>
      <c r="P19" s="691">
        <f t="shared" si="5"/>
        <v>0</v>
      </c>
    </row>
    <row r="20" spans="1:16" ht="13.5" hidden="1" thickBot="1">
      <c r="A20" s="690" t="str">
        <f>'LaskeMaito 3'!D7*'LaskeMaito 3'!E4&amp;" "&amp;'LaskeMaito 3'!C7</f>
        <v>0 litraa</v>
      </c>
      <c r="B20" t="str">
        <f>"Hävikki "&amp;'LaskeMaito 3'!D7*'LaskeMaito 3'!E4*TulosTASE!F20&amp;" litraa"</f>
        <v>Hävikki 0 litraa</v>
      </c>
      <c r="D20" s="52" t="str">
        <f>'LaskeMaito 3'!B2</f>
        <v>LaskeMaito3 laskelma 3. Piilossa, aktivoi</v>
      </c>
      <c r="E20" s="52"/>
      <c r="F20" s="1129">
        <v>0.01</v>
      </c>
      <c r="G20" s="1129"/>
      <c r="H20" s="1130">
        <v>1</v>
      </c>
      <c r="I20" s="789"/>
      <c r="J20" s="10">
        <f>IF((H20-F20)&lt;0,0,SUM('LaskeMaito 3'!H7,'LaskeMaito 3'!H13:H17)*(H20-F20))</f>
        <v>0</v>
      </c>
      <c r="K20" s="10"/>
      <c r="L20" s="26" t="str">
        <f t="shared" si="3"/>
        <v/>
      </c>
      <c r="O20" s="1077">
        <f t="shared" si="4"/>
        <v>0.14000000000000001</v>
      </c>
      <c r="P20" s="691">
        <f t="shared" si="5"/>
        <v>0</v>
      </c>
    </row>
    <row r="21" spans="1:16" hidden="1">
      <c r="A21" s="690" t="str">
        <f>'LaskeMaito special'!R8&amp;" "&amp;'LaskeMaito special'!S8</f>
        <v>0 kg</v>
      </c>
      <c r="B21" t="str">
        <f>"Hävikki "&amp;'LaskeMaito special'!R8*TulosTASE!F21&amp;" litraa"</f>
        <v>Hävikki 0 litraa</v>
      </c>
      <c r="D21" s="52" t="str">
        <f>Lähtötiedot!A42</f>
        <v>Laske Maito special  -Suurtilalle (ota tarvittaessa käyttöön, piilotettu)</v>
      </c>
      <c r="E21" s="52"/>
      <c r="F21" s="1129">
        <v>0.01</v>
      </c>
      <c r="G21" s="1129"/>
      <c r="H21" s="1130">
        <v>1</v>
      </c>
      <c r="I21" s="789"/>
      <c r="J21" s="10">
        <f>IF(AND('LaskeMaito special'!$H$2="kyllä",'LaskeMaito special'!$E$4&gt;0),IF((H21-F21)&lt;0,0,SUM('LaskeMaito special'!P8,'LaskeMaito special'!P14:P18)*(H21-F21)),0)</f>
        <v>0</v>
      </c>
      <c r="K21" s="10"/>
      <c r="L21" s="26" t="str">
        <f t="shared" si="3"/>
        <v/>
      </c>
      <c r="O21" s="1077">
        <f t="shared" si="4"/>
        <v>0.14000000000000001</v>
      </c>
      <c r="P21" s="691">
        <f t="shared" si="5"/>
        <v>0</v>
      </c>
    </row>
    <row r="22" spans="1:16" hidden="1">
      <c r="A22" s="692" t="str">
        <f>LaskeLiha!D7*LaskeLiha!E4&amp;" "&amp;LaskeLiha!C7</f>
        <v>0 kg</v>
      </c>
      <c r="D22" s="52" t="str">
        <f>LaskeLiha!B2</f>
        <v>Laske Liha</v>
      </c>
      <c r="E22" s="52"/>
      <c r="F22" t="s">
        <v>974</v>
      </c>
      <c r="H22" s="831">
        <f>SUM(LaskeLiha!H7,LaskeLiha!H13:H17)</f>
        <v>0</v>
      </c>
      <c r="I22" s="831"/>
      <c r="J22" s="15">
        <f>(H22/LaskeLiha!E5)*M22</f>
        <v>0</v>
      </c>
      <c r="K22" s="15"/>
      <c r="L22" s="26" t="str">
        <f t="shared" si="3"/>
        <v/>
      </c>
      <c r="M22" s="8">
        <v>12</v>
      </c>
      <c r="N22" t="s">
        <v>957</v>
      </c>
      <c r="O22" s="1077">
        <f t="shared" si="4"/>
        <v>0.14000000000000001</v>
      </c>
      <c r="P22" s="691">
        <f t="shared" si="5"/>
        <v>0</v>
      </c>
    </row>
    <row r="23" spans="1:16" ht="13.5" hidden="1" thickBot="1">
      <c r="A23" s="693" t="str">
        <f>(Laskeliha2!D7+Laskeliha2!D8)*Laskeliha2!E4&amp;" "&amp;Laskeliha2!C7</f>
        <v>0 kg</v>
      </c>
      <c r="D23" s="52" t="str">
        <f>Laskeliha2!B2</f>
        <v>Laske Liha 2  - Piilossa, aktivoi (hiiren oikea, näytä)</v>
      </c>
      <c r="E23" s="52"/>
      <c r="F23" t="s">
        <v>974</v>
      </c>
      <c r="H23" s="832">
        <f>SUM(Laskeliha2!H7:'Laskeliha2'!H8,Laskeliha2!H14:H18)</f>
        <v>0</v>
      </c>
      <c r="I23" s="832"/>
      <c r="J23" s="15">
        <f>(H23/Laskeliha2!E5)*M23</f>
        <v>0</v>
      </c>
      <c r="K23" s="15"/>
      <c r="L23" s="26" t="str">
        <f t="shared" si="3"/>
        <v/>
      </c>
      <c r="M23" s="8">
        <v>12</v>
      </c>
      <c r="N23" t="s">
        <v>957</v>
      </c>
      <c r="O23" s="1077">
        <f t="shared" si="4"/>
        <v>0.14000000000000001</v>
      </c>
      <c r="P23" s="691">
        <f t="shared" si="5"/>
        <v>0</v>
      </c>
    </row>
    <row r="24" spans="1:16" hidden="1">
      <c r="J24" s="10"/>
      <c r="K24" s="10"/>
      <c r="L24" s="26"/>
      <c r="O24" s="18"/>
      <c r="P24" s="52"/>
    </row>
    <row r="25" spans="1:16" hidden="1">
      <c r="B25" s="3" t="s">
        <v>958</v>
      </c>
      <c r="C25" s="3"/>
      <c r="D25" t="s">
        <v>959</v>
      </c>
      <c r="H25" s="37">
        <v>1</v>
      </c>
      <c r="I25" s="789"/>
      <c r="J25" s="10">
        <f>(SUM(LaskeMaito1!H8:H12)+SUM('LaskeMaito 2'!H8:H12)+SUM('LaskeMaito 3'!H8:H12)+IF(AND('LaskeMaito special'!$H$2="kyllä",'LaskeMaito special'!$E$4&gt;0),SUM('LaskeMaito special'!P9:P13),0)+((LaskeLiha!H8+LaskeLiha!H9+LaskeLiha!H10+LaskeLiha!H11+LaskeLiha!H12)/LaskeLiha!E5*M25)+(SUM(Laskeliha2!H9:H13)/Laskeliha2!E5*TulosTASE!M25))*H25</f>
        <v>0</v>
      </c>
      <c r="K25" s="10"/>
      <c r="L25" s="26" t="str">
        <f>IFERROR(J25/$J$33,"")</f>
        <v/>
      </c>
      <c r="M25" s="8">
        <v>12</v>
      </c>
      <c r="N25" t="s">
        <v>957</v>
      </c>
      <c r="O25" s="1097"/>
      <c r="P25" s="52"/>
    </row>
    <row r="26" spans="1:16" hidden="1">
      <c r="B26" s="3" t="s">
        <v>960</v>
      </c>
      <c r="C26" s="3"/>
      <c r="J26" s="10">
        <f>SUM(J18:J25)</f>
        <v>0</v>
      </c>
      <c r="K26" s="10"/>
      <c r="L26" s="26" t="str">
        <f>IFERROR(J26/$J$33,"")</f>
        <v/>
      </c>
      <c r="O26" s="18"/>
      <c r="P26" s="52"/>
    </row>
    <row r="27" spans="1:16" hidden="1">
      <c r="B27" s="3"/>
      <c r="C27" s="3"/>
      <c r="J27" s="10"/>
      <c r="K27" s="10"/>
      <c r="L27" s="26"/>
      <c r="O27" s="1098"/>
      <c r="P27" s="52"/>
    </row>
    <row r="28" spans="1:16" ht="18.75" hidden="1" customHeight="1">
      <c r="A28" s="4">
        <f>LaskeKoneurakointi!D15</f>
        <v>0</v>
      </c>
      <c r="B28" s="3" t="s">
        <v>961</v>
      </c>
      <c r="C28" s="3"/>
      <c r="H28" s="37">
        <v>1</v>
      </c>
      <c r="I28" s="789"/>
      <c r="J28" s="10">
        <f>IF(LaskeKoneurakointi!F2="kyllä",LaskeKoneurakointi!H15,0)</f>
        <v>0</v>
      </c>
      <c r="K28" s="10"/>
      <c r="L28" s="26" t="str">
        <f>IFERROR(J28/$J$33,"")</f>
        <v/>
      </c>
      <c r="M28" s="2797"/>
      <c r="N28" s="2797"/>
      <c r="O28" s="1102">
        <f>$O$4</f>
        <v>0.255</v>
      </c>
      <c r="P28" s="691">
        <f>J28*O28</f>
        <v>0</v>
      </c>
    </row>
    <row r="29" spans="1:16" ht="16.5" hidden="1" customHeight="1">
      <c r="A29" s="4"/>
      <c r="B29" s="3" t="s">
        <v>28</v>
      </c>
      <c r="C29" s="3"/>
      <c r="D29" t="str">
        <f>'Hinnoittele jatkojalostus'!J1</f>
        <v>Hinnoittelu esim. torimyyntiin (muuta tämä teksti halumaksesi).</v>
      </c>
      <c r="H29" s="37">
        <v>1</v>
      </c>
      <c r="I29" s="789"/>
      <c r="J29" s="10">
        <f>IF('Hinnoittele jatkojalostus'!$J$2="kyllä",'Hinnoittele jatkojalostus'!F57*H29,0)</f>
        <v>0</v>
      </c>
      <c r="K29" s="10"/>
      <c r="L29" s="26" t="str">
        <f>IFERROR(J29/$J$33,"")</f>
        <v/>
      </c>
      <c r="M29" s="1003"/>
      <c r="N29" s="1003"/>
      <c r="O29" s="1098"/>
      <c r="P29" s="691"/>
    </row>
    <row r="30" spans="1:16" ht="16.5" hidden="1" customHeight="1">
      <c r="A30" s="4" t="str">
        <f>SUM(Metsä!D7:D11)&amp;" m3"</f>
        <v>0 m3</v>
      </c>
      <c r="B30" s="186" t="str">
        <f>Metsä!B2</f>
        <v>Metsä  - Piilossa, aktivoi (hiiren oikea, näytä)</v>
      </c>
      <c r="C30" s="186"/>
      <c r="H30" s="37">
        <v>1</v>
      </c>
      <c r="I30" s="789"/>
      <c r="J30" s="10">
        <f>H30*Metsä!H18</f>
        <v>0</v>
      </c>
      <c r="K30" s="10"/>
      <c r="L30" s="26" t="str">
        <f>IFERROR(J30/$J$33,"")</f>
        <v/>
      </c>
      <c r="M30" s="1003"/>
      <c r="N30" s="1003"/>
      <c r="O30" s="1102">
        <f>$O$4</f>
        <v>0.255</v>
      </c>
      <c r="P30" s="691">
        <f>J30*O30</f>
        <v>0</v>
      </c>
    </row>
    <row r="31" spans="1:16" ht="16.5" hidden="1" customHeight="1">
      <c r="A31" s="4"/>
      <c r="B31" s="186" t="s">
        <v>962</v>
      </c>
      <c r="C31" s="186"/>
      <c r="D31" s="59" t="str">
        <f>'EVL yrityksen 1 katelaskenta'!B2</f>
        <v>x</v>
      </c>
      <c r="E31" s="59"/>
      <c r="H31" s="37">
        <v>1</v>
      </c>
      <c r="I31" s="789"/>
      <c r="J31" s="10">
        <f>IF('EVL yrityksen 1 katelaskenta'!$F$2="kyllä",H31*'EVL yrityksen 1 katelaskenta'!H15,0)</f>
        <v>0</v>
      </c>
      <c r="K31" s="10"/>
      <c r="L31" s="26" t="str">
        <f>IFERROR(J31/$J$33,"")</f>
        <v/>
      </c>
      <c r="M31" s="2797" t="str">
        <f>"EVL "&amp;'EVL yrityksen 1 katelaskenta'!F2</f>
        <v>EVL KYLLÄ</v>
      </c>
      <c r="N31" s="2797"/>
      <c r="O31" s="1102">
        <f>$O$4</f>
        <v>0.255</v>
      </c>
      <c r="P31" s="691">
        <f>J31*O31</f>
        <v>0</v>
      </c>
    </row>
    <row r="32" spans="1:16" ht="16.5" hidden="1" customHeight="1" thickBot="1">
      <c r="A32" s="4"/>
      <c r="B32" s="186" t="s">
        <v>963</v>
      </c>
      <c r="C32" s="186"/>
      <c r="D32" s="59" t="str">
        <f>'EVL yrityksen 2 katelaskenta'!B2</f>
        <v>Muu EVL</v>
      </c>
      <c r="E32" s="59"/>
      <c r="H32" s="37">
        <v>1</v>
      </c>
      <c r="I32" s="789"/>
      <c r="J32" s="10">
        <f>IF('EVL yrityksen 2 katelaskenta'!F2="kyllä",H32*'EVL yrityksen 2 katelaskenta'!H15,0)</f>
        <v>0</v>
      </c>
      <c r="K32" s="10"/>
      <c r="L32" s="26" t="str">
        <f>IFERROR(J32/$J$33,"")</f>
        <v/>
      </c>
      <c r="M32" s="2797" t="str">
        <f>"EVL "&amp;'EVL yrityksen 2 katelaskenta'!F2</f>
        <v>EVL KYLLÄ</v>
      </c>
      <c r="N32" s="2797"/>
      <c r="O32" s="1102">
        <f>$O$4</f>
        <v>0.255</v>
      </c>
      <c r="P32" s="691">
        <f>J32*O32</f>
        <v>0</v>
      </c>
    </row>
    <row r="33" spans="1:17" ht="18.75" hidden="1" thickBot="1">
      <c r="B33" s="655" t="s">
        <v>964</v>
      </c>
      <c r="C33" s="655"/>
      <c r="D33" s="656"/>
      <c r="E33" s="656"/>
      <c r="F33" s="656"/>
      <c r="G33" s="656"/>
      <c r="H33" s="656"/>
      <c r="I33" s="656"/>
      <c r="J33" s="1071">
        <f>SUM(J15,J26,J28,J29,J30,J31,J32)</f>
        <v>0</v>
      </c>
      <c r="K33" s="1436"/>
      <c r="L33" s="26">
        <f>SUM(L6:L11,L14,L18:L23,L25,L28,L29,L30,L31,L32)</f>
        <v>0</v>
      </c>
      <c r="O33" s="18"/>
      <c r="P33" s="822">
        <f>SUM(P6:P32)</f>
        <v>0</v>
      </c>
      <c r="Q33" t="s">
        <v>965</v>
      </c>
    </row>
    <row r="34" spans="1:17" hidden="1">
      <c r="B34" s="655"/>
      <c r="C34" s="655"/>
      <c r="D34" s="656"/>
      <c r="E34" s="656"/>
      <c r="F34" s="656"/>
      <c r="G34" s="656"/>
      <c r="H34" s="656"/>
      <c r="I34" s="656"/>
      <c r="J34" s="657"/>
      <c r="K34" s="657"/>
      <c r="L34" s="658"/>
      <c r="O34" s="18"/>
      <c r="P34" s="52"/>
    </row>
    <row r="35" spans="1:17" hidden="1">
      <c r="A35" s="3" t="s">
        <v>966</v>
      </c>
      <c r="J35" s="10"/>
      <c r="K35" s="10"/>
      <c r="O35" s="18"/>
      <c r="P35" s="52"/>
    </row>
    <row r="36" spans="1:17" hidden="1">
      <c r="B36" s="3" t="s">
        <v>967</v>
      </c>
      <c r="C36" s="3"/>
      <c r="D36" s="3"/>
      <c r="E36" s="3"/>
      <c r="J36" s="10"/>
      <c r="K36" s="10"/>
      <c r="L36" s="521" t="s">
        <v>968</v>
      </c>
      <c r="O36" s="18"/>
      <c r="P36" s="52"/>
    </row>
    <row r="37" spans="1:17" hidden="1">
      <c r="D37" t="str">
        <f>D6</f>
        <v>LaskeKasvi1</v>
      </c>
      <c r="H37" s="37">
        <v>1</v>
      </c>
      <c r="I37" s="789"/>
      <c r="J37" s="10" t="e">
        <f>LaskeKasvi1!H38*H37</f>
        <v>#DIV/0!</v>
      </c>
      <c r="K37" s="10"/>
      <c r="L37" s="26" t="str">
        <f t="shared" ref="L37:L42" si="6">IFERROR(J37/$J$33,"")</f>
        <v/>
      </c>
      <c r="M37" t="s">
        <v>969</v>
      </c>
      <c r="O37" s="1102">
        <f t="shared" ref="O37:O42" si="7">$O$4</f>
        <v>0.255</v>
      </c>
      <c r="P37" s="691" t="e">
        <f t="shared" ref="P37:P42" si="8">J37*O37</f>
        <v>#DIV/0!</v>
      </c>
    </row>
    <row r="38" spans="1:17" hidden="1">
      <c r="D38" t="str">
        <f>D7</f>
        <v>LaskeKasvi 2</v>
      </c>
      <c r="H38" s="37">
        <v>1</v>
      </c>
      <c r="I38" s="789"/>
      <c r="J38" s="10" t="e">
        <f>LaskeKasvi2!H38*H38</f>
        <v>#DIV/0!</v>
      </c>
      <c r="K38" s="10"/>
      <c r="L38" s="26" t="str">
        <f t="shared" si="6"/>
        <v/>
      </c>
      <c r="M38" t="s">
        <v>970</v>
      </c>
      <c r="N38" s="10"/>
      <c r="O38" s="1102">
        <f t="shared" si="7"/>
        <v>0.255</v>
      </c>
      <c r="P38" s="691" t="e">
        <f t="shared" si="8"/>
        <v>#DIV/0!</v>
      </c>
    </row>
    <row r="39" spans="1:17" hidden="1">
      <c r="D39" t="str">
        <f>D8</f>
        <v>LaskeSäilörehu</v>
      </c>
      <c r="H39" s="37">
        <v>1</v>
      </c>
      <c r="I39" s="789"/>
      <c r="J39" s="10" t="e">
        <f>LaskeSäilörehu!H40*H39</f>
        <v>#DIV/0!</v>
      </c>
      <c r="K39" s="10"/>
      <c r="L39" s="26" t="str">
        <f t="shared" si="6"/>
        <v/>
      </c>
      <c r="M39" t="s">
        <v>970</v>
      </c>
      <c r="N39" s="10"/>
      <c r="O39" s="1102">
        <f t="shared" si="7"/>
        <v>0.255</v>
      </c>
      <c r="P39" s="691" t="e">
        <f t="shared" si="8"/>
        <v>#DIV/0!</v>
      </c>
    </row>
    <row r="40" spans="1:17" hidden="1">
      <c r="D40" t="str">
        <f>D9</f>
        <v>LaskeKasvi 4 - Piilossa, aktivoi (hiiren oikea, näytä)</v>
      </c>
      <c r="H40" s="37">
        <v>1</v>
      </c>
      <c r="I40" s="789"/>
      <c r="J40" s="10" t="e">
        <f>LaskeKasvi4!H38*H40</f>
        <v>#DIV/0!</v>
      </c>
      <c r="K40" s="10"/>
      <c r="L40" s="26" t="str">
        <f t="shared" si="6"/>
        <v/>
      </c>
      <c r="M40" t="s">
        <v>970</v>
      </c>
      <c r="N40" s="10"/>
      <c r="O40" s="1102">
        <f t="shared" si="7"/>
        <v>0.255</v>
      </c>
      <c r="P40" s="691" t="e">
        <f t="shared" si="8"/>
        <v>#DIV/0!</v>
      </c>
    </row>
    <row r="41" spans="1:17" hidden="1">
      <c r="D41" t="str">
        <f>D10</f>
        <v>LaskeKasvi 5 - Piilossa, aktivoi (hiiren oikea, näytä)</v>
      </c>
      <c r="H41" s="37">
        <v>1</v>
      </c>
      <c r="I41" s="789"/>
      <c r="J41" s="10" t="e">
        <f>LaskeKasvi5!H38*H41</f>
        <v>#DIV/0!</v>
      </c>
      <c r="K41" s="10"/>
      <c r="L41" s="26" t="str">
        <f t="shared" si="6"/>
        <v/>
      </c>
      <c r="M41" t="s">
        <v>970</v>
      </c>
      <c r="N41" s="10"/>
      <c r="O41" s="1102">
        <f t="shared" si="7"/>
        <v>0.255</v>
      </c>
      <c r="P41" s="691" t="e">
        <f t="shared" si="8"/>
        <v>#DIV/0!</v>
      </c>
    </row>
    <row r="42" spans="1:17" hidden="1">
      <c r="D42" t="str">
        <f>LaskeKasvihuoneenkasvi!B2</f>
        <v>Kasvihuone (puutarhatilat) - Piilossa, aktivoi</v>
      </c>
      <c r="H42" s="37">
        <v>1</v>
      </c>
      <c r="I42" s="789"/>
      <c r="J42" s="10" t="e">
        <f>LaskeKasvihuoneenkasvi!H38*H42</f>
        <v>#DIV/0!</v>
      </c>
      <c r="K42" s="10"/>
      <c r="L42" s="26" t="str">
        <f t="shared" si="6"/>
        <v/>
      </c>
      <c r="M42" t="s">
        <v>970</v>
      </c>
      <c r="N42" s="10"/>
      <c r="O42" s="1102">
        <f t="shared" si="7"/>
        <v>0.255</v>
      </c>
      <c r="P42" s="691" t="e">
        <f t="shared" si="8"/>
        <v>#DIV/0!</v>
      </c>
    </row>
    <row r="43" spans="1:17" hidden="1">
      <c r="J43" s="10"/>
      <c r="K43" s="10"/>
      <c r="L43" s="910"/>
      <c r="N43" s="10"/>
      <c r="O43" s="18"/>
      <c r="P43" s="691"/>
    </row>
    <row r="44" spans="1:17" hidden="1">
      <c r="D44" s="3" t="s">
        <v>971</v>
      </c>
      <c r="E44" s="3"/>
      <c r="J44" s="9" t="e">
        <f>SUM(J37:J43)</f>
        <v>#DIV/0!</v>
      </c>
      <c r="K44" s="9"/>
      <c r="L44" s="988" t="str">
        <f>IFERROR(J44/$J$33,"")</f>
        <v/>
      </c>
      <c r="M44" t="s">
        <v>969</v>
      </c>
      <c r="N44" s="10"/>
      <c r="O44" s="18"/>
      <c r="P44" s="52"/>
    </row>
    <row r="45" spans="1:17" hidden="1">
      <c r="J45" s="10"/>
      <c r="K45" s="10"/>
      <c r="L45" s="910"/>
      <c r="N45" s="10"/>
      <c r="O45" s="18"/>
      <c r="P45" s="52"/>
    </row>
    <row r="46" spans="1:17" hidden="1">
      <c r="D46" t="str">
        <f t="shared" ref="D46:D51" si="9">D18</f>
        <v>Maito (LaskeMaito1)</v>
      </c>
      <c r="H46" s="37">
        <v>1</v>
      </c>
      <c r="I46" s="789"/>
      <c r="J46" s="10" t="e">
        <f>(LaskeMaito1!H39-LaskeMaito1!H22-LaskeMaito1!H23-LaskeMaito1!H24)*H46</f>
        <v>#DIV/0!</v>
      </c>
      <c r="K46" s="10"/>
      <c r="L46" s="26" t="str">
        <f>IFERROR(J46/$J$33,"")</f>
        <v/>
      </c>
      <c r="M46" t="s">
        <v>969</v>
      </c>
      <c r="N46" s="23"/>
      <c r="O46" s="1249">
        <f>AVERAGE($O$4:$P$4)</f>
        <v>0.19750000000000001</v>
      </c>
      <c r="P46" s="691" t="e">
        <f>J46*O46</f>
        <v>#DIV/0!</v>
      </c>
      <c r="Q46" t="s">
        <v>972</v>
      </c>
    </row>
    <row r="47" spans="1:17" hidden="1">
      <c r="D47" t="str">
        <f t="shared" si="9"/>
        <v>LaskeMaito2 laskelma 2. Piilossa, aktivoi</v>
      </c>
      <c r="H47" s="37">
        <v>1</v>
      </c>
      <c r="I47" s="789"/>
      <c r="J47" s="10" t="e">
        <f>('LaskeMaito 2'!H39-'LaskeMaito 2'!H22-'LaskeMaito 2'!H23-'LaskeMaito 2'!H24)*H47</f>
        <v>#DIV/0!</v>
      </c>
      <c r="K47" s="10"/>
      <c r="L47" s="26" t="str">
        <f t="shared" ref="L47:L49" si="10">IFERROR(J47/$J$33,"")</f>
        <v/>
      </c>
      <c r="M47" t="s">
        <v>969</v>
      </c>
      <c r="N47" s="23"/>
      <c r="O47" s="1249">
        <f t="shared" ref="O47:O51" si="11">AVERAGE($O$4:$P$4)</f>
        <v>0.19750000000000001</v>
      </c>
      <c r="P47" s="691" t="e">
        <f t="shared" ref="P47:P49" si="12">J47*O47</f>
        <v>#DIV/0!</v>
      </c>
      <c r="Q47" t="s">
        <v>972</v>
      </c>
    </row>
    <row r="48" spans="1:17" hidden="1">
      <c r="D48" t="str">
        <f t="shared" si="9"/>
        <v>LaskeMaito3 laskelma 3. Piilossa, aktivoi</v>
      </c>
      <c r="H48" s="37">
        <v>1</v>
      </c>
      <c r="I48" s="789"/>
      <c r="J48" s="10" t="e">
        <f>('LaskeMaito 3'!H39-'LaskeMaito 3'!H22-'LaskeMaito 3'!H23-'LaskeMaito 3'!H24)*H48</f>
        <v>#DIV/0!</v>
      </c>
      <c r="K48" s="10"/>
      <c r="L48" s="26" t="str">
        <f t="shared" si="10"/>
        <v/>
      </c>
      <c r="M48" t="s">
        <v>969</v>
      </c>
      <c r="N48" s="23"/>
      <c r="O48" s="1249">
        <f t="shared" si="11"/>
        <v>0.19750000000000001</v>
      </c>
      <c r="P48" s="691" t="e">
        <f t="shared" si="12"/>
        <v>#DIV/0!</v>
      </c>
      <c r="Q48" t="s">
        <v>972</v>
      </c>
    </row>
    <row r="49" spans="2:17" hidden="1">
      <c r="D49" t="str">
        <f t="shared" si="9"/>
        <v>Laske Maito special  -Suurtilalle (ota tarvittaessa käyttöön, piilotettu)</v>
      </c>
      <c r="H49" s="37">
        <v>1</v>
      </c>
      <c r="I49" s="789"/>
      <c r="J49" s="10">
        <f>IF(AND('LaskeMaito special'!$H$2="kyllä",'LaskeMaito special'!$E$4&gt;0),('LaskeMaito special'!P40-'LaskeMaito special'!P23-'LaskeMaito special'!P24-'LaskeMaito special'!P25)*H49,0)</f>
        <v>0</v>
      </c>
      <c r="K49" s="10"/>
      <c r="L49" s="26" t="str">
        <f t="shared" si="10"/>
        <v/>
      </c>
      <c r="M49" t="s">
        <v>969</v>
      </c>
      <c r="N49" s="23"/>
      <c r="O49" s="1249">
        <f t="shared" si="11"/>
        <v>0.19750000000000001</v>
      </c>
      <c r="P49" s="691">
        <f t="shared" si="12"/>
        <v>0</v>
      </c>
    </row>
    <row r="50" spans="2:17" hidden="1">
      <c r="D50" t="str">
        <f t="shared" si="9"/>
        <v>Laske Liha</v>
      </c>
      <c r="F50" t="s">
        <v>974</v>
      </c>
      <c r="H50" s="37">
        <v>1</v>
      </c>
      <c r="I50" s="789"/>
      <c r="J50" s="7" t="e">
        <f>L50/LaskeLiha!E5*M50*H50</f>
        <v>#VALUE!</v>
      </c>
      <c r="K50" s="7"/>
      <c r="L50" s="1179" t="e">
        <f>LaskeLiha!H39-LaskeLiha!H22-LaskeLiha!F23</f>
        <v>#VALUE!</v>
      </c>
      <c r="M50" s="8">
        <v>12</v>
      </c>
      <c r="N50" t="s">
        <v>957</v>
      </c>
      <c r="O50" s="1249">
        <f t="shared" si="11"/>
        <v>0.19750000000000001</v>
      </c>
      <c r="P50" s="691" t="e">
        <f>J50*O50</f>
        <v>#VALUE!</v>
      </c>
      <c r="Q50" t="s">
        <v>972</v>
      </c>
    </row>
    <row r="51" spans="2:17" hidden="1">
      <c r="D51" t="str">
        <f t="shared" si="9"/>
        <v>Laske Liha 2  - Piilossa, aktivoi (hiiren oikea, näytä)</v>
      </c>
      <c r="H51" s="37">
        <v>1</v>
      </c>
      <c r="I51" s="789"/>
      <c r="J51" s="10" t="e">
        <f>L51/Laskeliha2!E5*TulosTASE!M51*H51</f>
        <v>#VALUE!</v>
      </c>
      <c r="K51" s="10"/>
      <c r="L51" s="1179" t="e">
        <f>Laskeliha2!H40-Laskeliha2!H23-Laskeliha2!F24</f>
        <v>#VALUE!</v>
      </c>
      <c r="M51" s="8">
        <v>12</v>
      </c>
      <c r="N51" t="s">
        <v>957</v>
      </c>
      <c r="O51" s="1249">
        <f t="shared" si="11"/>
        <v>0.19750000000000001</v>
      </c>
      <c r="P51" s="691" t="e">
        <f>J51*O51</f>
        <v>#VALUE!</v>
      </c>
      <c r="Q51" t="s">
        <v>972</v>
      </c>
    </row>
    <row r="52" spans="2:17" hidden="1">
      <c r="J52" s="10"/>
      <c r="K52" s="10"/>
      <c r="N52" s="10"/>
      <c r="O52" s="18"/>
      <c r="P52" s="52"/>
    </row>
    <row r="53" spans="2:17" hidden="1">
      <c r="D53" s="3" t="s">
        <v>975</v>
      </c>
      <c r="E53" s="3"/>
      <c r="J53" s="9" t="e">
        <f>SUM(J46:J52)</f>
        <v>#DIV/0!</v>
      </c>
      <c r="K53" s="9"/>
      <c r="L53" s="26" t="str">
        <f>IFERROR(J53/$J$33,"")</f>
        <v/>
      </c>
      <c r="M53" t="s">
        <v>969</v>
      </c>
      <c r="N53" s="10"/>
      <c r="O53" s="18"/>
      <c r="P53" s="52"/>
    </row>
    <row r="54" spans="2:17" hidden="1">
      <c r="J54" s="10"/>
      <c r="K54" s="10"/>
      <c r="L54" s="910"/>
      <c r="N54" s="10"/>
      <c r="O54" s="18"/>
      <c r="P54" s="52"/>
    </row>
    <row r="55" spans="2:17" hidden="1">
      <c r="D55" t="s">
        <v>934</v>
      </c>
      <c r="H55" s="37">
        <v>1</v>
      </c>
      <c r="I55" s="789"/>
      <c r="J55" s="10">
        <f>IF(LaskeKoneurakointi!F2="kyllä",LaskeKoneurakointi!H32*H55,0)</f>
        <v>0</v>
      </c>
      <c r="K55" s="10"/>
      <c r="L55" s="26" t="str">
        <f>IFERROR(J55/$J$33,"")</f>
        <v/>
      </c>
      <c r="M55" t="s">
        <v>969</v>
      </c>
      <c r="N55" s="10"/>
      <c r="O55" s="1102">
        <f>$O$4</f>
        <v>0.255</v>
      </c>
      <c r="P55" s="1140">
        <f>J55*O55</f>
        <v>0</v>
      </c>
    </row>
    <row r="56" spans="2:17" hidden="1">
      <c r="B56" t="s">
        <v>28</v>
      </c>
      <c r="D56" t="str">
        <f>D29</f>
        <v>Hinnoittelu esim. torimyyntiin (muuta tämä teksti halumaksesi).</v>
      </c>
      <c r="H56" s="37">
        <v>1</v>
      </c>
      <c r="I56" s="789"/>
      <c r="J56" s="10">
        <f>IF('Hinnoittele jatkojalostus'!$J$2="kyllä",'Hinnoittele jatkojalostus'!Y55*H56,0)</f>
        <v>0</v>
      </c>
      <c r="K56" s="10"/>
      <c r="L56" s="26" t="str">
        <f>IFERROR(J56/$J$33,"")</f>
        <v/>
      </c>
      <c r="M56" t="s">
        <v>969</v>
      </c>
      <c r="N56" s="10"/>
      <c r="O56" s="1102">
        <f>P4</f>
        <v>0.14000000000000001</v>
      </c>
      <c r="P56" s="1140">
        <f>J56*O56</f>
        <v>0</v>
      </c>
    </row>
    <row r="57" spans="2:17" hidden="1">
      <c r="D57" s="59" t="str">
        <f>Metsä!B2</f>
        <v>Metsä  - Piilossa, aktivoi (hiiren oikea, näytä)</v>
      </c>
      <c r="E57" s="59"/>
      <c r="H57" s="37">
        <v>1</v>
      </c>
      <c r="I57" s="789"/>
      <c r="J57" s="10">
        <f>H57*Metsä!F37</f>
        <v>0</v>
      </c>
      <c r="K57" s="10"/>
      <c r="L57" s="26" t="str">
        <f>IFERROR(J57/$J$33,"")</f>
        <v/>
      </c>
      <c r="M57" t="s">
        <v>969</v>
      </c>
      <c r="N57" s="10"/>
      <c r="O57" s="1102">
        <f>$O$4</f>
        <v>0.255</v>
      </c>
      <c r="P57" s="1140">
        <f>J57*O57</f>
        <v>0</v>
      </c>
    </row>
    <row r="58" spans="2:17" hidden="1">
      <c r="B58" s="186" t="str">
        <f>B31</f>
        <v>EVL:n mukainen toiminta 1</v>
      </c>
      <c r="C58" s="186"/>
      <c r="D58" s="59" t="str">
        <f>'EVL yrityksen 1 katelaskenta'!B2</f>
        <v>x</v>
      </c>
      <c r="E58" s="59"/>
      <c r="H58" s="37">
        <v>1</v>
      </c>
      <c r="I58" s="789"/>
      <c r="J58" s="10">
        <f>IF('EVL yrityksen 1 katelaskenta'!F2="kyllä",H58*('EVL yrityksen 1 katelaskenta'!H32+'EVL yrityksen 1 katelaskenta'!F42),0)</f>
        <v>0</v>
      </c>
      <c r="K58" s="10"/>
      <c r="L58" s="26" t="str">
        <f>IFERROR(J58/$J$33,"")</f>
        <v/>
      </c>
      <c r="M58" t="s">
        <v>969</v>
      </c>
      <c r="N58" s="10"/>
      <c r="O58" s="1077">
        <f>$O$4</f>
        <v>0.255</v>
      </c>
      <c r="P58" s="1140">
        <f>J58*O58</f>
        <v>0</v>
      </c>
    </row>
    <row r="59" spans="2:17" ht="13.5" hidden="1" thickBot="1">
      <c r="B59" s="186" t="str">
        <f>B32</f>
        <v>EVL:n mukainen toiminta 2</v>
      </c>
      <c r="C59" s="186"/>
      <c r="D59" s="59" t="str">
        <f>'EVL yrityksen 2 katelaskenta'!B2</f>
        <v>Muu EVL</v>
      </c>
      <c r="E59" s="59"/>
      <c r="H59" s="37">
        <v>1</v>
      </c>
      <c r="I59" s="789"/>
      <c r="J59" s="10">
        <f>IF('EVL yrityksen 2 katelaskenta'!F2="kyllä",H59*('EVL yrityksen 2 katelaskenta'!H32+'EVL yrityksen 2 katelaskenta'!F42),0)</f>
        <v>0</v>
      </c>
      <c r="K59" s="10"/>
      <c r="L59" s="26" t="str">
        <f>IFERROR(J59/$J$33,"")</f>
        <v/>
      </c>
      <c r="M59" t="s">
        <v>969</v>
      </c>
      <c r="N59" s="10"/>
      <c r="O59" s="1077">
        <f>$O$4</f>
        <v>0.255</v>
      </c>
      <c r="P59" s="1140">
        <f>J59*O59</f>
        <v>0</v>
      </c>
    </row>
    <row r="60" spans="2:17" ht="16.5" hidden="1" thickBot="1">
      <c r="B60" s="655" t="s">
        <v>3</v>
      </c>
      <c r="C60" s="655"/>
      <c r="D60" s="656"/>
      <c r="E60" s="656"/>
      <c r="F60" s="656"/>
      <c r="G60" s="656"/>
      <c r="H60" s="656"/>
      <c r="I60" s="656"/>
      <c r="J60" s="1070" t="e">
        <f>J44+J53+J55+J56+J57+J58+J59</f>
        <v>#DIV/0!</v>
      </c>
      <c r="K60" s="1437"/>
      <c r="L60" s="654">
        <f>IFERROR(J60/J33,0)</f>
        <v>0</v>
      </c>
      <c r="M60" t="s">
        <v>969</v>
      </c>
      <c r="N60" s="10"/>
      <c r="P60" s="52"/>
    </row>
    <row r="61" spans="2:17" ht="13.5" hidden="1" thickBot="1">
      <c r="D61" s="3"/>
      <c r="E61" s="3"/>
      <c r="J61" s="10"/>
      <c r="K61" s="10"/>
      <c r="N61" s="10"/>
      <c r="P61" s="52"/>
    </row>
    <row r="62" spans="2:17" ht="18.75" hidden="1" thickBot="1">
      <c r="B62" s="558" t="s">
        <v>976</v>
      </c>
      <c r="C62" s="558"/>
      <c r="D62" s="567"/>
      <c r="E62" s="567"/>
      <c r="F62" s="567"/>
      <c r="G62" s="567"/>
      <c r="H62" s="567"/>
      <c r="I62" s="567"/>
      <c r="J62" s="1072" t="e">
        <f>J33-J60</f>
        <v>#DIV/0!</v>
      </c>
      <c r="K62" s="1438"/>
      <c r="L62" s="26" t="str">
        <f>IFERROR(J62/$J$33,"")</f>
        <v/>
      </c>
      <c r="M62" t="s">
        <v>969</v>
      </c>
      <c r="N62" s="10"/>
      <c r="P62" s="96"/>
    </row>
    <row r="63" spans="2:17" hidden="1">
      <c r="B63" t="s">
        <v>977</v>
      </c>
      <c r="F63" s="4" t="s">
        <v>677</v>
      </c>
      <c r="G63" s="4"/>
      <c r="H63" t="s">
        <v>148</v>
      </c>
      <c r="J63" s="10"/>
      <c r="K63" s="10"/>
      <c r="N63" s="10"/>
      <c r="P63" s="52"/>
    </row>
    <row r="64" spans="2:17" hidden="1">
      <c r="B64" s="37">
        <v>1</v>
      </c>
      <c r="C64" s="789"/>
      <c r="D64" t="str">
        <f>D37</f>
        <v>LaskeKasvi1</v>
      </c>
      <c r="F64" s="4">
        <f>LaskeKasvi1!D46*LaskeKasvi1!E4</f>
        <v>0</v>
      </c>
      <c r="G64" s="4"/>
      <c r="H64" s="659">
        <f>LaskeKasvi1!E46</f>
        <v>15.9</v>
      </c>
      <c r="I64" s="659"/>
      <c r="J64" s="10">
        <f>F64*H64*B64</f>
        <v>0</v>
      </c>
      <c r="K64" s="10"/>
      <c r="L64" s="26" t="str">
        <f t="shared" ref="L64:L69" si="13">IFERROR(J64/SUM($J$60,$J$80,$J$136),"")</f>
        <v/>
      </c>
      <c r="M64" t="s">
        <v>978</v>
      </c>
      <c r="N64" s="10"/>
      <c r="P64" s="52"/>
    </row>
    <row r="65" spans="2:16" hidden="1">
      <c r="B65" s="37">
        <v>1</v>
      </c>
      <c r="C65" s="789"/>
      <c r="D65" t="str">
        <f>D38</f>
        <v>LaskeKasvi 2</v>
      </c>
      <c r="F65" s="4">
        <f>LaskeKasvi2!D46*LaskeKasvi2!E4</f>
        <v>0</v>
      </c>
      <c r="G65" s="4"/>
      <c r="H65" s="659">
        <f>LaskeKasvi2!E46</f>
        <v>15.9</v>
      </c>
      <c r="I65" s="659"/>
      <c r="J65" s="10">
        <f t="shared" ref="J65:J73" si="14">F65*H65*B65</f>
        <v>0</v>
      </c>
      <c r="K65" s="10"/>
      <c r="L65" s="26" t="str">
        <f t="shared" si="13"/>
        <v/>
      </c>
      <c r="M65" t="s">
        <v>970</v>
      </c>
      <c r="N65" s="10"/>
      <c r="P65" s="52"/>
    </row>
    <row r="66" spans="2:16" hidden="1">
      <c r="B66" s="37">
        <v>1</v>
      </c>
      <c r="C66" s="789"/>
      <c r="D66" t="str">
        <f>D39</f>
        <v>LaskeSäilörehu</v>
      </c>
      <c r="F66" s="4">
        <f>LaskeSäilörehu!D48*LaskeSäilörehu!E4</f>
        <v>0</v>
      </c>
      <c r="G66" s="4"/>
      <c r="H66" s="659">
        <f>LaskeSäilörehu!E48</f>
        <v>15.9</v>
      </c>
      <c r="I66" s="659"/>
      <c r="J66" s="10">
        <f t="shared" si="14"/>
        <v>0</v>
      </c>
      <c r="K66" s="10"/>
      <c r="L66" s="26" t="str">
        <f t="shared" si="13"/>
        <v/>
      </c>
      <c r="M66" t="s">
        <v>970</v>
      </c>
      <c r="N66" s="10"/>
      <c r="P66" s="52"/>
    </row>
    <row r="67" spans="2:16" hidden="1">
      <c r="B67" s="37">
        <v>1</v>
      </c>
      <c r="C67" s="789"/>
      <c r="D67" t="str">
        <f>D40</f>
        <v>LaskeKasvi 4 - Piilossa, aktivoi (hiiren oikea, näytä)</v>
      </c>
      <c r="F67" s="4">
        <f>LaskeKasvi4!D46*LaskeKasvi4!E4</f>
        <v>0</v>
      </c>
      <c r="G67" s="4"/>
      <c r="H67" s="659">
        <f>LaskeKasvi4!E46</f>
        <v>15.9</v>
      </c>
      <c r="I67" s="659"/>
      <c r="J67" s="10">
        <f t="shared" si="14"/>
        <v>0</v>
      </c>
      <c r="K67" s="10"/>
      <c r="L67" s="26" t="str">
        <f t="shared" si="13"/>
        <v/>
      </c>
      <c r="M67" t="s">
        <v>970</v>
      </c>
      <c r="N67" s="10"/>
      <c r="P67" s="52"/>
    </row>
    <row r="68" spans="2:16" hidden="1">
      <c r="B68" s="37">
        <v>1</v>
      </c>
      <c r="C68" s="789"/>
      <c r="D68" t="str">
        <f>D41</f>
        <v>LaskeKasvi 5 - Piilossa, aktivoi (hiiren oikea, näytä)</v>
      </c>
      <c r="F68" s="4">
        <f>LaskeKasvi5!D46*LaskeKasvi5!E4</f>
        <v>0</v>
      </c>
      <c r="G68" s="4"/>
      <c r="H68" s="659">
        <f>LaskeKasvi5!E46</f>
        <v>15.9</v>
      </c>
      <c r="I68" s="659"/>
      <c r="J68" s="10">
        <f t="shared" si="14"/>
        <v>0</v>
      </c>
      <c r="K68" s="10"/>
      <c r="L68" s="26" t="str">
        <f t="shared" si="13"/>
        <v/>
      </c>
      <c r="M68" t="s">
        <v>970</v>
      </c>
      <c r="N68" s="10"/>
      <c r="P68" s="52"/>
    </row>
    <row r="69" spans="2:16" hidden="1">
      <c r="B69" s="37">
        <v>1</v>
      </c>
      <c r="C69" s="789"/>
      <c r="D69" t="str">
        <f>LaskeKasvihuoneenkasvi!B2</f>
        <v>Kasvihuone (puutarhatilat) - Piilossa, aktivoi</v>
      </c>
      <c r="F69" s="4">
        <f>LaskeKasvihuoneenkasvi!D46</f>
        <v>0</v>
      </c>
      <c r="G69" s="4"/>
      <c r="H69" s="659">
        <f>LaskeKasvihuoneenkasvi!E46</f>
        <v>15.9</v>
      </c>
      <c r="I69" s="659"/>
      <c r="J69" s="10">
        <f t="shared" si="14"/>
        <v>0</v>
      </c>
      <c r="K69" s="10"/>
      <c r="L69" s="26" t="str">
        <f t="shared" si="13"/>
        <v/>
      </c>
      <c r="M69" t="s">
        <v>970</v>
      </c>
      <c r="N69" s="10"/>
      <c r="P69" s="52"/>
    </row>
    <row r="70" spans="2:16" hidden="1">
      <c r="F70" s="4"/>
      <c r="G70" s="4"/>
      <c r="J70" s="10"/>
      <c r="K70" s="10"/>
      <c r="L70" s="26"/>
      <c r="N70" s="10"/>
      <c r="P70" s="52"/>
    </row>
    <row r="71" spans="2:16" hidden="1">
      <c r="B71" s="37">
        <v>1</v>
      </c>
      <c r="C71" s="789"/>
      <c r="D71" t="str">
        <f t="shared" ref="D71:D76" si="15">D46</f>
        <v>Maito (LaskeMaito1)</v>
      </c>
      <c r="F71" s="4">
        <f>LaskeMaito1!D47*LaskeMaito1!E4</f>
        <v>0</v>
      </c>
      <c r="G71" s="4"/>
      <c r="H71" s="659">
        <f>LaskeMaito1!E47</f>
        <v>10</v>
      </c>
      <c r="I71" s="659"/>
      <c r="J71" s="10">
        <f t="shared" si="14"/>
        <v>0</v>
      </c>
      <c r="K71" s="10"/>
      <c r="L71" s="26" t="str">
        <f t="shared" ref="L71:L80" si="16">IFERROR(J71/SUM($J$60,$J$80,$J$136),"")</f>
        <v/>
      </c>
      <c r="M71" t="s">
        <v>970</v>
      </c>
      <c r="N71" s="10"/>
      <c r="P71" s="52"/>
    </row>
    <row r="72" spans="2:16" hidden="1">
      <c r="B72" s="37">
        <v>1</v>
      </c>
      <c r="C72" s="789"/>
      <c r="D72" t="str">
        <f t="shared" si="15"/>
        <v>LaskeMaito2 laskelma 2. Piilossa, aktivoi</v>
      </c>
      <c r="F72" s="4">
        <f>'LaskeMaito 2'!D47*'LaskeMaito 2'!E4</f>
        <v>0</v>
      </c>
      <c r="G72" s="4"/>
      <c r="H72" s="659">
        <f>'LaskeMaito 2'!E47</f>
        <v>0</v>
      </c>
      <c r="I72" s="659"/>
      <c r="J72" s="10">
        <f t="shared" si="14"/>
        <v>0</v>
      </c>
      <c r="K72" s="10"/>
      <c r="L72" s="26" t="str">
        <f t="shared" si="16"/>
        <v/>
      </c>
      <c r="M72" t="s">
        <v>970</v>
      </c>
      <c r="N72" s="10"/>
      <c r="P72" s="52"/>
    </row>
    <row r="73" spans="2:16" hidden="1">
      <c r="B73" s="37">
        <v>1</v>
      </c>
      <c r="C73" s="789"/>
      <c r="D73" t="str">
        <f t="shared" si="15"/>
        <v>LaskeMaito3 laskelma 3. Piilossa, aktivoi</v>
      </c>
      <c r="F73" s="4">
        <f>'LaskeMaito 3'!D47*'LaskeMaito 3'!E4</f>
        <v>0</v>
      </c>
      <c r="G73" s="4"/>
      <c r="H73" s="659">
        <f>'LaskeMaito 3'!E47</f>
        <v>15.9</v>
      </c>
      <c r="I73" s="659"/>
      <c r="J73" s="10">
        <f t="shared" si="14"/>
        <v>0</v>
      </c>
      <c r="K73" s="10"/>
      <c r="L73" s="26" t="str">
        <f t="shared" si="16"/>
        <v/>
      </c>
      <c r="M73" t="s">
        <v>970</v>
      </c>
      <c r="N73" s="10"/>
      <c r="P73" s="52"/>
    </row>
    <row r="74" spans="2:16" hidden="1">
      <c r="B74" s="37">
        <v>1</v>
      </c>
      <c r="C74" s="789"/>
      <c r="D74" t="str">
        <f t="shared" si="15"/>
        <v>Laske Maito special  -Suurtilalle (ota tarvittaessa käyttöön, piilotettu)</v>
      </c>
      <c r="F74" s="4">
        <f>'LaskeMaito special'!Q48</f>
        <v>0</v>
      </c>
      <c r="G74" s="4"/>
      <c r="H74" s="659">
        <f>'LaskeMaito special'!S48</f>
        <v>0</v>
      </c>
      <c r="I74" s="659"/>
      <c r="J74" s="10">
        <f>IF(AND('LaskeMaito special'!$H$2="kyllä",'LaskeMaito special'!$E$4&gt;0),'LaskeMaito special'!P48*B74,0)</f>
        <v>0</v>
      </c>
      <c r="K74" s="10"/>
      <c r="L74" s="26" t="str">
        <f t="shared" si="16"/>
        <v/>
      </c>
      <c r="M74" t="s">
        <v>970</v>
      </c>
      <c r="N74" s="10"/>
      <c r="P74" s="52"/>
    </row>
    <row r="75" spans="2:16" hidden="1">
      <c r="B75" s="37">
        <v>1</v>
      </c>
      <c r="C75" s="789"/>
      <c r="D75" t="str">
        <f t="shared" si="15"/>
        <v>Laske Liha</v>
      </c>
      <c r="F75" s="4">
        <f>LaskeLiha!D47*LaskeLiha!E4/LaskeLiha!E5*M50</f>
        <v>0</v>
      </c>
      <c r="G75" s="4"/>
      <c r="H75" s="659">
        <f>LaskeLiha!E47</f>
        <v>15.9</v>
      </c>
      <c r="I75" s="659"/>
      <c r="J75" s="10">
        <f>F75*H75*B75/LaskeLiha!E5*TulosTASE!M50</f>
        <v>0</v>
      </c>
      <c r="K75" s="10"/>
      <c r="L75" s="26" t="str">
        <f t="shared" si="16"/>
        <v/>
      </c>
      <c r="M75" t="s">
        <v>970</v>
      </c>
      <c r="N75" s="10"/>
      <c r="P75" s="52"/>
    </row>
    <row r="76" spans="2:16" hidden="1">
      <c r="B76" s="37">
        <v>1</v>
      </c>
      <c r="C76" s="789"/>
      <c r="D76" t="str">
        <f t="shared" si="15"/>
        <v>Laske Liha 2  - Piilossa, aktivoi (hiiren oikea, näytä)</v>
      </c>
      <c r="F76" s="4">
        <f>Laskeliha2!D48*Laskeliha2!E4</f>
        <v>0</v>
      </c>
      <c r="G76" s="4"/>
      <c r="H76" s="659">
        <f>Laskeliha2!E48</f>
        <v>15.9</v>
      </c>
      <c r="I76" s="659"/>
      <c r="J76" s="10">
        <f>F76*H76*B76/Laskeliha2!E5*TulosTASE!M51</f>
        <v>0</v>
      </c>
      <c r="K76" s="10"/>
      <c r="L76" s="26" t="str">
        <f t="shared" si="16"/>
        <v/>
      </c>
      <c r="M76" t="s">
        <v>970</v>
      </c>
      <c r="N76" s="10"/>
      <c r="P76" s="52"/>
    </row>
    <row r="77" spans="2:16" hidden="1">
      <c r="B77" s="37">
        <v>1</v>
      </c>
      <c r="C77" s="789"/>
      <c r="D77" t="str">
        <f>D55</f>
        <v>Koneurakointi</v>
      </c>
      <c r="F77" s="58"/>
      <c r="G77" s="58"/>
      <c r="H77" s="659"/>
      <c r="I77" s="659"/>
      <c r="J77" s="10">
        <f>IF(LaskeKoneurakointi!F2="kyllä",LaskeKoneurakointi!H36*B77,0)</f>
        <v>0</v>
      </c>
      <c r="K77" s="10"/>
      <c r="L77" s="26" t="str">
        <f t="shared" si="16"/>
        <v/>
      </c>
      <c r="M77" t="s">
        <v>970</v>
      </c>
      <c r="N77" s="10"/>
      <c r="P77" s="52"/>
    </row>
    <row r="78" spans="2:16" hidden="1">
      <c r="B78" s="37">
        <v>1</v>
      </c>
      <c r="C78" s="789"/>
      <c r="D78" t="str">
        <f>"Muu: "&amp;'Hinnoittele jatkojalostus'!J1</f>
        <v>Muu: Hinnoittelu esim. torimyyntiin (muuta tämä teksti halumaksesi).</v>
      </c>
      <c r="F78" s="58">
        <f>'Hinnoittele jatkojalostus'!M60</f>
        <v>0</v>
      </c>
      <c r="G78" s="58"/>
      <c r="H78" s="659"/>
      <c r="I78" s="659"/>
      <c r="J78" s="10">
        <f>IF('Hinnoittele jatkojalostus'!$J$2="kyllä",'Hinnoittele jatkojalostus'!F60*TulosTASE!B78,0)</f>
        <v>0</v>
      </c>
      <c r="K78" s="10"/>
      <c r="L78" s="26" t="str">
        <f t="shared" si="16"/>
        <v/>
      </c>
      <c r="M78" t="s">
        <v>970</v>
      </c>
      <c r="N78" s="10"/>
      <c r="P78" s="52"/>
    </row>
    <row r="79" spans="2:16" ht="13.5" hidden="1" thickBot="1">
      <c r="B79" s="37">
        <v>1</v>
      </c>
      <c r="C79" s="789"/>
      <c r="D79" s="59" t="str">
        <f>D57</f>
        <v>Metsä  - Piilossa, aktivoi (hiiren oikea, näytä)</v>
      </c>
      <c r="E79" s="59"/>
      <c r="F79" s="58">
        <f>Metsä!D45</f>
        <v>0</v>
      </c>
      <c r="G79" s="58"/>
      <c r="H79" s="659">
        <f>Metsä!E45</f>
        <v>15.9</v>
      </c>
      <c r="I79" s="659"/>
      <c r="J79" s="10">
        <f t="shared" ref="J79" si="17">F79*H79*B79</f>
        <v>0</v>
      </c>
      <c r="K79" s="10"/>
      <c r="L79" s="26" t="str">
        <f t="shared" si="16"/>
        <v/>
      </c>
      <c r="M79" t="s">
        <v>970</v>
      </c>
      <c r="N79" s="10"/>
      <c r="P79" s="52"/>
    </row>
    <row r="80" spans="2:16" ht="16.5" hidden="1" thickBot="1">
      <c r="D80" s="3" t="s">
        <v>980</v>
      </c>
      <c r="E80" s="3"/>
      <c r="F80" s="521">
        <f>SUM(F64:F79)</f>
        <v>0</v>
      </c>
      <c r="G80" s="521"/>
      <c r="H80" s="836" t="e">
        <f>"Keskitunthinta "&amp;J80/F80</f>
        <v>#DIV/0!</v>
      </c>
      <c r="I80" s="836"/>
      <c r="J80" s="1073">
        <f>SUM(J64:J79)</f>
        <v>0</v>
      </c>
      <c r="K80" s="391"/>
      <c r="L80" s="26" t="str">
        <f t="shared" si="16"/>
        <v/>
      </c>
      <c r="M80" t="s">
        <v>970</v>
      </c>
      <c r="N80" s="10"/>
      <c r="P80" s="52"/>
    </row>
    <row r="81" spans="1:16" ht="13.5" hidden="1" thickBot="1">
      <c r="A81" s="3"/>
      <c r="D81" s="3"/>
      <c r="E81" s="3"/>
      <c r="H81" s="659"/>
      <c r="I81" s="659"/>
      <c r="J81" s="10"/>
      <c r="K81" s="10"/>
      <c r="L81" s="25"/>
      <c r="N81" s="10"/>
      <c r="P81" s="52"/>
    </row>
    <row r="82" spans="1:16" ht="18.75" hidden="1" thickBot="1">
      <c r="B82" s="558" t="s">
        <v>982</v>
      </c>
      <c r="C82" s="558"/>
      <c r="D82" s="567"/>
      <c r="E82" s="567"/>
      <c r="F82" s="567"/>
      <c r="G82" s="567"/>
      <c r="H82" s="567"/>
      <c r="I82" s="567"/>
      <c r="J82" s="1072" t="e">
        <f>J62-J80</f>
        <v>#DIV/0!</v>
      </c>
      <c r="K82" s="1438"/>
      <c r="L82" s="26" t="str">
        <f>IFERROR(J82/$J$33,"")</f>
        <v/>
      </c>
      <c r="M82" t="s">
        <v>969</v>
      </c>
      <c r="N82" s="10"/>
      <c r="P82" s="52"/>
    </row>
    <row r="83" spans="1:16" hidden="1">
      <c r="A83" t="s">
        <v>1232</v>
      </c>
      <c r="B83" s="1401" t="s">
        <v>1233</v>
      </c>
      <c r="C83" s="1401"/>
      <c r="J83" s="10"/>
      <c r="K83" s="10"/>
      <c r="N83" s="10"/>
      <c r="P83" s="52"/>
    </row>
    <row r="84" spans="1:16" ht="13.5" hidden="1" thickBot="1">
      <c r="P84" s="52"/>
    </row>
    <row r="85" spans="1:16" ht="13.5" hidden="1" thickBot="1">
      <c r="B85" s="1028" t="s">
        <v>367</v>
      </c>
      <c r="C85" s="3"/>
      <c r="L85" s="3" t="s">
        <v>983</v>
      </c>
      <c r="P85" s="52"/>
    </row>
    <row r="86" spans="1:16" ht="13.5" hidden="1" thickBot="1">
      <c r="B86" s="3" t="s">
        <v>984</v>
      </c>
      <c r="C86" s="3"/>
      <c r="D86" s="1013" t="s">
        <v>985</v>
      </c>
      <c r="E86" s="1013"/>
      <c r="F86" s="1013" t="s">
        <v>1234</v>
      </c>
      <c r="G86" s="1427"/>
      <c r="H86" s="3"/>
      <c r="I86" s="3"/>
      <c r="J86" s="10"/>
      <c r="K86" s="10"/>
      <c r="L86" s="25" t="s">
        <v>986</v>
      </c>
      <c r="P86" s="52"/>
    </row>
    <row r="87" spans="1:16" hidden="1">
      <c r="B87" s="80" t="s">
        <v>1235</v>
      </c>
      <c r="C87" s="80"/>
      <c r="D87" s="10">
        <f>IF(B83&lt;&gt;"Ely",Konerekisteri!J29,Konerekisteri!T29)*H87</f>
        <v>0</v>
      </c>
      <c r="E87" s="10"/>
      <c r="F87" s="836">
        <f>IF($B$83&lt;&gt;"ely",Rakennukset!M24,Rakennukset!AC24)*H87</f>
        <v>0</v>
      </c>
      <c r="G87" s="836"/>
      <c r="H87" s="37">
        <v>1</v>
      </c>
      <c r="I87" s="789"/>
      <c r="L87" s="2786">
        <f>F121</f>
        <v>0</v>
      </c>
      <c r="P87" s="52"/>
    </row>
    <row r="88" spans="1:16" hidden="1">
      <c r="B88" s="80" t="s">
        <v>1236</v>
      </c>
      <c r="C88" s="80"/>
      <c r="D88" s="10">
        <f>IF($B$83&lt;&gt;"Ely",Konerekisteri!J30,Konerekisteri!T30)*H88</f>
        <v>0</v>
      </c>
      <c r="E88" s="10"/>
      <c r="F88" s="836">
        <f>IF($B$83&lt;&gt;"ely",Rakennukset!M25,Rakennukset!AC25)*H88</f>
        <v>0</v>
      </c>
      <c r="G88" s="836"/>
      <c r="H88" s="37">
        <v>1</v>
      </c>
      <c r="I88" s="789"/>
      <c r="L88" s="2698"/>
      <c r="P88" s="52"/>
    </row>
    <row r="89" spans="1:16" hidden="1">
      <c r="B89" s="80" t="s">
        <v>1237</v>
      </c>
      <c r="C89" s="80"/>
      <c r="D89" s="10">
        <f>IF($B$83&lt;&gt;"Ely",Konerekisteri!J31,Konerekisteri!T31)*H89</f>
        <v>0</v>
      </c>
      <c r="E89" s="10"/>
      <c r="F89" s="836">
        <f>IF($B$83&lt;&gt;"ely",Rakennukset!M26,Rakennukset!AC26)*H89</f>
        <v>0</v>
      </c>
      <c r="G89" s="836"/>
      <c r="H89" s="37">
        <v>1</v>
      </c>
      <c r="I89" s="789"/>
      <c r="L89" s="2698"/>
      <c r="P89" s="52"/>
    </row>
    <row r="90" spans="1:16" hidden="1">
      <c r="B90" s="80" t="s">
        <v>1238</v>
      </c>
      <c r="C90" s="80"/>
      <c r="D90" s="10">
        <f>IF($B$83&lt;&gt;"Ely",Konerekisteri!J32,Konerekisteri!T32)*H90</f>
        <v>0</v>
      </c>
      <c r="E90" s="10"/>
      <c r="F90" s="836">
        <f>IF($B$83&lt;&gt;"ely",Rakennukset!M27,Rakennukset!AC27)*H90</f>
        <v>0</v>
      </c>
      <c r="G90" s="836"/>
      <c r="H90" s="37">
        <v>1</v>
      </c>
      <c r="I90" s="789"/>
      <c r="L90" s="2698"/>
      <c r="P90" s="52"/>
    </row>
    <row r="91" spans="1:16" hidden="1">
      <c r="B91" s="80" t="s">
        <v>1239</v>
      </c>
      <c r="C91" s="80"/>
      <c r="D91" s="10">
        <f>IF(AND(B83&lt;&gt;"ely",LaskeKoneurakointi!F2="kyllä"),Konerekisteri!J33,Konerekisteri!T33)*H91</f>
        <v>0</v>
      </c>
      <c r="E91" s="10"/>
      <c r="F91" s="836">
        <f>IF(AND(B83&lt;&gt;"ely",LaskeKoneurakointi!F2="kyllä"),Rakennukset!M28)*H91</f>
        <v>0</v>
      </c>
      <c r="G91" s="836"/>
      <c r="H91" s="37">
        <v>1</v>
      </c>
      <c r="I91" s="789"/>
      <c r="L91" s="2698"/>
      <c r="P91" s="52"/>
    </row>
    <row r="92" spans="1:16" hidden="1">
      <c r="B92" s="80" t="s">
        <v>1240</v>
      </c>
      <c r="C92" s="80"/>
      <c r="D92" s="10">
        <f>IF(AND(B83&lt;&gt;"ely",'Hinnoittele jatkojalostus'!$J$2="kyllä"),Konerekisteri!J34,Konerekisteri!T34)*H92</f>
        <v>0</v>
      </c>
      <c r="E92" s="10"/>
      <c r="F92" s="836">
        <f>IF(AND(B83&lt;&gt;"Ely",'Hinnoittele jatkojalostus'!$J$2="kyllä"),Rakennukset!M29,Rakennukset!AC29)*H92</f>
        <v>0</v>
      </c>
      <c r="G92" s="836"/>
      <c r="H92" s="37">
        <v>1</v>
      </c>
      <c r="I92" s="789"/>
      <c r="L92" s="2698"/>
      <c r="P92" s="52"/>
    </row>
    <row r="93" spans="1:16" hidden="1">
      <c r="B93" s="80" t="s">
        <v>1241</v>
      </c>
      <c r="C93" s="80"/>
      <c r="D93" s="10">
        <f>IF(B83&lt;&gt;"Ely",Konerekisteri!J35,Konerekisteri!T35)*H93</f>
        <v>0</v>
      </c>
      <c r="E93" s="10"/>
      <c r="F93" s="836">
        <f>IF(B83&lt;&gt;"ely",Rakennukset!M30,Rakennukset!AC30)*H93</f>
        <v>0</v>
      </c>
      <c r="G93" s="836"/>
      <c r="H93" s="37">
        <v>1</v>
      </c>
      <c r="I93" s="789"/>
      <c r="L93" s="2698"/>
      <c r="P93" s="52"/>
    </row>
    <row r="94" spans="1:16" ht="13.5" hidden="1" thickBot="1">
      <c r="B94" s="1069" t="s">
        <v>739</v>
      </c>
      <c r="C94" s="1069"/>
      <c r="D94" s="10">
        <f>IF(OR('EVL yrityksen 1 katelaskenta'!F2="ei",'EVL yrityksen 2 katelaskenta'!F2="ei"),0,Konerekisteri!J36)*H94</f>
        <v>0</v>
      </c>
      <c r="E94" s="10"/>
      <c r="F94" s="836">
        <f>IF(OR('EVL yrityksen 1 katelaskenta'!F2="ei",'EVL yrityksen 2 katelaskenta'!F2="ei"),0,Rakennukset!M31)*H94</f>
        <v>0</v>
      </c>
      <c r="G94" s="836"/>
      <c r="H94" s="1403">
        <v>1</v>
      </c>
      <c r="I94" s="789"/>
      <c r="L94" s="2698"/>
      <c r="P94" s="52"/>
    </row>
    <row r="95" spans="1:16" ht="16.5" hidden="1" thickBot="1">
      <c r="B95" s="1992" t="s">
        <v>991</v>
      </c>
      <c r="C95" s="1992"/>
      <c r="D95" s="1025">
        <f>SUM(D87:D94)</f>
        <v>0</v>
      </c>
      <c r="E95" s="1023"/>
      <c r="F95" s="1023">
        <f>SUM(F87:F94)</f>
        <v>0</v>
      </c>
      <c r="G95" s="1023"/>
      <c r="H95" s="1404">
        <v>1</v>
      </c>
      <c r="I95" s="1429"/>
      <c r="J95" s="1074">
        <f>SUM(D95:F95)*H95</f>
        <v>0</v>
      </c>
      <c r="K95" s="391"/>
      <c r="L95" s="1155" t="str">
        <f>IFERROR(J95/SUM($J$60,$J$80,$J$136),"")</f>
        <v/>
      </c>
      <c r="M95" t="s">
        <v>978</v>
      </c>
      <c r="P95" s="52"/>
    </row>
    <row r="96" spans="1:16" hidden="1">
      <c r="F96" s="10"/>
      <c r="G96" s="10"/>
      <c r="P96" s="52"/>
    </row>
    <row r="97" spans="2:16" hidden="1">
      <c r="B97" s="214" t="s">
        <v>992</v>
      </c>
      <c r="C97" s="214"/>
      <c r="D97" s="521" t="str">
        <f>D86</f>
        <v>Koneista</v>
      </c>
      <c r="E97" s="521"/>
      <c r="F97" s="2" t="str">
        <f>F86</f>
        <v>Rakennukset, pellot yms.</v>
      </c>
      <c r="G97" s="2"/>
      <c r="L97" s="2786">
        <f>F126</f>
        <v>0</v>
      </c>
      <c r="P97" s="52"/>
    </row>
    <row r="98" spans="2:16" hidden="1">
      <c r="B98" t="str">
        <f t="shared" ref="B98:B105" si="18">B87</f>
        <v>Kasvi</v>
      </c>
      <c r="D98" s="836">
        <f>IF(B83&lt;&gt;"ely",Konerekisteri!K29,Konerekisteri!W29)*H98</f>
        <v>0</v>
      </c>
      <c r="E98" s="836"/>
      <c r="F98" s="10">
        <f>IF($B$83&lt;&gt;"ely",Rakennukset!Q24,Rakennukset!AF24)*H98</f>
        <v>0</v>
      </c>
      <c r="G98" s="10"/>
      <c r="H98" s="37">
        <v>1</v>
      </c>
      <c r="I98" s="789"/>
      <c r="L98" s="2698"/>
      <c r="P98" s="52"/>
    </row>
    <row r="99" spans="2:16" hidden="1">
      <c r="B99" t="str">
        <f t="shared" si="18"/>
        <v>Nurmi</v>
      </c>
      <c r="D99" s="836">
        <f>IF(B84&lt;&gt;"ely",Konerekisteri!K30,Konerekisteri!W30)*H99</f>
        <v>0</v>
      </c>
      <c r="E99" s="836"/>
      <c r="F99" s="10">
        <f>IF($B$83&lt;&gt;"ely",Rakennukset!Q25,Rakennukset!AF25)*H99</f>
        <v>0</v>
      </c>
      <c r="G99" s="10"/>
      <c r="H99" s="37">
        <v>1</v>
      </c>
      <c r="I99" s="789"/>
      <c r="L99" s="2698"/>
      <c r="P99" s="52"/>
    </row>
    <row r="100" spans="2:16" hidden="1">
      <c r="B100" t="str">
        <f t="shared" si="18"/>
        <v>Kotieläintuotanto</v>
      </c>
      <c r="D100" s="836">
        <f>IF(B85&lt;&gt;"ely",Konerekisteri!K31,Konerekisteri!W31)*H100</f>
        <v>0</v>
      </c>
      <c r="E100" s="836"/>
      <c r="F100" s="10">
        <f>IF($B$83&lt;&gt;"ely",Rakennukset!Q26,Rakennukset!AF26)*H100</f>
        <v>0</v>
      </c>
      <c r="G100" s="10"/>
      <c r="H100" s="37">
        <v>1</v>
      </c>
      <c r="I100" s="789"/>
      <c r="L100" s="2698"/>
      <c r="P100" s="52"/>
    </row>
    <row r="101" spans="2:16" hidden="1">
      <c r="B101" t="str">
        <f t="shared" si="18"/>
        <v>Kasvihuonetuotanto</v>
      </c>
      <c r="D101" s="836">
        <f>IF(B86&lt;&gt;"ely",Konerekisteri!K32,Konerekisteri!W32)*H101</f>
        <v>0</v>
      </c>
      <c r="E101" s="836"/>
      <c r="F101" s="10">
        <f>IF($B$83&lt;&gt;"ely",Rakennukset!Q27,Rakennukset!AF27)*H101</f>
        <v>0</v>
      </c>
      <c r="G101" s="10"/>
      <c r="H101" s="37">
        <v>1</v>
      </c>
      <c r="I101" s="789"/>
      <c r="L101" s="2698"/>
      <c r="P101" s="52"/>
    </row>
    <row r="102" spans="2:16" hidden="1">
      <c r="B102" t="str">
        <f t="shared" si="18"/>
        <v>Urakointi</v>
      </c>
      <c r="D102" s="10">
        <f>IF(AND(B83&lt;&gt;"ely",LaskeKoneurakointi!F2="kyllä"),Konerekisteri!K33,Konerekisteri!W33)*H102</f>
        <v>0</v>
      </c>
      <c r="E102" s="10"/>
      <c r="F102" s="836" t="e">
        <f>IF(AND(B83&lt;&gt;"ely",LaskeKoneurakointi!F2="kyllä"),Rakennukset!Q28,Rakennukset!#REF!)*H102</f>
        <v>#REF!</v>
      </c>
      <c r="G102" s="836"/>
      <c r="H102" s="37">
        <v>1</v>
      </c>
      <c r="I102" s="789"/>
      <c r="J102" s="10"/>
      <c r="K102" s="10"/>
      <c r="L102" s="2698"/>
      <c r="P102" s="52"/>
    </row>
    <row r="103" spans="2:16" hidden="1">
      <c r="B103" t="str">
        <f t="shared" si="18"/>
        <v>Jatkojalostus</v>
      </c>
      <c r="D103" s="10">
        <f>IF(AND(B83&lt;&gt;"ely",'Hinnoittele jatkojalostus'!$J$2="kyllä"),Konerekisteri!K34,Konerekisteri!W34)*H103</f>
        <v>0</v>
      </c>
      <c r="E103" s="10"/>
      <c r="F103" s="836">
        <f>IF(AND(B83&lt;&gt;"ely",'Hinnoittele jatkojalostus'!$J$2="kyllä"),Rakennukset!Q29,Rakennukset!AF29)*H103</f>
        <v>0</v>
      </c>
      <c r="G103" s="836"/>
      <c r="H103" s="37">
        <v>1</v>
      </c>
      <c r="I103" s="789"/>
      <c r="J103" s="10"/>
      <c r="K103" s="10"/>
      <c r="L103" s="2698"/>
      <c r="P103" s="52"/>
    </row>
    <row r="104" spans="2:16" hidden="1">
      <c r="B104" t="str">
        <f t="shared" si="18"/>
        <v>Metsä</v>
      </c>
      <c r="D104" s="836">
        <f>IF(B83&lt;&gt;"ely",Konerekisteri!K35,Konerekisteri!W35)*H104</f>
        <v>0</v>
      </c>
      <c r="E104" s="836"/>
      <c r="F104" s="10">
        <f>IF(B83&lt;&gt;"ely",Rakennukset!Q30,Rakennukset!AF30)*H104</f>
        <v>0</v>
      </c>
      <c r="G104" s="10"/>
      <c r="H104" s="37">
        <v>1</v>
      </c>
      <c r="I104" s="789"/>
      <c r="J104" s="10"/>
      <c r="K104" s="10"/>
      <c r="L104" s="2698"/>
      <c r="P104" s="52"/>
    </row>
    <row r="105" spans="2:16" ht="13.5" hidden="1" thickBot="1">
      <c r="B105" s="59" t="str">
        <f t="shared" si="18"/>
        <v>EVL</v>
      </c>
      <c r="C105" s="59"/>
      <c r="D105" s="836">
        <f>IF(OR('EVL yrityksen 1 katelaskenta'!F2="ei",'EVL yrityksen 2 katelaskenta'!F2="ei"),0,Konerekisteri!K36)*H105</f>
        <v>0</v>
      </c>
      <c r="E105" s="836"/>
      <c r="F105" s="636">
        <f>IF(OR('EVL yrityksen 1 katelaskenta'!F2="ei",'EVL yrityksen 2 katelaskenta'!F2="ei"),0,Rakennukset!Q31)*H105</f>
        <v>0</v>
      </c>
      <c r="G105" s="636"/>
      <c r="H105" s="1403">
        <v>1</v>
      </c>
      <c r="I105" s="789"/>
      <c r="J105" s="10"/>
      <c r="K105" s="10"/>
      <c r="L105" s="2698"/>
      <c r="P105" s="52"/>
    </row>
    <row r="106" spans="2:16" ht="16.5" hidden="1" thickBot="1">
      <c r="B106" s="3" t="s">
        <v>997</v>
      </c>
      <c r="C106" s="3"/>
      <c r="D106" s="1025">
        <f>SUM(D98:D105)</f>
        <v>0</v>
      </c>
      <c r="E106" s="1023"/>
      <c r="F106" s="1023" t="e">
        <f>SUM(F98:F105)</f>
        <v>#REF!</v>
      </c>
      <c r="G106" s="1023"/>
      <c r="H106" s="1404">
        <v>1</v>
      </c>
      <c r="I106" s="1429"/>
      <c r="J106" s="1074" t="e">
        <f>SUM(D106:F106)*H106</f>
        <v>#REF!</v>
      </c>
      <c r="K106" s="391"/>
      <c r="L106" s="1155" t="str">
        <f>IFERROR(J106/SUM($J$60,$J$80,$J$136),"")</f>
        <v/>
      </c>
      <c r="M106" t="s">
        <v>978</v>
      </c>
      <c r="P106" s="52"/>
    </row>
    <row r="107" spans="2:16" hidden="1">
      <c r="B107" s="3"/>
      <c r="C107" s="3"/>
      <c r="D107" s="9"/>
      <c r="E107" s="9"/>
      <c r="F107" s="9"/>
      <c r="G107" s="9"/>
      <c r="J107" s="9"/>
      <c r="K107" s="9"/>
      <c r="L107" s="26"/>
      <c r="P107" s="52"/>
    </row>
    <row r="108" spans="2:16" hidden="1">
      <c r="B108" s="3" t="s">
        <v>769</v>
      </c>
      <c r="C108" s="3"/>
      <c r="D108" s="9" t="str">
        <f>D97</f>
        <v>Koneista</v>
      </c>
      <c r="E108" s="9"/>
      <c r="F108" s="1014" t="str">
        <f>F97</f>
        <v>Rakennukset, pellot yms.</v>
      </c>
      <c r="G108" s="1014"/>
      <c r="H108" s="3" t="s">
        <v>1242</v>
      </c>
      <c r="I108" s="3"/>
      <c r="J108" s="10"/>
      <c r="K108" s="10"/>
      <c r="L108" s="26"/>
      <c r="P108" s="52"/>
    </row>
    <row r="109" spans="2:16" hidden="1">
      <c r="B109" t="str">
        <f t="shared" ref="B109:B116" si="19">B98</f>
        <v>Kasvi</v>
      </c>
      <c r="D109" s="9">
        <f>Konerekisteri!L29</f>
        <v>0</v>
      </c>
      <c r="E109" s="9"/>
      <c r="F109" s="9">
        <f>SUM(Rakennukset!R24:'Rakennukset'!U24)</f>
        <v>0</v>
      </c>
      <c r="G109" s="9"/>
      <c r="H109" s="836">
        <f>IF(Lähtötiedot!B60&gt;0,Lähtötiedot!G60,0)</f>
        <v>0</v>
      </c>
      <c r="I109" s="836"/>
      <c r="J109" s="10"/>
      <c r="K109" s="10"/>
      <c r="L109" s="26"/>
      <c r="O109" s="977">
        <f>$O$4</f>
        <v>0.255</v>
      </c>
      <c r="P109" s="1138">
        <f>SUM(D109:H109)*O109</f>
        <v>0</v>
      </c>
    </row>
    <row r="110" spans="2:16" hidden="1">
      <c r="B110" t="str">
        <f t="shared" si="19"/>
        <v>Nurmi</v>
      </c>
      <c r="D110" s="9">
        <f>Konerekisteri!L30</f>
        <v>0</v>
      </c>
      <c r="E110" s="9"/>
      <c r="F110" s="9">
        <f>SUM(Rakennukset!R25:'Rakennukset'!U25)</f>
        <v>0</v>
      </c>
      <c r="G110" s="9"/>
      <c r="H110" s="836">
        <f>IF(Lähtötiedot!B61&gt;0,Lähtötiedot!G61,0)</f>
        <v>0</v>
      </c>
      <c r="I110" s="836"/>
      <c r="J110" s="10"/>
      <c r="K110" s="10"/>
      <c r="L110" s="26"/>
      <c r="O110" s="977">
        <f>$O$4</f>
        <v>0.255</v>
      </c>
      <c r="P110" s="1139"/>
    </row>
    <row r="111" spans="2:16" hidden="1">
      <c r="B111" t="str">
        <f t="shared" si="19"/>
        <v>Kotieläintuotanto</v>
      </c>
      <c r="D111" s="9">
        <f>Konerekisteri!L31</f>
        <v>0</v>
      </c>
      <c r="E111" s="9"/>
      <c r="F111" s="9">
        <f>SUM(Rakennukset!R26:'Rakennukset'!U26)</f>
        <v>0</v>
      </c>
      <c r="G111" s="9"/>
      <c r="H111" s="836">
        <f>IF(Lähtötiedot!C46&gt;0,Lähtötiedot!D50,0)</f>
        <v>0</v>
      </c>
      <c r="I111" s="836"/>
      <c r="J111" s="10"/>
      <c r="K111" s="10"/>
      <c r="L111" s="26"/>
      <c r="O111" s="977">
        <f t="shared" ref="O111:O116" si="20">$O$4</f>
        <v>0.255</v>
      </c>
      <c r="P111" s="1138">
        <f t="shared" ref="P111:P114" si="21">SUM(D111:H111)*O111</f>
        <v>0</v>
      </c>
    </row>
    <row r="112" spans="2:16" hidden="1">
      <c r="B112" t="str">
        <f t="shared" si="19"/>
        <v>Kasvihuonetuotanto</v>
      </c>
      <c r="D112" s="9">
        <f>Konerekisteri!L32</f>
        <v>0</v>
      </c>
      <c r="E112" s="9"/>
      <c r="F112" s="9">
        <f>SUM(Rakennukset!R27:'Rakennukset'!U27)</f>
        <v>0</v>
      </c>
      <c r="G112" s="9"/>
      <c r="H112" s="1015">
        <v>0</v>
      </c>
      <c r="I112" s="1430"/>
      <c r="J112" s="10"/>
      <c r="K112" s="10"/>
      <c r="L112" s="26"/>
      <c r="O112" s="977">
        <f t="shared" si="20"/>
        <v>0.255</v>
      </c>
      <c r="P112" s="1138">
        <f t="shared" si="21"/>
        <v>0</v>
      </c>
    </row>
    <row r="113" spans="2:16" hidden="1">
      <c r="B113" t="str">
        <f t="shared" si="19"/>
        <v>Urakointi</v>
      </c>
      <c r="D113" s="9">
        <f>IF(LaskeKoneurakointi!F2="kyllä",Konerekisteri!L33+LaskeKoneurakointi!H51,0)</f>
        <v>0</v>
      </c>
      <c r="E113" s="9"/>
      <c r="F113" s="9">
        <f>IF(LaskeKoneurakointi!F2="kyllä",SUM(Rakennukset!R28:'Rakennukset'!U28),0)</f>
        <v>0</v>
      </c>
      <c r="G113" s="9"/>
      <c r="H113" s="1015">
        <v>0</v>
      </c>
      <c r="I113" s="1430"/>
      <c r="J113" s="10"/>
      <c r="K113" s="10"/>
      <c r="L113" s="26"/>
      <c r="O113" s="977">
        <f t="shared" si="20"/>
        <v>0.255</v>
      </c>
      <c r="P113" s="1138">
        <f t="shared" si="21"/>
        <v>0</v>
      </c>
    </row>
    <row r="114" spans="2:16" hidden="1">
      <c r="B114" t="str">
        <f t="shared" si="19"/>
        <v>Jatkojalostus</v>
      </c>
      <c r="D114" s="9">
        <f>IF('Hinnoittele jatkojalostus'!J2="kyllä",Konerekisteri!L34,0)</f>
        <v>0</v>
      </c>
      <c r="E114" s="9"/>
      <c r="F114" s="9">
        <f>IF('Hinnoittele jatkojalostus'!J2="kyllä",SUM(Rakennukset!R29:'Rakennukset'!U29),0)</f>
        <v>0</v>
      </c>
      <c r="G114" s="9"/>
      <c r="H114" s="1015">
        <v>0</v>
      </c>
      <c r="I114" s="1430"/>
      <c r="J114" s="10"/>
      <c r="K114" s="10"/>
      <c r="L114" s="26"/>
      <c r="O114" s="977">
        <f t="shared" si="20"/>
        <v>0.255</v>
      </c>
      <c r="P114" s="1138">
        <f t="shared" si="21"/>
        <v>0</v>
      </c>
    </row>
    <row r="115" spans="2:16" hidden="1">
      <c r="B115" t="str">
        <f t="shared" si="19"/>
        <v>Metsä</v>
      </c>
      <c r="D115" s="9">
        <f>Konerekisteri!L35</f>
        <v>0</v>
      </c>
      <c r="E115" s="9"/>
      <c r="F115" s="9">
        <f>SUM(Rakennukset!R30:'Rakennukset'!U30)</f>
        <v>0</v>
      </c>
      <c r="G115" s="9"/>
      <c r="H115" s="836">
        <f>Lähtötiedot!D56</f>
        <v>0</v>
      </c>
      <c r="I115" s="836"/>
      <c r="J115" s="10"/>
      <c r="K115" s="10"/>
      <c r="L115" s="26"/>
      <c r="O115" s="977">
        <f t="shared" si="20"/>
        <v>0.255</v>
      </c>
      <c r="P115" s="1138">
        <f>SUM(D115:H115)*O115</f>
        <v>0</v>
      </c>
    </row>
    <row r="116" spans="2:16" ht="13.5" hidden="1" thickBot="1">
      <c r="B116" s="59" t="str">
        <f t="shared" si="19"/>
        <v>EVL</v>
      </c>
      <c r="C116" s="59"/>
      <c r="D116" s="9">
        <f>IF(OR('EVL yrityksen 1 katelaskenta'!F2="ei",'EVL yrityksen 2 katelaskenta'!F2="ei"),0,Konerekisteri!L36)</f>
        <v>0</v>
      </c>
      <c r="E116" s="9"/>
      <c r="F116" s="9">
        <f>IF(OR('EVL yrityksen 1 katelaskenta'!F2="ei",'EVL yrityksen 2 katelaskenta'!F2="ei"),0,SUM(Rakennukset!R31:'Rakennukset'!U31))</f>
        <v>0</v>
      </c>
      <c r="G116" s="9"/>
      <c r="H116" s="836">
        <f>'EVL yrityksen 1 katelaskenta'!D50+'EVL yrityksen 2 katelaskenta'!D49</f>
        <v>0</v>
      </c>
      <c r="I116" s="836"/>
      <c r="J116" s="10"/>
      <c r="K116" s="10"/>
      <c r="L116" s="26"/>
      <c r="O116" s="977">
        <f t="shared" si="20"/>
        <v>0.255</v>
      </c>
      <c r="P116" s="1138">
        <f>SUM(D116:H116)*O116</f>
        <v>0</v>
      </c>
    </row>
    <row r="117" spans="2:16" ht="16.5" hidden="1" thickBot="1">
      <c r="B117" s="1022" t="s">
        <v>999</v>
      </c>
      <c r="C117" s="1419"/>
      <c r="D117" s="1023">
        <f>SUM(D109:D116)</f>
        <v>0</v>
      </c>
      <c r="E117" s="1023"/>
      <c r="F117" s="1023">
        <f>SUM(F109:F116)</f>
        <v>0</v>
      </c>
      <c r="G117" s="1023"/>
      <c r="H117" s="1023">
        <f>SUM(H109:H116)</f>
        <v>0</v>
      </c>
      <c r="I117" s="1023"/>
      <c r="J117" s="1074">
        <f>SUM(D117:H117)</f>
        <v>0</v>
      </c>
      <c r="K117" s="1074"/>
      <c r="L117" s="1026" t="str">
        <f>IFERROR(J117/SUM($J$60,$J$80,$J$136),"")</f>
        <v/>
      </c>
      <c r="M117" t="s">
        <v>978</v>
      </c>
      <c r="P117" s="52"/>
    </row>
    <row r="118" spans="2:16" ht="13.5" hidden="1" thickBot="1">
      <c r="B118" s="1101" t="s">
        <v>241</v>
      </c>
      <c r="C118" s="1101"/>
      <c r="D118" s="1025">
        <f>SUM(D95,D106,D117)</f>
        <v>0</v>
      </c>
      <c r="E118" s="1023"/>
      <c r="F118" s="1024" t="e">
        <f>SUM(F95,F106,F117)</f>
        <v>#REF!</v>
      </c>
      <c r="G118" s="1024"/>
      <c r="H118" s="1024">
        <f>SUM(H109:H116)</f>
        <v>0</v>
      </c>
      <c r="I118" s="9"/>
      <c r="P118" s="52"/>
    </row>
    <row r="119" spans="2:16" hidden="1">
      <c r="B119" s="3"/>
      <c r="C119" s="3"/>
      <c r="D119" s="2843" t="e">
        <f>SUM(D118:H118)</f>
        <v>#REF!</v>
      </c>
      <c r="E119" s="2844"/>
      <c r="F119" s="2844"/>
      <c r="G119" s="2844"/>
      <c r="H119" s="2844"/>
      <c r="I119" s="1431"/>
      <c r="J119" s="9"/>
      <c r="K119" s="9"/>
      <c r="L119" s="26"/>
      <c r="P119" s="52"/>
    </row>
    <row r="120" spans="2:16" hidden="1">
      <c r="B120" s="214" t="s">
        <v>1000</v>
      </c>
      <c r="C120" s="214"/>
      <c r="D120" t="s">
        <v>1001</v>
      </c>
      <c r="F120" s="10"/>
      <c r="G120" s="10"/>
      <c r="J120" s="10"/>
      <c r="K120" s="10"/>
      <c r="P120" s="52"/>
    </row>
    <row r="121" spans="2:16" ht="13.5" hidden="1" thickBot="1">
      <c r="B121" s="25" t="s">
        <v>986</v>
      </c>
      <c r="C121" s="25"/>
      <c r="D121" s="52" t="s">
        <v>1243</v>
      </c>
      <c r="E121" s="52"/>
      <c r="F121" s="10">
        <f>Lainarekisteri!G23+Lainarekisteri!G25</f>
        <v>0</v>
      </c>
      <c r="G121" s="10"/>
      <c r="H121" s="935" t="s">
        <v>1003</v>
      </c>
      <c r="I121" s="935"/>
      <c r="J121" s="10"/>
      <c r="K121" s="10"/>
      <c r="L121" s="52"/>
      <c r="P121" s="52"/>
    </row>
    <row r="122" spans="2:16" hidden="1">
      <c r="B122" s="25" t="s">
        <v>1004</v>
      </c>
      <c r="C122" s="25"/>
      <c r="D122" s="52"/>
      <c r="E122" s="52"/>
      <c r="F122" s="811">
        <f>Lainarekisteri!L23+Lainarekisteri!M23</f>
        <v>0</v>
      </c>
      <c r="G122" s="10"/>
      <c r="H122" s="935" t="s">
        <v>1005</v>
      </c>
      <c r="I122" s="935"/>
      <c r="J122" s="10"/>
      <c r="K122" s="10"/>
      <c r="O122" s="1077">
        <f>$O$4</f>
        <v>0.255</v>
      </c>
      <c r="P122" s="696">
        <f>F122*O122</f>
        <v>0</v>
      </c>
    </row>
    <row r="123" spans="2:16" ht="13.5" hidden="1" thickBot="1">
      <c r="B123" s="25" t="s">
        <v>1006</v>
      </c>
      <c r="C123" s="25"/>
      <c r="D123" s="52"/>
      <c r="E123" s="52"/>
      <c r="F123" s="812">
        <f>Lainarekisteri!K23</f>
        <v>0</v>
      </c>
      <c r="G123" s="10"/>
      <c r="H123" s="935" t="s">
        <v>1007</v>
      </c>
      <c r="I123" s="935"/>
      <c r="J123" s="10"/>
      <c r="K123" s="10"/>
    </row>
    <row r="124" spans="2:16" hidden="1">
      <c r="B124" s="25" t="s">
        <v>1008</v>
      </c>
      <c r="C124" s="25"/>
      <c r="D124" s="52"/>
      <c r="E124" s="52"/>
      <c r="F124" s="811">
        <f>SUM(Lainarekisteri!L25:M25)</f>
        <v>0</v>
      </c>
      <c r="G124" s="10"/>
      <c r="H124" s="935" t="s">
        <v>1009</v>
      </c>
      <c r="I124" s="935"/>
      <c r="J124" s="10"/>
      <c r="K124" s="10"/>
      <c r="O124" s="1077">
        <f>$O$4</f>
        <v>0.255</v>
      </c>
      <c r="P124" s="696">
        <f>F124*O124</f>
        <v>0</v>
      </c>
    </row>
    <row r="125" spans="2:16" ht="13.5" hidden="1" thickBot="1">
      <c r="B125" s="25" t="s">
        <v>1010</v>
      </c>
      <c r="C125" s="25"/>
      <c r="D125" s="52"/>
      <c r="E125" s="52"/>
      <c r="F125" s="1027">
        <f>Lainarekisteri!K25</f>
        <v>0</v>
      </c>
      <c r="G125" s="10"/>
      <c r="H125" s="935" t="s">
        <v>1011</v>
      </c>
      <c r="I125" s="935"/>
      <c r="J125" s="10"/>
      <c r="K125" s="10"/>
      <c r="O125" s="695"/>
      <c r="P125" s="696"/>
    </row>
    <row r="126" spans="2:16" ht="13.5" hidden="1" thickBot="1">
      <c r="B126" s="3" t="s">
        <v>1012</v>
      </c>
      <c r="C126" s="3"/>
      <c r="F126" s="823">
        <f>SUM(F122:F125)</f>
        <v>0</v>
      </c>
      <c r="G126" s="9"/>
      <c r="H126" s="37">
        <v>1</v>
      </c>
      <c r="I126" s="789"/>
      <c r="J126" s="1024">
        <f>SUM(F122:F125)*H126</f>
        <v>0</v>
      </c>
      <c r="K126" s="9"/>
      <c r="L126" s="26" t="str">
        <f>IFERROR(J126/SUM($J$60,$J$80,$J$136),"")</f>
        <v/>
      </c>
      <c r="M126" t="s">
        <v>978</v>
      </c>
      <c r="P126" s="52"/>
    </row>
    <row r="127" spans="2:16" hidden="1">
      <c r="D127" s="3"/>
      <c r="E127" s="3"/>
      <c r="F127" s="10"/>
      <c r="G127" s="10"/>
      <c r="J127" s="10"/>
      <c r="K127" s="10"/>
      <c r="P127" s="52"/>
    </row>
    <row r="128" spans="2:16" ht="13.5" hidden="1" thickBot="1">
      <c r="D128" s="3"/>
      <c r="E128" s="3"/>
      <c r="F128" s="10"/>
      <c r="G128" s="10"/>
      <c r="J128" s="10"/>
      <c r="K128" s="10"/>
      <c r="P128" s="52"/>
    </row>
    <row r="129" spans="1:18" hidden="1">
      <c r="B129" s="819" t="s">
        <v>1013</v>
      </c>
      <c r="C129" s="1420"/>
      <c r="D129" s="813" t="s">
        <v>1001</v>
      </c>
      <c r="E129" s="813"/>
      <c r="F129" s="820"/>
      <c r="G129" s="820"/>
      <c r="H129" s="813"/>
      <c r="I129" s="813"/>
      <c r="J129" s="824"/>
      <c r="K129" s="1439"/>
      <c r="P129" s="52"/>
    </row>
    <row r="130" spans="1:18" hidden="1">
      <c r="B130" s="821" t="s">
        <v>986</v>
      </c>
      <c r="C130" s="25"/>
      <c r="D130" s="52"/>
      <c r="E130" s="52"/>
      <c r="F130" s="10">
        <f>Lainarekisteri!G24</f>
        <v>0</v>
      </c>
      <c r="G130" s="10"/>
      <c r="J130" s="825"/>
      <c r="K130" s="1439"/>
      <c r="P130" s="52"/>
    </row>
    <row r="131" spans="1:18" hidden="1">
      <c r="B131" s="821" t="s">
        <v>1004</v>
      </c>
      <c r="C131" s="25"/>
      <c r="D131" s="52"/>
      <c r="E131" s="52"/>
      <c r="F131" s="10">
        <f>Lainarekisteri!L24+Lainarekisteri!M24</f>
        <v>0</v>
      </c>
      <c r="G131" s="10"/>
      <c r="J131" s="825"/>
      <c r="K131" s="1439"/>
    </row>
    <row r="132" spans="1:18" hidden="1">
      <c r="B132" s="821" t="s">
        <v>1006</v>
      </c>
      <c r="C132" s="25"/>
      <c r="D132" s="52"/>
      <c r="E132" s="52"/>
      <c r="F132" s="10">
        <f>Lainarekisteri!K24</f>
        <v>0</v>
      </c>
      <c r="G132" s="10"/>
      <c r="J132" s="825"/>
      <c r="K132" s="1439"/>
      <c r="P132" s="52"/>
    </row>
    <row r="133" spans="1:18" hidden="1">
      <c r="B133" s="814"/>
      <c r="D133" s="214" t="s">
        <v>1014</v>
      </c>
      <c r="E133" s="214"/>
      <c r="F133" s="10">
        <f>SUM(F130:F132)</f>
        <v>0</v>
      </c>
      <c r="G133" s="10"/>
      <c r="H133" s="23" t="s">
        <v>1244</v>
      </c>
      <c r="I133" s="23"/>
      <c r="J133" s="825"/>
      <c r="K133" s="1439"/>
      <c r="P133" s="52"/>
    </row>
    <row r="134" spans="1:18" ht="13.5" hidden="1" thickBot="1">
      <c r="B134" s="815"/>
      <c r="C134" s="818"/>
      <c r="D134" s="816"/>
      <c r="E134" s="816"/>
      <c r="F134" s="817"/>
      <c r="G134" s="817"/>
      <c r="H134" s="818"/>
      <c r="I134" s="818"/>
      <c r="J134" s="826"/>
      <c r="K134" s="1439"/>
      <c r="P134" s="52"/>
    </row>
    <row r="135" spans="1:18" ht="13.5" hidden="1" thickBot="1">
      <c r="B135" s="3"/>
      <c r="C135" s="3"/>
      <c r="P135" s="52"/>
    </row>
    <row r="136" spans="1:18" s="4" customFormat="1" ht="16.5" hidden="1" thickBot="1">
      <c r="B136" s="521" t="s">
        <v>1016</v>
      </c>
      <c r="C136" s="521"/>
      <c r="J136" s="1413" t="e">
        <f>SUM(J86:J135)</f>
        <v>#REF!</v>
      </c>
      <c r="K136" s="1440"/>
      <c r="L136" s="1414" t="str">
        <f>IFERROR(J136/SUM($J$60,$J$80,$J$136),"")</f>
        <v/>
      </c>
      <c r="M136" s="4" t="s">
        <v>978</v>
      </c>
    </row>
    <row r="137" spans="1:18" ht="13.5" hidden="1" thickBot="1">
      <c r="B137" s="3"/>
      <c r="C137" s="3"/>
      <c r="J137" s="10"/>
      <c r="K137" s="10"/>
    </row>
    <row r="138" spans="1:18" ht="18.75" hidden="1" thickBot="1">
      <c r="B138" s="558" t="s">
        <v>1017</v>
      </c>
      <c r="C138" s="558"/>
      <c r="D138" s="567"/>
      <c r="E138" s="567"/>
      <c r="F138" s="1042"/>
      <c r="G138" s="1042"/>
      <c r="H138" s="567"/>
      <c r="I138" s="567"/>
      <c r="J138" s="1072" t="e">
        <f>J82-J136</f>
        <v>#DIV/0!</v>
      </c>
      <c r="K138" s="1438"/>
      <c r="L138" s="26" t="str">
        <f>IFERROR(J138/$J$33,"")</f>
        <v/>
      </c>
      <c r="M138" t="s">
        <v>969</v>
      </c>
      <c r="P138" s="1248" t="e">
        <f>SUM(P37:P137)</f>
        <v>#DIV/0!</v>
      </c>
      <c r="Q138" t="s">
        <v>1018</v>
      </c>
    </row>
    <row r="139" spans="1:18" hidden="1">
      <c r="D139" s="52" t="str">
        <f>IF(F133&gt;0,"Epävirallinen rivi: Kotitalouden lainakuluja ei vähennetä, mutta ne on maksettava tällä tulolla, joten kun kotitalouden lainakulut vähennetty, JÄÄ KATETTA","")</f>
        <v/>
      </c>
      <c r="E139" s="52"/>
      <c r="L139" s="1043" t="str">
        <f>IF(F133&gt;0,J138-F133,"")</f>
        <v/>
      </c>
      <c r="Q139" s="10" t="e">
        <f>P33-P138</f>
        <v>#DIV/0!</v>
      </c>
      <c r="R139" t="s">
        <v>1019</v>
      </c>
    </row>
    <row r="140" spans="1:18" ht="16.5" thickBot="1">
      <c r="A140" s="1" t="s">
        <v>1245</v>
      </c>
      <c r="B140" s="1460" t="str">
        <f>IF('Rakenna TULOSENNUSTE'!C103="","",'Rakenna TULOSENNUSTE'!C103)</f>
        <v>Peruslaskenta</v>
      </c>
      <c r="C140" s="521" t="str">
        <f>IF(Lähtötiedot!F8&lt;&gt;"A","T","A")</f>
        <v>T</v>
      </c>
      <c r="D140" s="3" t="str">
        <f>IF(AND('Rakenna TULOSENNUSTE'!C103&lt;&gt;"ely-simulaatio",Lähtötiedot!F8="A"),"Poistotapa Annuiteettilaskenta! Laskelma ei ole Ely-versio",IF(B140="ely","Ely-simulaatio","Poistotapana tasapoistot. Laskelma ei ole Ely-versio"))</f>
        <v>Poistotapana tasapoistot. Laskelma ei ole Ely-versio</v>
      </c>
      <c r="G140" s="1490" t="str">
        <f>Lähtötiedot!B1&amp;" "&amp;Lähtötiedot!B2&amp;" "&amp;Lähtötiedot!A3&amp;": "&amp;Lähtötiedot!B3</f>
        <v>Nimi  Laskelmaversio: 1</v>
      </c>
      <c r="H140" s="1491"/>
      <c r="I140" s="1491"/>
      <c r="J140" s="2848"/>
      <c r="K140" s="2848"/>
      <c r="L140" s="2848"/>
    </row>
    <row r="141" spans="1:18" ht="26.25" customHeight="1" thickBot="1">
      <c r="A141" s="252" t="s">
        <v>188</v>
      </c>
      <c r="B141" s="1467">
        <f>IF(C141="",Lähtötiedot!C4,Lähtötiedot!C4+C141)</f>
        <v>2027</v>
      </c>
      <c r="C141" s="1477"/>
      <c r="D141" s="1468">
        <f>B141+1</f>
        <v>2028</v>
      </c>
      <c r="E141" s="1468"/>
      <c r="F141" s="1468">
        <f>D141+1</f>
        <v>2029</v>
      </c>
      <c r="G141" s="1468"/>
      <c r="H141" s="1468">
        <f>F141+1</f>
        <v>2030</v>
      </c>
      <c r="I141" s="1468"/>
      <c r="J141" s="1468">
        <f>H141+1</f>
        <v>2031</v>
      </c>
      <c r="K141" s="1468"/>
      <c r="L141" s="1468">
        <f t="shared" ref="L141" si="22">J141+1</f>
        <v>2032</v>
      </c>
    </row>
    <row r="142" spans="1:18" ht="16.5" customHeight="1">
      <c r="A142" s="1029" t="s">
        <v>1021</v>
      </c>
      <c r="B142" s="1415" t="s">
        <v>235</v>
      </c>
      <c r="C142" s="1415" t="s">
        <v>1246</v>
      </c>
      <c r="D142" s="1415" t="s">
        <v>235</v>
      </c>
      <c r="E142" s="1415" t="s">
        <v>1246</v>
      </c>
      <c r="F142" s="1080" t="s">
        <v>235</v>
      </c>
      <c r="G142" s="1415" t="s">
        <v>1246</v>
      </c>
      <c r="H142" s="1080" t="s">
        <v>235</v>
      </c>
      <c r="I142" s="1415" t="s">
        <v>1246</v>
      </c>
      <c r="J142" s="1080" t="s">
        <v>235</v>
      </c>
      <c r="K142" s="1415" t="s">
        <v>1246</v>
      </c>
      <c r="L142" s="1080" t="s">
        <v>235</v>
      </c>
    </row>
    <row r="143" spans="1:18" ht="15" customHeight="1">
      <c r="A143" s="697" t="s">
        <v>1022</v>
      </c>
      <c r="B143" s="1482">
        <f>'Rakenna TULOSENNUSTE'!C172</f>
        <v>0</v>
      </c>
      <c r="C143" s="1442">
        <v>0.01</v>
      </c>
      <c r="D143" s="1482">
        <f>B143*C143+B143</f>
        <v>0</v>
      </c>
      <c r="E143" s="1442">
        <v>0.01</v>
      </c>
      <c r="F143" s="1482">
        <f>D143*E143+D143</f>
        <v>0</v>
      </c>
      <c r="G143" s="1442">
        <v>0.01</v>
      </c>
      <c r="H143" s="1482">
        <f>F143*G143+F143</f>
        <v>0</v>
      </c>
      <c r="I143" s="1442">
        <v>0.01</v>
      </c>
      <c r="J143" s="1482">
        <f>H143*I143+H143</f>
        <v>0</v>
      </c>
      <c r="K143" s="1442">
        <v>0.01</v>
      </c>
      <c r="L143" s="1482">
        <f>J143*K143+J143</f>
        <v>0</v>
      </c>
    </row>
    <row r="144" spans="1:18" ht="15.75" customHeight="1">
      <c r="A144" s="699" t="s">
        <v>1247</v>
      </c>
      <c r="B144" s="1482">
        <f>'Rakenna TULOSENNUSTE'!C173</f>
        <v>0</v>
      </c>
      <c r="C144" s="1442">
        <v>-0.01</v>
      </c>
      <c r="D144" s="1482">
        <f>B144*C144+B144</f>
        <v>0</v>
      </c>
      <c r="E144" s="1442">
        <v>-0.01</v>
      </c>
      <c r="F144" s="1482">
        <f>D144*E144+D144</f>
        <v>0</v>
      </c>
      <c r="G144" s="1442">
        <v>-0.01</v>
      </c>
      <c r="H144" s="1482">
        <f>F144*G144+F144</f>
        <v>0</v>
      </c>
      <c r="I144" s="1442">
        <v>-0.01</v>
      </c>
      <c r="J144" s="1482">
        <f>H144*I144+H144</f>
        <v>0</v>
      </c>
      <c r="K144" s="1442">
        <v>-0.01</v>
      </c>
      <c r="L144" s="1482">
        <f>J144*K144+J144</f>
        <v>0</v>
      </c>
    </row>
    <row r="145" spans="1:12" ht="19.5" customHeight="1">
      <c r="A145" s="891" t="s">
        <v>1026</v>
      </c>
      <c r="B145" s="1079">
        <f>SUM(B143:B144)</f>
        <v>0</v>
      </c>
      <c r="C145" s="1079"/>
      <c r="D145" s="1079">
        <f>SUM(D143:D144)</f>
        <v>0</v>
      </c>
      <c r="E145" s="1079"/>
      <c r="F145" s="1079">
        <f>SUM(F143:F144)</f>
        <v>0</v>
      </c>
      <c r="G145" s="1079"/>
      <c r="H145" s="1079">
        <f>SUM(H143:H144)</f>
        <v>0</v>
      </c>
      <c r="I145" s="1079"/>
      <c r="J145" s="1079">
        <f>SUM(J143:J144)</f>
        <v>0</v>
      </c>
      <c r="K145" s="1079"/>
      <c r="L145" s="1079">
        <f>SUM(L143:L144)</f>
        <v>0</v>
      </c>
    </row>
    <row r="146" spans="1:12" ht="19.5" hidden="1" customHeight="1">
      <c r="A146" s="697" t="s">
        <v>1027</v>
      </c>
      <c r="B146" s="1470">
        <v>0</v>
      </c>
      <c r="C146" s="1082"/>
      <c r="D146" s="1470">
        <v>0</v>
      </c>
      <c r="E146" s="1082"/>
      <c r="F146" s="1470">
        <v>0</v>
      </c>
      <c r="G146" s="1082"/>
      <c r="H146" s="1470">
        <v>0</v>
      </c>
      <c r="I146" s="1082"/>
      <c r="J146" s="1470">
        <v>0</v>
      </c>
      <c r="K146" s="1082"/>
      <c r="L146" s="1470">
        <v>0</v>
      </c>
    </row>
    <row r="147" spans="1:12" ht="19.5" hidden="1" customHeight="1">
      <c r="A147" s="700" t="s">
        <v>1028</v>
      </c>
      <c r="B147" s="1079">
        <f>SUM(B145:B146)</f>
        <v>0</v>
      </c>
      <c r="C147" s="1079"/>
      <c r="D147" s="1079">
        <f>SUM(D145:D146)</f>
        <v>0</v>
      </c>
      <c r="E147" s="1079"/>
      <c r="F147" s="1079">
        <f>SUM(F145:F146)</f>
        <v>0</v>
      </c>
      <c r="G147" s="1079"/>
      <c r="H147" s="1079">
        <f>SUM(H145:H146)</f>
        <v>0</v>
      </c>
      <c r="I147" s="1079"/>
      <c r="J147" s="1079">
        <f>SUM(J145:J146)</f>
        <v>0</v>
      </c>
      <c r="K147" s="1079"/>
      <c r="L147" s="1079">
        <f>SUM(L145:L146)</f>
        <v>0</v>
      </c>
    </row>
    <row r="148" spans="1:12" ht="21" customHeight="1">
      <c r="A148" t="s">
        <v>1029</v>
      </c>
      <c r="B148" s="1483">
        <f>'Rakenna TULOSENNUSTE'!C177</f>
        <v>0</v>
      </c>
      <c r="C148" s="1442">
        <v>0.01</v>
      </c>
      <c r="D148" s="1482">
        <f>B148*C148+B148</f>
        <v>0</v>
      </c>
      <c r="E148" s="1442">
        <v>0.02</v>
      </c>
      <c r="F148" s="1482">
        <f>D148*E148+D148</f>
        <v>0</v>
      </c>
      <c r="G148" s="1442">
        <v>0.02</v>
      </c>
      <c r="H148" s="1482">
        <f>F148*G148+F148</f>
        <v>0</v>
      </c>
      <c r="I148" s="1442">
        <v>0.02</v>
      </c>
      <c r="J148" s="1482">
        <f>H148*I148+H148</f>
        <v>0</v>
      </c>
      <c r="K148" s="1442">
        <v>0.02</v>
      </c>
      <c r="L148" s="1482">
        <f>J148*K148+J148</f>
        <v>0</v>
      </c>
    </row>
    <row r="149" spans="1:12" ht="18.75" customHeight="1">
      <c r="A149" s="52" t="s">
        <v>1030</v>
      </c>
      <c r="B149" s="1483">
        <f>'Rakenna TULOSENNUSTE'!C178</f>
        <v>0</v>
      </c>
      <c r="C149" s="1442">
        <v>0</v>
      </c>
      <c r="D149" s="1482">
        <f>B149*C149+B149</f>
        <v>0</v>
      </c>
      <c r="E149" s="1442">
        <v>0</v>
      </c>
      <c r="F149" s="1482">
        <f>D149*E149+D149</f>
        <v>0</v>
      </c>
      <c r="G149" s="1442">
        <v>0</v>
      </c>
      <c r="H149" s="1482">
        <f>F149*G149+F149</f>
        <v>0</v>
      </c>
      <c r="I149" s="1442">
        <v>0</v>
      </c>
      <c r="J149" s="1482">
        <f>H149*I149+H149</f>
        <v>0</v>
      </c>
      <c r="K149" s="1442">
        <v>0</v>
      </c>
      <c r="L149" s="1482">
        <f>J149*K149+J149</f>
        <v>0</v>
      </c>
    </row>
    <row r="150" spans="1:12" ht="21.75" customHeight="1">
      <c r="A150" s="699" t="s">
        <v>1032</v>
      </c>
      <c r="B150" s="1483">
        <f>'Rakenna TULOSENNUSTE'!C179</f>
        <v>0</v>
      </c>
      <c r="C150" s="1442">
        <v>0</v>
      </c>
      <c r="D150" s="1482">
        <f>B150*C150+B150</f>
        <v>0</v>
      </c>
      <c r="E150" s="1442">
        <v>0</v>
      </c>
      <c r="F150" s="1482">
        <f>D150*E150+D150</f>
        <v>0</v>
      </c>
      <c r="G150" s="1442">
        <v>0</v>
      </c>
      <c r="H150" s="1482">
        <f>F150*G150+F150</f>
        <v>0</v>
      </c>
      <c r="I150" s="1442">
        <v>0</v>
      </c>
      <c r="J150" s="1482">
        <f>H150*I150+H150</f>
        <v>0</v>
      </c>
      <c r="K150" s="1442">
        <v>0</v>
      </c>
      <c r="L150" s="1482">
        <f>J150*K150+J150</f>
        <v>0</v>
      </c>
    </row>
    <row r="151" spans="1:12" ht="19.5" customHeight="1">
      <c r="A151" s="688" t="s">
        <v>765</v>
      </c>
      <c r="B151" s="1602">
        <f>B147-SUM(B148:B150)</f>
        <v>0</v>
      </c>
      <c r="C151" s="1079"/>
      <c r="D151" s="1602">
        <f>D147-SUM(D148:D150)</f>
        <v>0</v>
      </c>
      <c r="E151" s="1079"/>
      <c r="F151" s="1602">
        <f>F147-SUM(F148:F150)</f>
        <v>0</v>
      </c>
      <c r="G151" s="1079"/>
      <c r="H151" s="1602">
        <f>H147-SUM(H148:H150)</f>
        <v>0</v>
      </c>
      <c r="I151" s="1079"/>
      <c r="J151" s="1602">
        <f>J147-SUM(J148:J150)</f>
        <v>0</v>
      </c>
      <c r="K151" s="1079"/>
      <c r="L151" s="1602">
        <f>L147-SUM(L148:L150)</f>
        <v>0</v>
      </c>
    </row>
    <row r="152" spans="1:12" ht="19.5" customHeight="1">
      <c r="A152" s="687" t="s">
        <v>1034</v>
      </c>
      <c r="B152" s="1083">
        <f>IFERROR(B151/B147,0)</f>
        <v>0</v>
      </c>
      <c r="C152" s="1083"/>
      <c r="D152" s="1083">
        <f>IFERROR(D151/D147,0)</f>
        <v>0</v>
      </c>
      <c r="E152" s="1083"/>
      <c r="F152" s="1083">
        <f>IFERROR(F151/F147,0)</f>
        <v>0</v>
      </c>
      <c r="G152" s="1083"/>
      <c r="H152" s="1083">
        <f>IFERROR(H151/H147,0)</f>
        <v>0</v>
      </c>
      <c r="I152" s="1083"/>
      <c r="J152" s="1083">
        <f>IFERROR(J151/J147,0)</f>
        <v>0</v>
      </c>
      <c r="K152" s="1083"/>
      <c r="L152" s="1083">
        <f>IFERROR(L151/L147,0)</f>
        <v>0</v>
      </c>
    </row>
    <row r="153" spans="1:12" ht="19.5" customHeight="1">
      <c r="A153" s="702" t="s">
        <v>1248</v>
      </c>
      <c r="B153" s="1482">
        <f>'Rakenna TULOSENNUSTE'!C182</f>
        <v>0</v>
      </c>
      <c r="C153" s="1442">
        <v>1</v>
      </c>
      <c r="D153" s="1482">
        <f>IF($B$140="ely",SUMIF(Lainarekisteri!$F$27:$F$29,"x",Lainarekisteri!S27:S29),Lainarekisteri!S27)*C153</f>
        <v>0</v>
      </c>
      <c r="E153" s="1442">
        <v>1</v>
      </c>
      <c r="F153" s="1482">
        <f>IF($B$140="ely",SUMIF(Lainarekisteri!$F$27:$F$29,"x",Lainarekisteri!X27:X29),Lainarekisteri!X27)*E153</f>
        <v>0</v>
      </c>
      <c r="G153" s="1442">
        <v>1</v>
      </c>
      <c r="H153" s="1482">
        <f>IF($B$140="ely",SUMIF(Lainarekisteri!$F$27:$F$29,"x",Lainarekisteri!AC27:AC29),Lainarekisteri!AC27)*G153</f>
        <v>0</v>
      </c>
      <c r="I153" s="1442">
        <v>1</v>
      </c>
      <c r="J153" s="1482">
        <f>IF($B$140="ely",SUMIF(Lainarekisteri!$F$27:$F$29,"x",Lainarekisteri!AH27:AH29),Lainarekisteri!AH27)*I153</f>
        <v>0</v>
      </c>
      <c r="K153" s="1442">
        <v>1</v>
      </c>
      <c r="L153" s="1482">
        <f>IF($B$140="ely",SUMIF(Lainarekisteri!$F$27:$F$29,"x",Lainarekisteri!AM27:AM29),Lainarekisteri!AM27)*K153</f>
        <v>0</v>
      </c>
    </row>
    <row r="154" spans="1:12" ht="19.5" customHeight="1">
      <c r="A154" s="1654" t="str">
        <f>IF('Rakenna TULOSENNUSTE'!B183="","",'Rakenna TULOSENNUSTE'!B183)</f>
        <v>xxxxxxxx</v>
      </c>
      <c r="B154" s="1482">
        <f>'Rakenna TULOSENNUSTE'!C183</f>
        <v>0</v>
      </c>
      <c r="C154" s="1442">
        <v>0</v>
      </c>
      <c r="D154" s="1482">
        <f>B154*C154+B154</f>
        <v>0</v>
      </c>
      <c r="E154" s="1442">
        <v>0</v>
      </c>
      <c r="F154" s="1482">
        <f>D154*E154+D154</f>
        <v>0</v>
      </c>
      <c r="G154" s="1442">
        <v>0</v>
      </c>
      <c r="H154" s="1482">
        <f>F154*G154+F154</f>
        <v>0</v>
      </c>
      <c r="I154" s="1442">
        <v>0</v>
      </c>
      <c r="J154" s="1482">
        <f>H154*I154+H154</f>
        <v>0</v>
      </c>
      <c r="K154" s="1442">
        <v>0</v>
      </c>
      <c r="L154" s="1482">
        <f>J154*K154+J154</f>
        <v>0</v>
      </c>
    </row>
    <row r="155" spans="1:12" ht="19.5" customHeight="1">
      <c r="A155" s="1086" t="s">
        <v>1042</v>
      </c>
      <c r="B155" s="1079">
        <f>B151-B153-B154</f>
        <v>0</v>
      </c>
      <c r="C155" s="1079"/>
      <c r="D155" s="1079">
        <f>D151-D153-D154</f>
        <v>0</v>
      </c>
      <c r="E155" s="1079"/>
      <c r="F155" s="1079">
        <f>F151-F153-F154</f>
        <v>0</v>
      </c>
      <c r="G155" s="1079"/>
      <c r="H155" s="1079">
        <f>H151-H153-H154</f>
        <v>0</v>
      </c>
      <c r="I155" s="1079"/>
      <c r="J155" s="1079">
        <f>J151-J153-J154</f>
        <v>0</v>
      </c>
      <c r="K155" s="1079"/>
      <c r="L155" s="1079">
        <f>L151-L153-L154</f>
        <v>0</v>
      </c>
    </row>
    <row r="156" spans="1:12" ht="19.5" customHeight="1">
      <c r="A156" s="699" t="s">
        <v>1046</v>
      </c>
      <c r="B156" s="1484">
        <f>'Rakenna TULOSENNUSTE'!E119</f>
        <v>0</v>
      </c>
      <c r="C156" s="1442">
        <v>1</v>
      </c>
      <c r="D156" s="1482">
        <f>IF($B140="ely",(Konerekisteri!Y40+Rakennukset!AH35+'Muut kustannustiedot'!AI35)*C156,IF($C$140="T",(Konerekisteri!$J$27+Rakennukset!$M$21+'Muut kustannustiedot'!M21)*C156,(Konerekisteri!AJ27+Rakennukset!AS21+'Muut kustannustiedot'!AT21)*C156))</f>
        <v>2614.2857142857142</v>
      </c>
      <c r="E156" s="1442">
        <v>1</v>
      </c>
      <c r="F156" s="1482">
        <f>IF($B140="ely",(Konerekisteri!AA40+Rakennukset!AJ35+'Muut kustannustiedot'!AK35)*C156,IF($C$140="T",(Konerekisteri!$J$27+Rakennukset!$M$21+'Muut kustannustiedot'!M21)*C156,(Konerekisteri!AL27+Rakennukset!AU21+'Muut kustannustiedot'!AV21)*C156))</f>
        <v>2614.2857142857142</v>
      </c>
      <c r="G156" s="1442">
        <v>1</v>
      </c>
      <c r="H156" s="1482">
        <f>IF($B140="ely",(Konerekisteri!AC40+Rakennukset!AL35+'Muut kustannustiedot'!AM35)*G156,IF(C140="T",(Konerekisteri!$J$27+Rakennukset!$M$21+'Muut kustannustiedot'!M21)*G156,(Konerekisteri!AN27+Rakennukset!AW21+'Muut kustannustiedot'!AX21)*G156))</f>
        <v>2614.2857142857142</v>
      </c>
      <c r="I156" s="1442">
        <v>1</v>
      </c>
      <c r="J156" s="1482">
        <f>IF($B140="ely",(Konerekisteri!AE40+Rakennukset!AN35+'Muut kustannustiedot'!AO35)*K156,IF(C140="T",(Konerekisteri!$J$27+Rakennukset!$M$21+'Muut kustannustiedot'!$M$21)*K156,(Konerekisteri!AP27+Rakennukset!AY21+'Muut kustannustiedot'!AZ21)*K156))</f>
        <v>2614.2857142857142</v>
      </c>
      <c r="K156" s="1442">
        <v>1</v>
      </c>
      <c r="L156" s="1482">
        <f>IF($B140="ely",(Konerekisteri!AG40+Rakennukset!AP35+'Muut kustannustiedot'!AQ35)*K156,IF(C140="T",(Konerekisteri!$J$27+Rakennukset!$M$21+'Muut kustannustiedot'!M21)*K156,(Konerekisteri!AR27+Rakennukset!BA21+'Muut kustannustiedot'!BB21)*K156))</f>
        <v>2614.2857142857142</v>
      </c>
    </row>
    <row r="157" spans="1:12" ht="19.5" customHeight="1">
      <c r="A157" s="688" t="s">
        <v>1049</v>
      </c>
      <c r="B157" s="1489">
        <f>B155-B156</f>
        <v>0</v>
      </c>
      <c r="C157" s="1079"/>
      <c r="D157" s="1489">
        <f>D155-D156</f>
        <v>-2614.2857142857142</v>
      </c>
      <c r="E157" s="1079"/>
      <c r="F157" s="1489">
        <f>F155-F156</f>
        <v>-2614.2857142857142</v>
      </c>
      <c r="G157" s="1079"/>
      <c r="H157" s="1489">
        <f>H155-H156</f>
        <v>-2614.2857142857142</v>
      </c>
      <c r="I157" s="1079"/>
      <c r="J157" s="1489">
        <f>J155-J156</f>
        <v>-2614.2857142857142</v>
      </c>
      <c r="K157" s="1079"/>
      <c r="L157" s="1489">
        <f>L155-L156</f>
        <v>-2614.2857142857142</v>
      </c>
    </row>
    <row r="158" spans="1:12" ht="13.5" hidden="1" customHeight="1">
      <c r="A158" s="809" t="s">
        <v>1052</v>
      </c>
      <c r="B158" s="1081">
        <f>IFERROR(#REF!/B190,0)</f>
        <v>0</v>
      </c>
      <c r="C158" s="1081"/>
      <c r="D158" s="1081">
        <f>IFERROR(#REF!/D190,0)</f>
        <v>0</v>
      </c>
      <c r="E158" s="1081"/>
      <c r="F158" s="1081">
        <f>IFERROR(#REF!/F190,0)</f>
        <v>0</v>
      </c>
      <c r="G158" s="1081"/>
      <c r="H158" s="1081">
        <f>IFERROR(#REF!/H190,0)</f>
        <v>0</v>
      </c>
      <c r="I158" s="1081"/>
      <c r="J158" s="1081">
        <f>IFERROR(#REF!/J190,0)</f>
        <v>0</v>
      </c>
      <c r="K158" s="1081"/>
      <c r="L158" s="1081">
        <f>IFERROR(#REF!/L190,0)</f>
        <v>0</v>
      </c>
    </row>
    <row r="159" spans="1:12" ht="19.5" customHeight="1">
      <c r="A159" s="2845" t="s">
        <v>1053</v>
      </c>
      <c r="B159" s="2847">
        <f>'Rakenna TULOSENNUSTE'!C188</f>
        <v>0</v>
      </c>
      <c r="C159" s="2841">
        <v>0</v>
      </c>
      <c r="D159" s="2840">
        <f>B159*C159+B159</f>
        <v>0</v>
      </c>
      <c r="E159" s="2841">
        <v>0</v>
      </c>
      <c r="F159" s="2840">
        <f>D159*E159+D159</f>
        <v>0</v>
      </c>
      <c r="G159" s="2841">
        <v>0</v>
      </c>
      <c r="H159" s="2840">
        <f>F159*G159+F159</f>
        <v>0</v>
      </c>
      <c r="I159" s="2841">
        <v>0</v>
      </c>
      <c r="J159" s="2840">
        <f>H159*I159+H159</f>
        <v>0</v>
      </c>
      <c r="K159" s="2841">
        <v>0</v>
      </c>
      <c r="L159" s="2840">
        <f>J159*K159+J159</f>
        <v>0</v>
      </c>
    </row>
    <row r="160" spans="1:12" ht="13.5" customHeight="1">
      <c r="A160" s="2846"/>
      <c r="B160" s="2847"/>
      <c r="C160" s="2842"/>
      <c r="D160" s="2840"/>
      <c r="E160" s="2842"/>
      <c r="F160" s="2840"/>
      <c r="G160" s="2842"/>
      <c r="H160" s="2840"/>
      <c r="I160" s="2842"/>
      <c r="J160" s="2840"/>
      <c r="K160" s="2842"/>
      <c r="L160" s="2840"/>
    </row>
    <row r="161" spans="1:13" ht="19.5" customHeight="1" thickBot="1">
      <c r="A161" s="835" t="s">
        <v>1057</v>
      </c>
      <c r="B161" s="1485">
        <f>B157-B159</f>
        <v>0</v>
      </c>
      <c r="C161" s="1085"/>
      <c r="D161" s="1485">
        <f>D157-D159</f>
        <v>-2614.2857142857142</v>
      </c>
      <c r="E161" s="1085"/>
      <c r="F161" s="1485">
        <f>F157-F159</f>
        <v>-2614.2857142857142</v>
      </c>
      <c r="G161" s="1085"/>
      <c r="H161" s="1485">
        <f>H157-H159</f>
        <v>-2614.2857142857142</v>
      </c>
      <c r="I161" s="1085"/>
      <c r="J161" s="1485">
        <f>J157-J159</f>
        <v>-2614.2857142857142</v>
      </c>
      <c r="K161" s="1085"/>
      <c r="L161" s="1485">
        <f>L157-L159</f>
        <v>-2614.2857142857142</v>
      </c>
    </row>
    <row r="162" spans="1:13" ht="23.25" customHeight="1">
      <c r="A162" s="810" t="s">
        <v>1058</v>
      </c>
      <c r="B162" s="1484">
        <f>'Rakenna TULOSENNUSTE'!C191</f>
        <v>0</v>
      </c>
      <c r="C162" s="1443">
        <v>0</v>
      </c>
      <c r="D162" s="1482">
        <f>B162*C162+B162</f>
        <v>0</v>
      </c>
      <c r="E162" s="1442">
        <v>0</v>
      </c>
      <c r="F162" s="1482">
        <f>D162*E162+D162</f>
        <v>0</v>
      </c>
      <c r="G162" s="1442">
        <v>0</v>
      </c>
      <c r="H162" s="1482">
        <f>F162*G162+F162</f>
        <v>0</v>
      </c>
      <c r="I162" s="1442">
        <v>0</v>
      </c>
      <c r="J162" s="1482">
        <f>H162*I162+H162</f>
        <v>0</v>
      </c>
      <c r="K162" s="1442">
        <v>0</v>
      </c>
      <c r="L162" s="1482">
        <f>J162*K162+J162</f>
        <v>0</v>
      </c>
    </row>
    <row r="163" spans="1:13" ht="20.25" customHeight="1">
      <c r="A163" s="810" t="s">
        <v>1059</v>
      </c>
      <c r="B163" s="1484">
        <f>'Rakenna TULOSENNUSTE'!C192</f>
        <v>0</v>
      </c>
      <c r="C163" s="1443">
        <v>0</v>
      </c>
      <c r="D163" s="1482">
        <f>B163*C163+B163</f>
        <v>0</v>
      </c>
      <c r="E163" s="1442">
        <v>0</v>
      </c>
      <c r="F163" s="1482">
        <f>D163*E163+D163</f>
        <v>0</v>
      </c>
      <c r="G163" s="1442">
        <v>0</v>
      </c>
      <c r="H163" s="1482">
        <f>F163*G163+F163</f>
        <v>0</v>
      </c>
      <c r="I163" s="1442">
        <v>0</v>
      </c>
      <c r="J163" s="1482">
        <f>H163*I163+H163</f>
        <v>0</v>
      </c>
      <c r="K163" s="1442">
        <v>0</v>
      </c>
      <c r="L163" s="1482">
        <f>J163*K163+J163</f>
        <v>0</v>
      </c>
    </row>
    <row r="164" spans="1:13" ht="23.25" customHeight="1">
      <c r="A164" s="810" t="s">
        <v>1060</v>
      </c>
      <c r="B164" s="1484">
        <f>'Rakenna TULOSENNUSTE'!C193</f>
        <v>0</v>
      </c>
      <c r="C164" s="1443">
        <v>0</v>
      </c>
      <c r="D164" s="1482">
        <f>B164*C164+B164</f>
        <v>0</v>
      </c>
      <c r="E164" s="1442">
        <v>0</v>
      </c>
      <c r="F164" s="1482">
        <f>D164*E164+D164</f>
        <v>0</v>
      </c>
      <c r="G164" s="1442">
        <v>0</v>
      </c>
      <c r="H164" s="1482">
        <f>F164*G164+F164</f>
        <v>0</v>
      </c>
      <c r="I164" s="1442">
        <v>0</v>
      </c>
      <c r="J164" s="1482">
        <f>H164*I164+H164</f>
        <v>0</v>
      </c>
      <c r="K164" s="1442">
        <v>0</v>
      </c>
      <c r="L164" s="1482">
        <f>J164*K164+J164</f>
        <v>0</v>
      </c>
    </row>
    <row r="165" spans="1:13" ht="23.25" customHeight="1">
      <c r="A165" s="833" t="s">
        <v>1061</v>
      </c>
      <c r="B165" s="1084">
        <f>B161-SUM(B162:B164)</f>
        <v>0</v>
      </c>
      <c r="C165" s="1084"/>
      <c r="D165" s="1084">
        <f>D161-SUM(D162:D164)</f>
        <v>-2614.2857142857142</v>
      </c>
      <c r="E165" s="1084"/>
      <c r="F165" s="1084">
        <f>F161-SUM(F162:F164)</f>
        <v>-2614.2857142857142</v>
      </c>
      <c r="G165" s="1084"/>
      <c r="H165" s="1084">
        <f>H161-SUM(H162:H164)</f>
        <v>-2614.2857142857142</v>
      </c>
      <c r="I165" s="1084"/>
      <c r="J165" s="1084">
        <f>J161-SUM(J162:J164)</f>
        <v>-2614.2857142857142</v>
      </c>
      <c r="K165" s="1084"/>
      <c r="L165" s="1084">
        <f>L161-SUM(L162:L164)</f>
        <v>-2614.2857142857142</v>
      </c>
    </row>
    <row r="166" spans="1:13" ht="14.25" customHeight="1">
      <c r="A166" s="1471" t="s">
        <v>1249</v>
      </c>
      <c r="B166" s="1486">
        <f>IF($B$140="ely",'Rakenna TULOSENNUSTE'!$C$196,'Rakenna TULOSENNUSTE'!$C$195)</f>
        <v>0.03</v>
      </c>
      <c r="C166" s="1476">
        <v>0</v>
      </c>
      <c r="D166" s="1486">
        <f>IF($B$140="ely",'Rakenna TULOSENNUSTE'!$C$196,IF(C166&gt;0%,C166,'Rakenna TULOSENNUSTE'!$C$195))</f>
        <v>0.03</v>
      </c>
      <c r="E166" s="1473">
        <v>0</v>
      </c>
      <c r="F166" s="1486">
        <f>IF($B$140="ely",'Rakenna TULOSENNUSTE'!$C$196,IF(E166&gt;0%,E166,'Rakenna TULOSENNUSTE'!$C$195))</f>
        <v>0.03</v>
      </c>
      <c r="G166" s="1473">
        <v>0</v>
      </c>
      <c r="H166" s="1486">
        <f>IF($B$140="ely",'Rakenna TULOSENNUSTE'!$C$196,IF(G166&gt;0%,G166,'Rakenna TULOSENNUSTE'!$C$195))</f>
        <v>0.03</v>
      </c>
      <c r="I166" s="1473">
        <v>0</v>
      </c>
      <c r="J166" s="1486">
        <f>IF($B$140="ely",'Rakenna TULOSENNUSTE'!$C$196,IF(I166&gt;0%,I166,'Rakenna TULOSENNUSTE'!$C$195))</f>
        <v>0.03</v>
      </c>
      <c r="K166" s="1473">
        <v>0</v>
      </c>
      <c r="L166" s="1486">
        <f>IF($B$140="ely",'Rakenna TULOSENNUSTE'!$C$196,IF(K166&gt;0%,K166,'Rakenna TULOSENNUSTE'!$C$195))</f>
        <v>0.03</v>
      </c>
    </row>
    <row r="167" spans="1:13" ht="14.25" customHeight="1">
      <c r="A167" s="1471" t="s">
        <v>677</v>
      </c>
      <c r="B167" s="1109">
        <f>IF(B140="ely",'Rakenna TULOSENNUSTE'!E101,'Rakenna TULOSENNUSTE'!E100)</f>
        <v>0</v>
      </c>
      <c r="C167" s="1476">
        <v>0</v>
      </c>
      <c r="D167" s="1109">
        <f>B167*C167+B167</f>
        <v>0</v>
      </c>
      <c r="E167" s="1472">
        <v>0</v>
      </c>
      <c r="F167" s="1109">
        <f>D167*E167+D167</f>
        <v>0</v>
      </c>
      <c r="G167" s="1443">
        <v>0</v>
      </c>
      <c r="H167" s="1109">
        <f>F167*G167+F167</f>
        <v>0</v>
      </c>
      <c r="I167" s="1443">
        <v>0</v>
      </c>
      <c r="J167" s="1109">
        <f>H167*I167+H167</f>
        <v>0</v>
      </c>
      <c r="K167" s="1443">
        <v>0</v>
      </c>
      <c r="L167" s="1109">
        <f>J167*K167+J167</f>
        <v>0</v>
      </c>
    </row>
    <row r="168" spans="1:13" ht="14.25" customHeight="1" thickBot="1">
      <c r="A168" s="1471" t="s">
        <v>1250</v>
      </c>
      <c r="B168" s="1487">
        <f>IF($B$140="ely",'Rakenna TULOSENNUSTE'!$F$101,'Rakenna TULOSENNUSTE'!$F$100)</f>
        <v>0</v>
      </c>
      <c r="C168" s="1476">
        <v>0</v>
      </c>
      <c r="D168" s="1487">
        <f>B168*C168+B168</f>
        <v>0</v>
      </c>
      <c r="E168" s="1472">
        <v>0</v>
      </c>
      <c r="F168" s="1487">
        <f>D168*E168+D168</f>
        <v>0</v>
      </c>
      <c r="G168" s="1443">
        <v>0</v>
      </c>
      <c r="H168" s="1487">
        <f>F168*G168+F168</f>
        <v>0</v>
      </c>
      <c r="I168" s="1443">
        <v>0</v>
      </c>
      <c r="J168" s="1487">
        <f>H168*I168+H168</f>
        <v>0</v>
      </c>
      <c r="K168" s="1443">
        <v>0</v>
      </c>
      <c r="L168" s="1487">
        <f>J168*K168+J168</f>
        <v>0</v>
      </c>
    </row>
    <row r="169" spans="1:13" ht="14.25" hidden="1" customHeight="1">
      <c r="A169" s="157"/>
    </row>
    <row r="170" spans="1:13" ht="13.5" thickBot="1">
      <c r="A170" s="1405" t="s">
        <v>1064</v>
      </c>
      <c r="B170" s="1488" t="e">
        <f>B157/B250</f>
        <v>#DIV/0!</v>
      </c>
      <c r="C170" s="242"/>
      <c r="D170" s="1488" t="e">
        <f>D157/D250</f>
        <v>#DIV/0!</v>
      </c>
      <c r="E170" s="242"/>
      <c r="F170" s="1488" t="e">
        <f>F157/F250</f>
        <v>#DIV/0!</v>
      </c>
      <c r="G170" s="242"/>
      <c r="H170" s="1488" t="e">
        <f>H157/H250</f>
        <v>#DIV/0!</v>
      </c>
      <c r="I170" s="242"/>
      <c r="J170" s="1488" t="e">
        <f>J157/J250</f>
        <v>#DIV/0!</v>
      </c>
      <c r="K170" s="242"/>
      <c r="L170" s="1488" t="e">
        <f>L157/L250</f>
        <v>#DIV/0!</v>
      </c>
    </row>
    <row r="171" spans="1:13" ht="15.6" customHeight="1">
      <c r="A171" s="2837" t="s">
        <v>1067</v>
      </c>
      <c r="B171" s="2838"/>
      <c r="C171" s="2838"/>
      <c r="D171" s="2838"/>
      <c r="E171" s="2838"/>
      <c r="F171" s="2838"/>
      <c r="G171" s="2838"/>
      <c r="H171" s="2838"/>
      <c r="I171" s="2838"/>
      <c r="J171" s="2838"/>
      <c r="K171" s="2838"/>
      <c r="L171" s="2839"/>
    </row>
    <row r="172" spans="1:13">
      <c r="A172" s="2780"/>
      <c r="B172" s="2780"/>
      <c r="C172" s="2780"/>
      <c r="D172" s="2780"/>
      <c r="E172" s="1425"/>
    </row>
    <row r="173" spans="1:13" ht="15.75">
      <c r="A173" s="703" t="s">
        <v>1068</v>
      </c>
      <c r="B173" s="704"/>
      <c r="C173" s="1415" t="s">
        <v>1246</v>
      </c>
      <c r="D173" s="705"/>
      <c r="E173" s="1415" t="s">
        <v>1246</v>
      </c>
      <c r="F173" s="705"/>
      <c r="G173" s="1415" t="s">
        <v>1246</v>
      </c>
      <c r="H173" s="705"/>
      <c r="I173" s="1415" t="s">
        <v>1246</v>
      </c>
      <c r="J173" s="705"/>
      <c r="K173" s="1415" t="s">
        <v>1246</v>
      </c>
      <c r="L173" s="705"/>
      <c r="M173" t="s">
        <v>1251</v>
      </c>
    </row>
    <row r="174" spans="1:13">
      <c r="A174" s="702" t="str">
        <f>'Rakenna TULOSENNUSTE'!B203</f>
        <v>Maaomaisuus (pelto ym. ilman ojitusta)</v>
      </c>
      <c r="B174" s="1478">
        <f>'Rakenna TULOSENNUSTE'!C203</f>
        <v>0</v>
      </c>
      <c r="C174" s="405">
        <v>0</v>
      </c>
      <c r="D174" s="1478">
        <f>B174*C174+B174</f>
        <v>0</v>
      </c>
      <c r="E174" s="405">
        <v>0</v>
      </c>
      <c r="F174" s="1478">
        <f>D174*E174+D174</f>
        <v>0</v>
      </c>
      <c r="G174" s="405">
        <v>0</v>
      </c>
      <c r="H174" s="1478">
        <f>F174*G174+F174</f>
        <v>0</v>
      </c>
      <c r="I174" s="405">
        <v>0</v>
      </c>
      <c r="J174" s="1478">
        <f>H174*I174+H174</f>
        <v>0</v>
      </c>
      <c r="K174" s="405">
        <v>0</v>
      </c>
      <c r="L174" s="1478">
        <f>J174*K174+J174</f>
        <v>0</v>
      </c>
      <c r="M174" s="886"/>
    </row>
    <row r="175" spans="1:13">
      <c r="A175" s="702" t="str">
        <f>'Rakenna TULOSENNUSTE'!B204</f>
        <v>Perusparannukset (Salaojat, sillat yms.)</v>
      </c>
      <c r="B175" s="1478">
        <f>'Rakenna TULOSENNUSTE'!C204</f>
        <v>0</v>
      </c>
      <c r="C175" s="405">
        <v>0</v>
      </c>
      <c r="D175" s="1478">
        <f>B175*C175+B175</f>
        <v>0</v>
      </c>
      <c r="E175" s="405">
        <v>0</v>
      </c>
      <c r="F175" s="1478">
        <f>D175*E175+D175</f>
        <v>0</v>
      </c>
      <c r="G175" s="405">
        <v>0</v>
      </c>
      <c r="H175" s="1478">
        <f>F175*G175+F175</f>
        <v>0</v>
      </c>
      <c r="I175" s="405">
        <v>0</v>
      </c>
      <c r="J175" s="1478">
        <f>H175*I175+H175</f>
        <v>0</v>
      </c>
      <c r="K175" s="405">
        <v>0</v>
      </c>
      <c r="L175" s="1478">
        <f>J175*K175+J175</f>
        <v>0</v>
      </c>
      <c r="M175" s="886"/>
    </row>
    <row r="176" spans="1:13">
      <c r="A176" s="702" t="str">
        <f>'Rakenna TULOSENNUSTE'!B205</f>
        <v>Rakennusten nykyarvo</v>
      </c>
      <c r="B176" s="1478">
        <f>'Rakenna TULOSENNUSTE'!C205</f>
        <v>0</v>
      </c>
      <c r="C176" s="1445"/>
      <c r="D176" s="1478">
        <f>IF($B$140="ely",Rakennukset!AI35,(Rakennukset!$Z$21-(Rakennukset!$M$21*1)))</f>
        <v>0</v>
      </c>
      <c r="E176" s="1445"/>
      <c r="F176" s="1478">
        <f>IF($B$140="ely",Rakennukset!AK35,(Rakennukset!$Z$21-(Rakennukset!$M$21*2)))</f>
        <v>0</v>
      </c>
      <c r="G176" s="1445"/>
      <c r="H176" s="1478">
        <f>IF($B$140="ely",Rakennukset!AM35,(Rakennukset!$Z$21-(Rakennukset!$M$21*3)))</f>
        <v>0</v>
      </c>
      <c r="I176" s="1445"/>
      <c r="J176" s="1478">
        <f>IF($B$140="ely",Rakennukset!AO35,(Rakennukset!$Z$21-(Rakennukset!$M$21*4)))</f>
        <v>0</v>
      </c>
      <c r="K176" s="1445"/>
      <c r="L176" s="1478">
        <f>IF($B$140="ely",Rakennukset!AQ35,(Rakennukset!$Z$21-(Rakennukset!$M$21*5)))</f>
        <v>0</v>
      </c>
      <c r="M176" s="886"/>
    </row>
    <row r="177" spans="1:13">
      <c r="A177" s="702" t="str">
        <f>'Rakenna TULOSENNUSTE'!B206</f>
        <v>Koneiden ja laitteiden nykyarvo</v>
      </c>
      <c r="B177" s="1478">
        <f>'Rakenna TULOSENNUSTE'!C206</f>
        <v>0</v>
      </c>
      <c r="C177" s="1445"/>
      <c r="D177" s="1478">
        <f>IF($B$140="ely",Konerekisteri!Z40,Konerekisteri!$Q$27-Konerekisteri!$J$27*1)</f>
        <v>0</v>
      </c>
      <c r="E177" s="1445"/>
      <c r="F177" s="1478">
        <f>IF($B$140="ely",Konerekisteri!AB40,Konerekisteri!$Q$27-Konerekisteri!$J$27*2)</f>
        <v>0</v>
      </c>
      <c r="G177" s="1445"/>
      <c r="H177" s="1478">
        <f>IF($B$140="ely",Konerekisteri!AD40,Konerekisteri!$Q$27-Konerekisteri!$J$27*3)</f>
        <v>0</v>
      </c>
      <c r="I177" s="1445"/>
      <c r="J177" s="1478">
        <f>IF($B$140="ely",Konerekisteri!AF40,Konerekisteri!$Q$27-Konerekisteri!$J$27*4)</f>
        <v>0</v>
      </c>
      <c r="K177" s="1445"/>
      <c r="L177" s="1478">
        <f>IF($B$140="ely",Konerekisteri!AH40,Konerekisteri!$Q$27-Konerekisteri!$J$27*5)</f>
        <v>0</v>
      </c>
      <c r="M177" s="886"/>
    </row>
    <row r="178" spans="1:13">
      <c r="A178" s="702" t="str">
        <f>'Rakenna TULOSENNUSTE'!B207</f>
        <v>Muu yritysomaisuus</v>
      </c>
      <c r="B178" s="1478">
        <f>'Rakenna TULOSENNUSTE'!C207</f>
        <v>0</v>
      </c>
      <c r="C178" s="1445"/>
      <c r="D178" s="1478">
        <f>IF(Ely="ELY",'Muut kustannustiedot'!AJ35,'Muut kustannustiedot'!AJ21)</f>
        <v>0</v>
      </c>
      <c r="E178" s="1445"/>
      <c r="F178" s="1478">
        <f>IF(Ely="ELY",'Muut kustannustiedot'!AL35,'Muut kustannustiedot'!AL21)</f>
        <v>0</v>
      </c>
      <c r="G178" s="1445"/>
      <c r="H178" s="1478">
        <f>IF(Ely="ELY",'Muut kustannustiedot'!AN35,'Muut kustannustiedot'!AN21)</f>
        <v>0</v>
      </c>
      <c r="I178" s="1445"/>
      <c r="J178" s="1478">
        <f>IF(Ely="ELY",'Muut kustannustiedot'!AP35,'Muut kustannustiedot'!AP21)</f>
        <v>0</v>
      </c>
      <c r="K178" s="1445"/>
      <c r="L178" s="1478">
        <f>IF(Ely="ELY",'Muut kustannustiedot'!AR35,'Muut kustannustiedot'!AR21)</f>
        <v>0</v>
      </c>
      <c r="M178" s="886"/>
    </row>
    <row r="179" spans="1:13">
      <c r="A179" s="702" t="str">
        <f>'Rakenna TULOSENNUSTE'!B208</f>
        <v>Osakkeet, osuudet ja muut sijoitukset</v>
      </c>
      <c r="B179" s="1478">
        <f>'Rakenna TULOSENNUSTE'!C208</f>
        <v>0</v>
      </c>
      <c r="C179" s="405">
        <v>0</v>
      </c>
      <c r="D179" s="1478">
        <f>B179*C179+B179</f>
        <v>0</v>
      </c>
      <c r="E179" s="405">
        <v>0</v>
      </c>
      <c r="F179" s="1478">
        <f>D179*E179+D179</f>
        <v>0</v>
      </c>
      <c r="G179" s="405">
        <v>0</v>
      </c>
      <c r="H179" s="1478">
        <f>F179*G179+F179</f>
        <v>0</v>
      </c>
      <c r="I179" s="405">
        <v>0</v>
      </c>
      <c r="J179" s="1478">
        <f>H179*I179+H179</f>
        <v>0</v>
      </c>
      <c r="K179" s="405">
        <v>0</v>
      </c>
      <c r="L179" s="1478">
        <f>J179*K179+J179</f>
        <v>0</v>
      </c>
      <c r="M179" s="886"/>
    </row>
    <row r="180" spans="1:13">
      <c r="A180" s="707" t="s">
        <v>1079</v>
      </c>
      <c r="B180" s="708"/>
      <c r="C180" s="1445"/>
      <c r="D180" s="1480"/>
      <c r="E180" s="708"/>
      <c r="F180" s="1480"/>
      <c r="G180" s="708"/>
      <c r="H180" s="1480"/>
      <c r="I180" s="708"/>
      <c r="J180" s="1480"/>
      <c r="K180" s="708"/>
      <c r="L180" s="1480"/>
      <c r="M180" s="886"/>
    </row>
    <row r="181" spans="1:13">
      <c r="A181" s="699" t="str">
        <f>'Rakenna TULOSENNUSTE'!B210</f>
        <v>Kotieläimet</v>
      </c>
      <c r="B181" s="1478">
        <f>'Rakenna TULOSENNUSTE'!C210</f>
        <v>0</v>
      </c>
      <c r="C181" s="405">
        <v>0</v>
      </c>
      <c r="D181" s="1478">
        <f>B181*C181+B181</f>
        <v>0</v>
      </c>
      <c r="E181" s="405">
        <v>0</v>
      </c>
      <c r="F181" s="1478">
        <f>D181*E181+D181</f>
        <v>0</v>
      </c>
      <c r="G181" s="405">
        <v>0</v>
      </c>
      <c r="H181" s="1478">
        <f>F181*G181+F181</f>
        <v>0</v>
      </c>
      <c r="I181" s="405">
        <v>0</v>
      </c>
      <c r="J181" s="1478">
        <f>H181*I181+H181</f>
        <v>0</v>
      </c>
      <c r="K181" s="405">
        <v>0</v>
      </c>
      <c r="L181" s="1478">
        <f>J181*K181+J181</f>
        <v>0</v>
      </c>
      <c r="M181" s="886"/>
    </row>
    <row r="182" spans="1:13">
      <c r="A182" s="699" t="str">
        <f>'Rakenna TULOSENNUSTE'!B211</f>
        <v>Rehut</v>
      </c>
      <c r="B182" s="1478">
        <f>'Rakenna TULOSENNUSTE'!C211</f>
        <v>0</v>
      </c>
      <c r="C182" s="405">
        <v>0</v>
      </c>
      <c r="D182" s="1478">
        <f>B182*C182+B182</f>
        <v>0</v>
      </c>
      <c r="E182" s="405">
        <v>0</v>
      </c>
      <c r="F182" s="1478">
        <f>D182*E182+D182</f>
        <v>0</v>
      </c>
      <c r="G182" s="405">
        <v>0</v>
      </c>
      <c r="H182" s="1478">
        <f>F182*G182+F182</f>
        <v>0</v>
      </c>
      <c r="I182" s="405">
        <v>0</v>
      </c>
      <c r="J182" s="1478">
        <f>H182*I182+H182</f>
        <v>0</v>
      </c>
      <c r="K182" s="405">
        <v>0</v>
      </c>
      <c r="L182" s="1478">
        <f>J182*K182+J182</f>
        <v>0</v>
      </c>
      <c r="M182" s="886"/>
    </row>
    <row r="183" spans="1:13">
      <c r="A183" s="699" t="str">
        <f>'Rakenna TULOSENNUSTE'!B212</f>
        <v>Muut aineet ja tarvikkeet</v>
      </c>
      <c r="B183" s="1478">
        <f>'Rakenna TULOSENNUSTE'!C212</f>
        <v>0</v>
      </c>
      <c r="C183" s="405">
        <v>0</v>
      </c>
      <c r="D183" s="1478">
        <f>B183*C183+B183</f>
        <v>0</v>
      </c>
      <c r="E183" s="405">
        <v>0</v>
      </c>
      <c r="F183" s="1478">
        <f>D183*E183+D183</f>
        <v>0</v>
      </c>
      <c r="G183" s="405">
        <v>0</v>
      </c>
      <c r="H183" s="1478">
        <f>F183*G183+F183</f>
        <v>0</v>
      </c>
      <c r="I183" s="405">
        <v>0</v>
      </c>
      <c r="J183" s="1478">
        <f>H183*I183+H183</f>
        <v>0</v>
      </c>
      <c r="K183" s="405">
        <v>0</v>
      </c>
      <c r="L183" s="1478">
        <f>J183*K183+J183</f>
        <v>0</v>
      </c>
      <c r="M183" s="886"/>
    </row>
    <row r="184" spans="1:13">
      <c r="A184" s="699" t="str">
        <f>'Rakenna TULOSENNUSTE'!B213</f>
        <v>Tuotteet</v>
      </c>
      <c r="B184" s="1478">
        <f>'Rakenna TULOSENNUSTE'!C213</f>
        <v>0</v>
      </c>
      <c r="C184" s="405">
        <v>0</v>
      </c>
      <c r="D184" s="1478">
        <f>B184*C184+B184</f>
        <v>0</v>
      </c>
      <c r="E184" s="405">
        <v>0</v>
      </c>
      <c r="F184" s="1478">
        <f>D184*E184+D184</f>
        <v>0</v>
      </c>
      <c r="G184" s="405">
        <v>0</v>
      </c>
      <c r="H184" s="1478">
        <f>F184*G184+F184</f>
        <v>0</v>
      </c>
      <c r="I184" s="405">
        <v>0</v>
      </c>
      <c r="J184" s="1478">
        <f>H184*I184+H184</f>
        <v>0</v>
      </c>
      <c r="K184" s="405">
        <v>0</v>
      </c>
      <c r="L184" s="1478">
        <f>J184*K184+J184</f>
        <v>0</v>
      </c>
      <c r="M184" s="886"/>
    </row>
    <row r="185" spans="1:13">
      <c r="A185" s="699" t="str">
        <f>'Rakenna TULOSENNUSTE'!B214</f>
        <v>Maksetut ennakkomaksut</v>
      </c>
      <c r="B185" s="1478">
        <f>'Rakenna TULOSENNUSTE'!C214</f>
        <v>0</v>
      </c>
      <c r="C185" s="405">
        <v>0</v>
      </c>
      <c r="D185" s="1478">
        <f>B185*C185+B185</f>
        <v>0</v>
      </c>
      <c r="E185" s="405">
        <v>0</v>
      </c>
      <c r="F185" s="1478">
        <f>D185*E185+D185</f>
        <v>0</v>
      </c>
      <c r="G185" s="405">
        <v>0</v>
      </c>
      <c r="H185" s="1478">
        <f>F185*G185+F185</f>
        <v>0</v>
      </c>
      <c r="I185" s="405">
        <v>0</v>
      </c>
      <c r="J185" s="1478">
        <f>H185*I185+H185</f>
        <v>0</v>
      </c>
      <c r="K185" s="405">
        <v>0</v>
      </c>
      <c r="L185" s="1478">
        <f>J185*K185+J185</f>
        <v>0</v>
      </c>
      <c r="M185" s="886"/>
    </row>
    <row r="186" spans="1:13">
      <c r="A186" s="707" t="str">
        <f>'Rakenna TULOSENNUSTE'!B215</f>
        <v>Muu vaihto-omaisuus</v>
      </c>
      <c r="B186" s="708"/>
      <c r="C186" s="1445"/>
      <c r="D186" s="1480"/>
      <c r="E186" s="708"/>
      <c r="F186" s="1480"/>
      <c r="G186" s="708"/>
      <c r="H186" s="1480"/>
      <c r="I186" s="708"/>
      <c r="J186" s="1480"/>
      <c r="K186" s="708"/>
      <c r="L186" s="1480"/>
      <c r="M186" s="886"/>
    </row>
    <row r="187" spans="1:13">
      <c r="A187" s="699" t="str">
        <f>'Rakenna TULOSENNUSTE'!B216</f>
        <v>Myyntisaamiset (sis. tukisaamiset)</v>
      </c>
      <c r="B187" s="1478">
        <f>'Rakenna TULOSENNUSTE'!C216</f>
        <v>0</v>
      </c>
      <c r="C187" s="405">
        <v>0</v>
      </c>
      <c r="D187" s="1478">
        <f>B187*C187+B187</f>
        <v>0</v>
      </c>
      <c r="E187" s="405">
        <v>0</v>
      </c>
      <c r="F187" s="1478">
        <f>D187*E187+D187</f>
        <v>0</v>
      </c>
      <c r="G187" s="405">
        <v>0</v>
      </c>
      <c r="H187" s="1478">
        <f>F187*G187+F187</f>
        <v>0</v>
      </c>
      <c r="I187" s="405">
        <v>0</v>
      </c>
      <c r="J187" s="1478">
        <f>H187*I187+H187</f>
        <v>0</v>
      </c>
      <c r="K187" s="405">
        <v>0</v>
      </c>
      <c r="L187" s="1478">
        <f>J187*K187+J187</f>
        <v>0</v>
      </c>
      <c r="M187" s="886"/>
    </row>
    <row r="188" spans="1:13">
      <c r="A188" s="707" t="str">
        <f>'Rakenna TULOSENNUSTE'!B217</f>
        <v>Muut lyhytaikaiset saamiset</v>
      </c>
      <c r="B188" s="1444"/>
      <c r="C188" s="1446"/>
      <c r="D188" s="1481"/>
      <c r="E188" s="1444"/>
      <c r="F188" s="1481"/>
      <c r="G188" s="1444"/>
      <c r="H188" s="1481"/>
      <c r="I188" s="1444"/>
      <c r="J188" s="1481"/>
      <c r="K188" s="1444"/>
      <c r="L188" s="1481"/>
      <c r="M188" s="886"/>
    </row>
    <row r="189" spans="1:13">
      <c r="A189" s="699" t="str">
        <f>'Rakenna TULOSENNUSTE'!B218</f>
        <v>Rahat ja rahoitusarvopaperit</v>
      </c>
      <c r="B189" s="1478">
        <f>'Rakenna TULOSENNUSTE'!C218</f>
        <v>0</v>
      </c>
      <c r="C189" s="405">
        <v>0</v>
      </c>
      <c r="D189" s="1478">
        <f>B189*C189+B189</f>
        <v>0</v>
      </c>
      <c r="E189" s="405">
        <v>0</v>
      </c>
      <c r="F189" s="1478">
        <f>D189*E189+D189</f>
        <v>0</v>
      </c>
      <c r="G189" s="405">
        <v>0</v>
      </c>
      <c r="H189" s="1478">
        <f>F189*G189+F189</f>
        <v>0</v>
      </c>
      <c r="I189" s="405">
        <v>0</v>
      </c>
      <c r="J189" s="1478">
        <f>H189*I189+H189</f>
        <v>0</v>
      </c>
      <c r="K189" s="405">
        <v>0</v>
      </c>
      <c r="L189" s="1478">
        <f>J189*K189+J189</f>
        <v>0</v>
      </c>
      <c r="M189" s="886"/>
    </row>
    <row r="190" spans="1:13" ht="15.75">
      <c r="A190" s="710" t="s">
        <v>1090</v>
      </c>
      <c r="B190" s="420">
        <f>SUM(B174:B189)</f>
        <v>0</v>
      </c>
      <c r="C190" s="1447"/>
      <c r="D190" s="420">
        <f>SUM(D174:D189)</f>
        <v>0</v>
      </c>
      <c r="E190" s="420"/>
      <c r="F190" s="420">
        <f>SUM(F174:F189)</f>
        <v>0</v>
      </c>
      <c r="G190" s="420"/>
      <c r="H190" s="420">
        <f>SUM(H174:H189)</f>
        <v>0</v>
      </c>
      <c r="I190" s="420"/>
      <c r="J190" s="420">
        <f>SUM(J174:J189)</f>
        <v>0</v>
      </c>
      <c r="K190" s="420"/>
      <c r="L190" s="420">
        <f>SUM(L174:L189)</f>
        <v>0</v>
      </c>
      <c r="M190" s="886"/>
    </row>
    <row r="191" spans="1:13">
      <c r="A191" s="703" t="s">
        <v>1091</v>
      </c>
      <c r="B191" s="1444"/>
      <c r="C191" s="1446"/>
      <c r="D191" s="1444"/>
      <c r="E191" s="1444"/>
      <c r="F191" s="1444"/>
      <c r="G191" s="1444"/>
      <c r="H191" s="1444"/>
      <c r="I191" s="1444"/>
      <c r="J191" s="1444"/>
      <c r="K191" s="1444"/>
      <c r="L191" s="1444"/>
      <c r="M191" s="886"/>
    </row>
    <row r="192" spans="1:13">
      <c r="A192" s="699" t="s">
        <v>1092</v>
      </c>
      <c r="B192" s="1478">
        <f>'Rakenna TULOSENNUSTE'!C221</f>
        <v>0</v>
      </c>
      <c r="C192" s="1479"/>
      <c r="D192" s="1478">
        <f>D190-D197</f>
        <v>0</v>
      </c>
      <c r="E192" s="1479"/>
      <c r="F192" s="1478">
        <f>F190-F197</f>
        <v>0</v>
      </c>
      <c r="G192" s="1479"/>
      <c r="H192" s="1478">
        <f>H190-H197</f>
        <v>0</v>
      </c>
      <c r="I192" s="1479"/>
      <c r="J192" s="1478">
        <f>J190-J197</f>
        <v>0</v>
      </c>
      <c r="K192" s="1479"/>
      <c r="L192" s="1478">
        <f>L190-L197</f>
        <v>0</v>
      </c>
      <c r="M192" s="886"/>
    </row>
    <row r="193" spans="1:13">
      <c r="A193" s="699" t="s">
        <v>1093</v>
      </c>
      <c r="B193" s="1478">
        <f>'Rakenna TULOSENNUSTE'!C222</f>
        <v>0</v>
      </c>
      <c r="C193" s="405">
        <v>1</v>
      </c>
      <c r="D193" s="1478">
        <f>Lainarekisteri!U27*C193</f>
        <v>0</v>
      </c>
      <c r="E193" s="405">
        <v>1</v>
      </c>
      <c r="F193" s="1478">
        <f>Lainarekisteri!Z27*E193</f>
        <v>0</v>
      </c>
      <c r="G193" s="405">
        <v>1</v>
      </c>
      <c r="H193" s="1478">
        <f>Lainarekisteri!AE21*G193</f>
        <v>0</v>
      </c>
      <c r="I193" s="405">
        <v>1</v>
      </c>
      <c r="J193" s="1478">
        <f>Lainarekisteri!AJ27*I193</f>
        <v>0</v>
      </c>
      <c r="K193" s="405">
        <v>1</v>
      </c>
      <c r="L193" s="1478">
        <f>Lainarekisteri!AO27*K193</f>
        <v>0</v>
      </c>
      <c r="M193" s="1517"/>
    </row>
    <row r="194" spans="1:13">
      <c r="A194" s="699" t="s">
        <v>1097</v>
      </c>
      <c r="B194" s="1478">
        <f>'Rakenna TULOSENNUSTE'!C223</f>
        <v>0</v>
      </c>
      <c r="C194" s="405">
        <v>0</v>
      </c>
      <c r="D194" s="1516">
        <f>B194*C194+B194</f>
        <v>0</v>
      </c>
      <c r="E194" s="405">
        <v>0</v>
      </c>
      <c r="F194" s="1516">
        <f>D194*E194+D194</f>
        <v>0</v>
      </c>
      <c r="G194" s="405">
        <v>0</v>
      </c>
      <c r="H194" s="1516">
        <f>F194*G194+F194</f>
        <v>0</v>
      </c>
      <c r="I194" s="405">
        <v>0</v>
      </c>
      <c r="J194" s="1516">
        <f>H194*I194+H194</f>
        <v>0</v>
      </c>
      <c r="K194" s="405">
        <v>0</v>
      </c>
      <c r="L194" s="1516">
        <f>J194*K194+J194</f>
        <v>0</v>
      </c>
      <c r="M194" s="886"/>
    </row>
    <row r="195" spans="1:13">
      <c r="A195" s="699" t="s">
        <v>1099</v>
      </c>
      <c r="B195" s="1478">
        <f>'Rakenna TULOSENNUSTE'!C224</f>
        <v>0</v>
      </c>
      <c r="C195" s="405">
        <v>0</v>
      </c>
      <c r="D195" s="1516">
        <f>B195*C195+B195</f>
        <v>0</v>
      </c>
      <c r="E195" s="405">
        <v>0</v>
      </c>
      <c r="F195" s="1516">
        <f>D195*E195+D195</f>
        <v>0</v>
      </c>
      <c r="G195" s="405">
        <v>0</v>
      </c>
      <c r="H195" s="1516">
        <f>F195*G195+F195</f>
        <v>0</v>
      </c>
      <c r="I195" s="405">
        <v>0</v>
      </c>
      <c r="J195" s="1516">
        <f>H195*I195+H195</f>
        <v>0</v>
      </c>
      <c r="K195" s="405">
        <v>0</v>
      </c>
      <c r="L195" s="1516">
        <f>J195*K195+J195</f>
        <v>0</v>
      </c>
      <c r="M195" s="886"/>
    </row>
    <row r="196" spans="1:13">
      <c r="A196" s="699" t="s">
        <v>1101</v>
      </c>
      <c r="B196" s="1478">
        <f>'Rakenna TULOSENNUSTE'!C225</f>
        <v>0</v>
      </c>
      <c r="C196" s="405">
        <v>0</v>
      </c>
      <c r="D196" s="1516">
        <f>B196*C196+B196</f>
        <v>0</v>
      </c>
      <c r="E196" s="405">
        <v>0</v>
      </c>
      <c r="F196" s="1516">
        <f>D196*E196+D196</f>
        <v>0</v>
      </c>
      <c r="G196" s="405">
        <v>0</v>
      </c>
      <c r="H196" s="1516">
        <f>F196*G196+F196</f>
        <v>0</v>
      </c>
      <c r="I196" s="405">
        <v>0</v>
      </c>
      <c r="J196" s="1516">
        <f>H196*I196+H196</f>
        <v>0</v>
      </c>
      <c r="K196" s="405">
        <v>0</v>
      </c>
      <c r="L196" s="1516">
        <f>J196*K196+J196</f>
        <v>0</v>
      </c>
      <c r="M196" s="886"/>
    </row>
    <row r="197" spans="1:13">
      <c r="A197" s="699" t="s">
        <v>1102</v>
      </c>
      <c r="B197" s="711">
        <f>SUM(B193:B196)</f>
        <v>0</v>
      </c>
      <c r="C197" s="711"/>
      <c r="D197" s="711">
        <f>SUM(D193:D196)</f>
        <v>0</v>
      </c>
      <c r="E197" s="711"/>
      <c r="F197" s="711">
        <f>SUM(F193:F196)</f>
        <v>0</v>
      </c>
      <c r="G197" s="711"/>
      <c r="H197" s="711">
        <f>SUM(H193:H196)</f>
        <v>0</v>
      </c>
      <c r="I197" s="711"/>
      <c r="J197" s="711">
        <f>SUM(J193:J196)</f>
        <v>0</v>
      </c>
      <c r="K197" s="711"/>
      <c r="L197" s="711">
        <f>SUM(L193:L196)</f>
        <v>0</v>
      </c>
    </row>
    <row r="198" spans="1:13" ht="15.75">
      <c r="A198" s="712" t="s">
        <v>1103</v>
      </c>
      <c r="B198" s="420">
        <f>SUM(B192,B197)</f>
        <v>0</v>
      </c>
      <c r="C198" s="420"/>
      <c r="D198" s="420">
        <f>SUM(D192,D197)</f>
        <v>0</v>
      </c>
      <c r="E198" s="420"/>
      <c r="F198" s="420">
        <f>SUM(F192,F197)</f>
        <v>0</v>
      </c>
      <c r="G198" s="420"/>
      <c r="H198" s="420">
        <f>SUM(H192,H197)</f>
        <v>0</v>
      </c>
      <c r="I198" s="420"/>
      <c r="J198" s="420">
        <f>SUM(J192,J197)</f>
        <v>0</v>
      </c>
      <c r="K198" s="420"/>
      <c r="L198" s="420">
        <f>SUM(L192,L197)</f>
        <v>0</v>
      </c>
      <c r="M198" s="661"/>
    </row>
    <row r="199" spans="1:13">
      <c r="A199" s="713" t="s">
        <v>1104</v>
      </c>
      <c r="B199" s="16">
        <f>B190-B198</f>
        <v>0</v>
      </c>
      <c r="C199" s="16"/>
      <c r="D199" s="16">
        <f>D190-D198</f>
        <v>0</v>
      </c>
      <c r="E199" s="16"/>
      <c r="F199" s="16">
        <f>F190-F198</f>
        <v>0</v>
      </c>
      <c r="G199" s="16"/>
      <c r="H199" s="16">
        <f>H190-H198</f>
        <v>0</v>
      </c>
      <c r="I199" s="16"/>
      <c r="J199" s="16">
        <f>J190-J198</f>
        <v>0</v>
      </c>
      <c r="K199" s="16"/>
      <c r="L199" s="16">
        <f>L190-L198</f>
        <v>0</v>
      </c>
      <c r="M199" s="661"/>
    </row>
    <row r="200" spans="1:13">
      <c r="A200" s="1412" t="s">
        <v>1105</v>
      </c>
      <c r="B200" s="1364" t="e">
        <f>B192/B198</f>
        <v>#DIV/0!</v>
      </c>
      <c r="C200" s="1364"/>
      <c r="D200" s="1364" t="e">
        <f>D192/D198</f>
        <v>#DIV/0!</v>
      </c>
      <c r="E200" s="1364"/>
      <c r="F200" s="1364" t="e">
        <f>F192/F198</f>
        <v>#DIV/0!</v>
      </c>
      <c r="G200" s="1364"/>
      <c r="H200" s="1364" t="e">
        <f>H192/H198</f>
        <v>#DIV/0!</v>
      </c>
      <c r="I200" s="1364"/>
      <c r="J200" s="1364" t="e">
        <f>J192/J198</f>
        <v>#DIV/0!</v>
      </c>
      <c r="K200" s="1364"/>
      <c r="L200" s="1364" t="e">
        <f>L192/L198</f>
        <v>#DIV/0!</v>
      </c>
      <c r="M200" s="661"/>
    </row>
    <row r="201" spans="1:13" ht="27.75" hidden="1">
      <c r="A201" s="660" t="s">
        <v>1106</v>
      </c>
      <c r="F201" s="3"/>
      <c r="G201" s="3"/>
      <c r="H201" s="10"/>
      <c r="I201" s="10"/>
      <c r="M201" s="661"/>
    </row>
    <row r="202" spans="1:13" ht="13.5" hidden="1" thickBot="1">
      <c r="B202" s="662"/>
      <c r="C202" s="662"/>
      <c r="D202" s="663"/>
      <c r="E202" s="663"/>
      <c r="F202" s="663"/>
      <c r="G202" s="663"/>
      <c r="H202" s="663"/>
      <c r="I202" s="663"/>
      <c r="J202" s="663" t="s">
        <v>1252</v>
      </c>
      <c r="K202" s="663"/>
      <c r="L202" s="661"/>
      <c r="M202" s="661"/>
    </row>
    <row r="203" spans="1:13" ht="13.5" hidden="1" thickBot="1">
      <c r="A203" s="664" t="s">
        <v>1253</v>
      </c>
      <c r="B203" s="1153">
        <f>Rakennukset!F20</f>
        <v>0</v>
      </c>
      <c r="C203" s="1421"/>
      <c r="D203" s="665" t="s">
        <v>1254</v>
      </c>
      <c r="E203" s="665"/>
      <c r="F203" s="665"/>
      <c r="G203" s="665"/>
      <c r="H203" s="714">
        <f t="shared" ref="H203:H209" si="23">B203</f>
        <v>0</v>
      </c>
      <c r="I203" s="1432"/>
      <c r="J203" s="661"/>
      <c r="K203" s="661"/>
      <c r="M203" s="661"/>
    </row>
    <row r="204" spans="1:13" ht="13.5" hidden="1" thickBot="1">
      <c r="A204" s="664" t="s">
        <v>232</v>
      </c>
      <c r="B204" s="1153">
        <f>SUM(Rakennukset!J5:J15)</f>
        <v>0</v>
      </c>
      <c r="C204" s="1421"/>
      <c r="D204" s="715" t="s">
        <v>1255</v>
      </c>
      <c r="E204" s="715"/>
      <c r="F204" s="665"/>
      <c r="G204" s="665"/>
      <c r="H204" s="714">
        <f t="shared" si="23"/>
        <v>0</v>
      </c>
      <c r="I204" s="1432"/>
      <c r="J204" s="661"/>
      <c r="K204" s="661"/>
      <c r="M204" s="661"/>
    </row>
    <row r="205" spans="1:13" hidden="1">
      <c r="A205" s="664" t="s">
        <v>1256</v>
      </c>
      <c r="B205" s="1154"/>
      <c r="C205" s="1422"/>
      <c r="D205" s="665"/>
      <c r="E205" s="665"/>
      <c r="F205" s="665"/>
      <c r="G205" s="665"/>
      <c r="H205" s="714">
        <f t="shared" si="23"/>
        <v>0</v>
      </c>
      <c r="I205" s="1432"/>
      <c r="J205" s="661"/>
      <c r="K205" s="661"/>
      <c r="M205" s="661"/>
    </row>
    <row r="206" spans="1:13" hidden="1">
      <c r="A206" s="716" t="s">
        <v>1257</v>
      </c>
      <c r="B206" s="717">
        <v>0</v>
      </c>
      <c r="C206" s="1423"/>
      <c r="D206" s="665"/>
      <c r="E206" s="665"/>
      <c r="F206" s="665"/>
      <c r="G206" s="665"/>
      <c r="H206" s="714">
        <f t="shared" si="23"/>
        <v>0</v>
      </c>
      <c r="I206" s="1432"/>
      <c r="J206" s="661"/>
      <c r="K206" s="661"/>
      <c r="M206" s="661"/>
    </row>
    <row r="207" spans="1:13" hidden="1">
      <c r="A207" s="664" t="s">
        <v>1258</v>
      </c>
      <c r="B207" s="717">
        <v>0</v>
      </c>
      <c r="C207" s="1423"/>
      <c r="D207" s="665"/>
      <c r="E207" s="665"/>
      <c r="F207" s="665"/>
      <c r="G207" s="665"/>
      <c r="H207" s="714">
        <f t="shared" si="23"/>
        <v>0</v>
      </c>
      <c r="I207" s="1432"/>
      <c r="J207" s="661"/>
      <c r="K207" s="661"/>
      <c r="M207" s="661"/>
    </row>
    <row r="208" spans="1:13" hidden="1">
      <c r="A208" s="666" t="s">
        <v>28</v>
      </c>
      <c r="B208" s="717">
        <v>0</v>
      </c>
      <c r="C208" s="1423"/>
      <c r="D208" s="665"/>
      <c r="E208" s="665"/>
      <c r="F208" s="665"/>
      <c r="G208" s="665"/>
      <c r="H208" s="714">
        <f t="shared" si="23"/>
        <v>0</v>
      </c>
      <c r="I208" s="1432"/>
      <c r="J208" s="661"/>
      <c r="K208" s="661"/>
      <c r="M208" s="661"/>
    </row>
    <row r="209" spans="1:13" ht="13.5" hidden="1" thickBot="1">
      <c r="A209" s="667" t="s">
        <v>28</v>
      </c>
      <c r="B209" s="717">
        <v>0</v>
      </c>
      <c r="C209" s="1423"/>
      <c r="D209" s="665"/>
      <c r="E209" s="665"/>
      <c r="F209" s="665"/>
      <c r="G209" s="665"/>
      <c r="H209" s="714">
        <f t="shared" si="23"/>
        <v>0</v>
      </c>
      <c r="I209" s="1432"/>
      <c r="J209" s="661"/>
      <c r="K209" s="661"/>
      <c r="M209" s="661"/>
    </row>
    <row r="210" spans="1:13" ht="13.5" hidden="1" thickTop="1">
      <c r="A210" s="668" t="s">
        <v>3</v>
      </c>
      <c r="B210" s="718">
        <f>SUM(B203:B209)</f>
        <v>0</v>
      </c>
      <c r="C210" s="718"/>
      <c r="D210" s="669"/>
      <c r="E210" s="669"/>
      <c r="F210" s="669"/>
      <c r="G210" s="1428"/>
      <c r="H210" s="719">
        <f>SUM(H203:H209)</f>
        <v>0</v>
      </c>
      <c r="I210" s="1433"/>
      <c r="J210" s="661"/>
      <c r="K210" s="661"/>
      <c r="M210" s="661"/>
    </row>
    <row r="211" spans="1:13" hidden="1">
      <c r="A211" s="661"/>
      <c r="B211" s="661"/>
      <c r="C211" s="661"/>
      <c r="D211" s="661"/>
      <c r="E211" s="661"/>
      <c r="F211" s="661"/>
      <c r="G211" s="661"/>
      <c r="H211" s="661"/>
      <c r="I211" s="661"/>
      <c r="J211" s="661"/>
      <c r="K211" s="661"/>
      <c r="M211" s="661"/>
    </row>
    <row r="212" spans="1:13" hidden="1">
      <c r="A212" s="670" t="s">
        <v>1107</v>
      </c>
      <c r="B212" s="671" t="s">
        <v>150</v>
      </c>
      <c r="C212" s="671"/>
      <c r="D212" s="661"/>
      <c r="E212" s="661"/>
      <c r="F212" s="670" t="s">
        <v>1108</v>
      </c>
      <c r="G212" s="670"/>
      <c r="H212" s="661"/>
      <c r="I212" s="661"/>
      <c r="J212" s="661"/>
      <c r="K212" s="661"/>
      <c r="M212" s="661"/>
    </row>
    <row r="213" spans="1:13" hidden="1">
      <c r="A213" s="896" t="str">
        <f>Lähtötiedot!A39</f>
        <v>Maito (LaskeMaito1)</v>
      </c>
      <c r="B213" s="720">
        <f>Lähtötiedot!C39</f>
        <v>0</v>
      </c>
      <c r="C213" s="720"/>
      <c r="D213" s="721" t="s">
        <v>1109</v>
      </c>
      <c r="E213" s="721"/>
      <c r="F213" s="722">
        <v>760</v>
      </c>
      <c r="G213" s="722"/>
      <c r="H213" s="714">
        <f t="shared" ref="H213:H225" si="24">B213*F213</f>
        <v>0</v>
      </c>
      <c r="I213" s="1432"/>
      <c r="J213" s="661"/>
      <c r="K213" s="661"/>
      <c r="M213" s="661"/>
    </row>
    <row r="214" spans="1:13" hidden="1">
      <c r="A214" s="896" t="str">
        <f>Lähtötiedot!A43</f>
        <v>Laske Liha</v>
      </c>
      <c r="B214" s="720">
        <f>Lähtötiedot!C43</f>
        <v>0</v>
      </c>
      <c r="C214" s="720"/>
      <c r="D214" s="721" t="s">
        <v>1109</v>
      </c>
      <c r="E214" s="721"/>
      <c r="F214" s="722">
        <v>400</v>
      </c>
      <c r="G214" s="722"/>
      <c r="H214" s="714">
        <f t="shared" si="24"/>
        <v>0</v>
      </c>
      <c r="I214" s="1432"/>
      <c r="J214" s="661"/>
      <c r="K214" s="661"/>
      <c r="M214" s="661"/>
    </row>
    <row r="215" spans="1:13" hidden="1">
      <c r="A215" s="896" t="str">
        <f>Lähtötiedot!A45</f>
        <v>Laske Liha 2  - Piilossa, aktivoi (hiiren oikea, näytä)</v>
      </c>
      <c r="B215" s="720">
        <f>Lähtötiedot!C45</f>
        <v>0</v>
      </c>
      <c r="C215" s="720"/>
      <c r="D215" s="721" t="s">
        <v>1109</v>
      </c>
      <c r="E215" s="721"/>
      <c r="F215" s="722">
        <v>150</v>
      </c>
      <c r="G215" s="722"/>
      <c r="H215" s="714">
        <f t="shared" si="24"/>
        <v>0</v>
      </c>
      <c r="I215" s="1432"/>
      <c r="J215" s="661"/>
      <c r="K215" s="661"/>
      <c r="M215" s="674"/>
    </row>
    <row r="216" spans="1:13" hidden="1">
      <c r="A216" s="672" t="s">
        <v>1110</v>
      </c>
      <c r="B216" s="723">
        <v>0</v>
      </c>
      <c r="C216" s="723"/>
      <c r="D216" s="721" t="s">
        <v>1109</v>
      </c>
      <c r="E216" s="721"/>
      <c r="F216" s="722">
        <v>541</v>
      </c>
      <c r="G216" s="722"/>
      <c r="H216" s="714">
        <f t="shared" si="24"/>
        <v>0</v>
      </c>
      <c r="I216" s="1432"/>
      <c r="J216" s="661"/>
      <c r="K216" s="661"/>
      <c r="M216" s="674"/>
    </row>
    <row r="217" spans="1:13" hidden="1">
      <c r="A217" s="672" t="s">
        <v>1111</v>
      </c>
      <c r="B217" s="723">
        <v>0</v>
      </c>
      <c r="C217" s="723"/>
      <c r="D217" s="721" t="s">
        <v>1109</v>
      </c>
      <c r="E217" s="721"/>
      <c r="F217" s="722">
        <v>300</v>
      </c>
      <c r="G217" s="722"/>
      <c r="H217" s="714">
        <f t="shared" si="24"/>
        <v>0</v>
      </c>
      <c r="I217" s="1432"/>
      <c r="J217" s="661"/>
      <c r="K217" s="661"/>
      <c r="M217" s="674"/>
    </row>
    <row r="218" spans="1:13" hidden="1">
      <c r="A218" s="672" t="s">
        <v>1113</v>
      </c>
      <c r="B218" s="723">
        <v>0</v>
      </c>
      <c r="C218" s="723"/>
      <c r="D218" s="721" t="s">
        <v>1109</v>
      </c>
      <c r="E218" s="721"/>
      <c r="F218" s="722">
        <v>84</v>
      </c>
      <c r="G218" s="722"/>
      <c r="H218" s="714">
        <f t="shared" si="24"/>
        <v>0</v>
      </c>
      <c r="I218" s="1432"/>
      <c r="J218" s="661"/>
      <c r="K218" s="661"/>
      <c r="M218" s="674"/>
    </row>
    <row r="219" spans="1:13" hidden="1">
      <c r="A219" s="672" t="s">
        <v>1115</v>
      </c>
      <c r="B219" s="723">
        <v>0</v>
      </c>
      <c r="C219" s="723"/>
      <c r="D219" s="721" t="s">
        <v>1109</v>
      </c>
      <c r="E219" s="721"/>
      <c r="F219" s="722">
        <v>42</v>
      </c>
      <c r="G219" s="722"/>
      <c r="H219" s="714">
        <f t="shared" si="24"/>
        <v>0</v>
      </c>
      <c r="I219" s="1432"/>
      <c r="J219" s="661"/>
      <c r="K219" s="661"/>
      <c r="M219" s="674"/>
    </row>
    <row r="220" spans="1:13" hidden="1">
      <c r="A220" s="672" t="s">
        <v>1116</v>
      </c>
      <c r="B220" s="723">
        <v>0</v>
      </c>
      <c r="C220" s="723"/>
      <c r="D220" s="721" t="s">
        <v>1109</v>
      </c>
      <c r="E220" s="721"/>
      <c r="F220" s="722">
        <v>600</v>
      </c>
      <c r="G220" s="722"/>
      <c r="H220" s="714">
        <f t="shared" si="24"/>
        <v>0</v>
      </c>
      <c r="I220" s="1432"/>
      <c r="J220" s="661"/>
      <c r="K220" s="661"/>
      <c r="M220" s="674"/>
    </row>
    <row r="221" spans="1:13" hidden="1">
      <c r="A221" s="672" t="s">
        <v>1117</v>
      </c>
      <c r="B221" s="723">
        <v>0</v>
      </c>
      <c r="C221" s="723"/>
      <c r="D221" s="721" t="s">
        <v>1109</v>
      </c>
      <c r="E221" s="721"/>
      <c r="F221" s="722">
        <v>760</v>
      </c>
      <c r="G221" s="722"/>
      <c r="H221" s="714">
        <f t="shared" si="24"/>
        <v>0</v>
      </c>
      <c r="I221" s="1432"/>
      <c r="J221" s="661"/>
      <c r="K221" s="661"/>
      <c r="M221" s="674"/>
    </row>
    <row r="222" spans="1:13" hidden="1">
      <c r="A222" s="672" t="s">
        <v>1118</v>
      </c>
      <c r="B222" s="723">
        <v>0</v>
      </c>
      <c r="C222" s="723"/>
      <c r="D222" s="721" t="s">
        <v>1109</v>
      </c>
      <c r="E222" s="721"/>
      <c r="F222" s="722">
        <v>600</v>
      </c>
      <c r="G222" s="722"/>
      <c r="H222" s="714">
        <f t="shared" si="24"/>
        <v>0</v>
      </c>
      <c r="I222" s="1432"/>
      <c r="J222" s="661"/>
      <c r="K222" s="661"/>
      <c r="M222" s="674"/>
    </row>
    <row r="223" spans="1:13" hidden="1">
      <c r="A223" s="672" t="s">
        <v>1119</v>
      </c>
      <c r="B223" s="723">
        <v>0</v>
      </c>
      <c r="C223" s="723"/>
      <c r="D223" s="721" t="s">
        <v>1109</v>
      </c>
      <c r="E223" s="721"/>
      <c r="F223" s="722">
        <v>170</v>
      </c>
      <c r="G223" s="722"/>
      <c r="H223" s="714">
        <f t="shared" si="24"/>
        <v>0</v>
      </c>
      <c r="I223" s="1432"/>
      <c r="J223" s="661"/>
      <c r="K223" s="661"/>
      <c r="M223" s="674"/>
    </row>
    <row r="224" spans="1:13" hidden="1">
      <c r="A224" s="672" t="s">
        <v>1120</v>
      </c>
      <c r="B224" s="723">
        <v>0</v>
      </c>
      <c r="C224" s="723"/>
      <c r="D224" s="721" t="s">
        <v>1109</v>
      </c>
      <c r="E224" s="721"/>
      <c r="F224" s="722">
        <v>200</v>
      </c>
      <c r="G224" s="722"/>
      <c r="H224" s="714">
        <f t="shared" si="24"/>
        <v>0</v>
      </c>
      <c r="I224" s="1432"/>
      <c r="J224" s="661"/>
      <c r="K224" s="661"/>
      <c r="M224" s="674"/>
    </row>
    <row r="225" spans="1:13" hidden="1">
      <c r="A225" s="673"/>
      <c r="B225" s="723">
        <v>0</v>
      </c>
      <c r="C225" s="723"/>
      <c r="D225" s="721"/>
      <c r="E225" s="721"/>
      <c r="F225" s="722">
        <v>0</v>
      </c>
      <c r="G225" s="722"/>
      <c r="H225" s="714">
        <f t="shared" si="24"/>
        <v>0</v>
      </c>
      <c r="I225" s="1432"/>
      <c r="J225" s="682" t="s">
        <v>1121</v>
      </c>
      <c r="K225" s="682"/>
      <c r="M225" s="674"/>
    </row>
    <row r="226" spans="1:13" hidden="1">
      <c r="A226" s="675" t="s">
        <v>3</v>
      </c>
      <c r="B226" s="724">
        <f>SUM(B213:B225)</f>
        <v>0</v>
      </c>
      <c r="C226" s="724"/>
      <c r="D226" s="725"/>
      <c r="E226" s="725"/>
      <c r="F226" s="725"/>
      <c r="G226" s="725"/>
      <c r="H226" s="719">
        <f>SUM(H213:H225)</f>
        <v>0</v>
      </c>
      <c r="I226" s="719"/>
      <c r="J226" s="726">
        <v>41639</v>
      </c>
      <c r="K226" s="1441"/>
      <c r="M226" s="674"/>
    </row>
    <row r="227" spans="1:13" hidden="1">
      <c r="A227" s="661"/>
      <c r="B227" s="661"/>
      <c r="C227" s="661"/>
      <c r="D227" s="661"/>
      <c r="E227" s="661"/>
      <c r="F227" s="661"/>
      <c r="G227" s="661"/>
      <c r="H227" s="661"/>
      <c r="I227" s="661"/>
      <c r="M227" s="674"/>
    </row>
    <row r="228" spans="1:13" hidden="1">
      <c r="A228" s="661"/>
      <c r="B228" s="661"/>
      <c r="C228" s="661"/>
      <c r="D228" s="661"/>
      <c r="E228" s="661"/>
      <c r="F228" s="661"/>
      <c r="G228" s="661"/>
      <c r="H228" s="661"/>
      <c r="I228" s="661"/>
      <c r="M228" s="674"/>
    </row>
    <row r="229" spans="1:13" hidden="1">
      <c r="A229" s="670" t="s">
        <v>1122</v>
      </c>
      <c r="B229" s="670" t="s">
        <v>147</v>
      </c>
      <c r="C229" s="670"/>
      <c r="D229" s="670" t="s">
        <v>146</v>
      </c>
      <c r="E229" s="670"/>
      <c r="F229" s="670" t="s">
        <v>1123</v>
      </c>
      <c r="G229" s="670"/>
      <c r="H229" s="670" t="s">
        <v>1124</v>
      </c>
      <c r="I229" s="670"/>
      <c r="M229" s="674"/>
    </row>
    <row r="230" spans="1:13" hidden="1">
      <c r="A230" s="727" t="s">
        <v>1125</v>
      </c>
      <c r="B230" s="5">
        <v>0</v>
      </c>
      <c r="C230" s="5"/>
      <c r="D230" s="8" t="s">
        <v>137</v>
      </c>
      <c r="E230" s="8"/>
      <c r="F230" s="21">
        <v>0.42</v>
      </c>
      <c r="G230" s="21"/>
      <c r="H230" s="24">
        <f t="shared" ref="H230:H239" si="25">B230*F230</f>
        <v>0</v>
      </c>
      <c r="I230" s="24"/>
      <c r="J230" s="726"/>
      <c r="K230" s="1441"/>
      <c r="M230" s="661"/>
    </row>
    <row r="231" spans="1:13" hidden="1">
      <c r="A231" s="727" t="s">
        <v>1126</v>
      </c>
      <c r="B231" s="5">
        <v>0</v>
      </c>
      <c r="C231" s="5"/>
      <c r="D231" s="8" t="s">
        <v>564</v>
      </c>
      <c r="E231" s="8"/>
      <c r="F231" s="21"/>
      <c r="G231" s="21"/>
      <c r="H231" s="24">
        <f t="shared" si="25"/>
        <v>0</v>
      </c>
      <c r="I231" s="24"/>
      <c r="J231" s="726"/>
      <c r="K231" s="1441"/>
      <c r="M231" s="661"/>
    </row>
    <row r="232" spans="1:13" hidden="1">
      <c r="A232" s="727" t="s">
        <v>1127</v>
      </c>
      <c r="B232" s="5">
        <v>0</v>
      </c>
      <c r="C232" s="5"/>
      <c r="D232" s="8" t="s">
        <v>564</v>
      </c>
      <c r="E232" s="8"/>
      <c r="F232" s="21"/>
      <c r="G232" s="21"/>
      <c r="H232" s="24">
        <f t="shared" si="25"/>
        <v>0</v>
      </c>
      <c r="I232" s="24"/>
      <c r="J232" s="726"/>
      <c r="K232" s="1441"/>
      <c r="M232" s="661"/>
    </row>
    <row r="233" spans="1:13" hidden="1">
      <c r="A233" s="727" t="s">
        <v>1128</v>
      </c>
      <c r="B233" s="5">
        <v>0</v>
      </c>
      <c r="C233" s="5"/>
      <c r="D233" s="8" t="s">
        <v>137</v>
      </c>
      <c r="E233" s="8"/>
      <c r="F233" s="21">
        <v>0.37</v>
      </c>
      <c r="G233" s="21"/>
      <c r="H233" s="24">
        <f t="shared" si="25"/>
        <v>0</v>
      </c>
      <c r="I233" s="24"/>
      <c r="J233" s="726"/>
      <c r="K233" s="1441"/>
      <c r="M233" s="661"/>
    </row>
    <row r="234" spans="1:13" hidden="1">
      <c r="A234" s="727" t="s">
        <v>1129</v>
      </c>
      <c r="B234" s="5">
        <v>0</v>
      </c>
      <c r="C234" s="5"/>
      <c r="D234" s="8" t="s">
        <v>137</v>
      </c>
      <c r="E234" s="8"/>
      <c r="F234" s="21"/>
      <c r="G234" s="21"/>
      <c r="H234" s="24">
        <f t="shared" si="25"/>
        <v>0</v>
      </c>
      <c r="I234" s="24"/>
      <c r="J234" s="726"/>
      <c r="K234" s="1441"/>
      <c r="M234" s="661"/>
    </row>
    <row r="235" spans="1:13" hidden="1">
      <c r="A235" s="727" t="s">
        <v>1129</v>
      </c>
      <c r="B235" s="5">
        <v>0</v>
      </c>
      <c r="C235" s="5"/>
      <c r="D235" s="8" t="s">
        <v>137</v>
      </c>
      <c r="E235" s="8"/>
      <c r="F235" s="21">
        <v>7.8E-2</v>
      </c>
      <c r="G235" s="21"/>
      <c r="H235" s="24">
        <f t="shared" si="25"/>
        <v>0</v>
      </c>
      <c r="I235" s="24"/>
      <c r="J235" s="726"/>
      <c r="K235" s="1441"/>
      <c r="M235" s="661"/>
    </row>
    <row r="236" spans="1:13" hidden="1">
      <c r="A236" s="727" t="s">
        <v>1130</v>
      </c>
      <c r="B236" s="5">
        <v>0</v>
      </c>
      <c r="C236" s="5"/>
      <c r="D236" s="8" t="s">
        <v>564</v>
      </c>
      <c r="E236" s="8"/>
      <c r="F236" s="21">
        <v>0.8</v>
      </c>
      <c r="G236" s="21"/>
      <c r="H236" s="24">
        <f t="shared" si="25"/>
        <v>0</v>
      </c>
      <c r="I236" s="1434"/>
      <c r="J236" s="661"/>
      <c r="K236" s="661"/>
      <c r="M236" s="661"/>
    </row>
    <row r="237" spans="1:13" hidden="1">
      <c r="A237" s="728" t="s">
        <v>1131</v>
      </c>
      <c r="B237" s="723">
        <v>0</v>
      </c>
      <c r="C237" s="723"/>
      <c r="D237" s="729" t="s">
        <v>606</v>
      </c>
      <c r="E237" s="729"/>
      <c r="F237" s="21"/>
      <c r="G237" s="21"/>
      <c r="H237" s="24">
        <f t="shared" si="25"/>
        <v>0</v>
      </c>
      <c r="I237" s="1434"/>
      <c r="J237" s="661"/>
      <c r="K237" s="661"/>
      <c r="M237" s="661"/>
    </row>
    <row r="238" spans="1:13" hidden="1">
      <c r="A238" s="728" t="s">
        <v>1132</v>
      </c>
      <c r="B238" s="723">
        <v>0</v>
      </c>
      <c r="C238" s="723"/>
      <c r="D238" s="729" t="s">
        <v>137</v>
      </c>
      <c r="E238" s="729"/>
      <c r="F238" s="21"/>
      <c r="G238" s="21"/>
      <c r="H238" s="24">
        <f t="shared" si="25"/>
        <v>0</v>
      </c>
      <c r="I238" s="1434"/>
      <c r="J238" s="661"/>
      <c r="K238" s="661"/>
      <c r="M238" s="661"/>
    </row>
    <row r="239" spans="1:13" hidden="1">
      <c r="A239" s="728"/>
      <c r="B239" s="723">
        <v>0</v>
      </c>
      <c r="C239" s="723"/>
      <c r="D239" s="730"/>
      <c r="E239" s="730"/>
      <c r="F239" s="21"/>
      <c r="G239" s="21"/>
      <c r="H239" s="24">
        <f t="shared" si="25"/>
        <v>0</v>
      </c>
      <c r="I239" s="1434"/>
      <c r="J239" s="685" t="s">
        <v>1133</v>
      </c>
      <c r="K239" s="685"/>
      <c r="M239" s="661"/>
    </row>
    <row r="240" spans="1:13" hidden="1">
      <c r="A240" s="677" t="s">
        <v>1134</v>
      </c>
      <c r="B240" s="676">
        <f>SUM(B230:B239)</f>
        <v>0</v>
      </c>
      <c r="C240" s="676"/>
      <c r="D240" s="676"/>
      <c r="E240" s="676"/>
      <c r="F240" s="676"/>
      <c r="G240" s="676"/>
      <c r="H240" s="678">
        <f>SUM(H230:H239)</f>
        <v>0</v>
      </c>
      <c r="I240" s="678"/>
    </row>
    <row r="241" spans="1:12" hidden="1">
      <c r="A241" s="679" t="s">
        <v>241</v>
      </c>
      <c r="B241" s="680"/>
      <c r="C241" s="680"/>
      <c r="D241" s="680"/>
      <c r="E241" s="680"/>
      <c r="F241" s="680"/>
      <c r="G241" s="680"/>
      <c r="H241" s="681">
        <f>H210+H226+H240</f>
        <v>0</v>
      </c>
      <c r="I241" s="718"/>
    </row>
    <row r="242" spans="1:12" hidden="1">
      <c r="A242" s="661"/>
      <c r="B242" s="661"/>
      <c r="C242" s="661"/>
      <c r="D242" s="661"/>
      <c r="E242" s="661"/>
      <c r="F242" s="661"/>
      <c r="G242" s="661"/>
      <c r="H242" s="661"/>
      <c r="I242" s="661"/>
    </row>
    <row r="243" spans="1:12" hidden="1">
      <c r="A243" s="670" t="s">
        <v>1135</v>
      </c>
      <c r="B243" s="1092"/>
      <c r="C243" s="1424"/>
      <c r="D243" s="661"/>
      <c r="E243" s="661"/>
      <c r="F243" s="661"/>
      <c r="G243" s="661"/>
      <c r="H243" s="731">
        <f>H240</f>
        <v>0</v>
      </c>
      <c r="I243" s="1435"/>
    </row>
    <row r="244" spans="1:12" hidden="1"/>
    <row r="245" spans="1:12" hidden="1"/>
    <row r="246" spans="1:12">
      <c r="B246" s="2738" t="str">
        <f>IF(B192&gt;0,"Oma pääoma positiivinen. Lasken korkovaatimuksen ","Oma pääoma negatiivinen. Ei korkovaatimusta")</f>
        <v>Oma pääoma negatiivinen. Ei korkovaatimusta</v>
      </c>
      <c r="D246" s="2738" t="str">
        <f>IF(D192&gt;0,"Oma pääoma positiivinen. Lasken korkovaatimuksen ","Oma pääoma negatiivinen. Ei korkovaatimusta")</f>
        <v>Oma pääoma negatiivinen. Ei korkovaatimusta</v>
      </c>
      <c r="F246" s="2738" t="str">
        <f>IF(F192&gt;0,"Oma pääoma positiivinen. Lasken korkovaatimuksen ","Oma pääoma negatiivinen. Ei korkovaatimusta")</f>
        <v>Oma pääoma negatiivinen. Ei korkovaatimusta</v>
      </c>
      <c r="H246" s="2738" t="str">
        <f>IF(H192&gt;0,"Oma pääoma positiivinen. Lasken korkovaatimuksen ","Oma pääoma negatiivinen. Ei korkovaatimusta")</f>
        <v>Oma pääoma negatiivinen. Ei korkovaatimusta</v>
      </c>
      <c r="J246" s="2738" t="str">
        <f>IF(J192&gt;0,"Oma pääoma positiivinen. Lasken korkovaatimuksen ","Oma pääoma negatiivinen. Ei korkovaatimusta")</f>
        <v>Oma pääoma negatiivinen. Ei korkovaatimusta</v>
      </c>
      <c r="L246" s="2738" t="str">
        <f>IF(L192&gt;0,"Oma pääoma positiivinen. Lasken korkovaatimuksen ","Oma pääoma negatiivinen. Ei korkovaatimusta")</f>
        <v>Oma pääoma negatiivinen. Ei korkovaatimusta</v>
      </c>
    </row>
    <row r="247" spans="1:12">
      <c r="A247" t="s">
        <v>1259</v>
      </c>
      <c r="B247" s="2738"/>
      <c r="C247" s="52"/>
      <c r="D247" s="2738"/>
      <c r="E247" s="52"/>
      <c r="F247" s="2738"/>
      <c r="G247" s="52"/>
      <c r="H247" s="2738"/>
      <c r="I247" s="52"/>
      <c r="J247" s="2738"/>
      <c r="K247" s="52"/>
      <c r="L247" s="2738"/>
    </row>
    <row r="248" spans="1:12">
      <c r="A248" s="4" t="s">
        <v>1065</v>
      </c>
      <c r="B248" s="1989">
        <f>IF($B$140="ely",IF(B192&gt;0,(B192*B166),0),IF(B192&gt;0,(B192*B166),0))</f>
        <v>0</v>
      </c>
      <c r="D248" s="1989">
        <f>IF($B$140="ely",IF(D192&gt;0,(D192*D166),0),IF(D192&gt;0,(D192*D166),0))</f>
        <v>0</v>
      </c>
      <c r="F248" s="1989">
        <f>IF($B$140="ely",IF(F192&gt;0,(F192*F166),0),IF(F192&gt;0,(F192*F166),0))</f>
        <v>0</v>
      </c>
      <c r="H248" s="1989">
        <f>IF($B$140="ely",IF(H192&gt;0,(H192*H166),0),IF(H192&gt;0,(H192*H166),0))</f>
        <v>0</v>
      </c>
      <c r="J248" s="1989">
        <f>IF($B$140="ely",IF(J192&gt;0,(J192*J166),0),IF(J192&gt;0,(J192*J166),0))</f>
        <v>0</v>
      </c>
      <c r="L248" s="1989">
        <f>IF($B$140="ely",IF(L192&gt;0,(L192*L166),0),IF(L192&gt;0,(L192*L166),0))</f>
        <v>0</v>
      </c>
    </row>
    <row r="249" spans="1:12">
      <c r="A249" s="4" t="s">
        <v>1066</v>
      </c>
      <c r="B249" s="1989">
        <f>IF($B$140="ely",(B167*B168),(B167*B168))</f>
        <v>0</v>
      </c>
      <c r="D249" s="1989">
        <f>IF($B$140="ely",(D167*D168),(D167*D168))</f>
        <v>0</v>
      </c>
      <c r="F249" s="1989">
        <f>IF($B$140="ely",(F167*F168),(F167*F168))</f>
        <v>0</v>
      </c>
      <c r="H249" s="1989">
        <f>IF($B$140="ely",(H167*H168),(H167*H168))</f>
        <v>0</v>
      </c>
      <c r="J249" s="1989">
        <f>IF($B$140="ely",(J167*J168),(J167*J168))</f>
        <v>0</v>
      </c>
      <c r="L249" s="1989">
        <f>IF($B$140="ely",(L167*L168),(L167*L168))</f>
        <v>0</v>
      </c>
    </row>
    <row r="250" spans="1:12">
      <c r="A250" s="4" t="s">
        <v>3</v>
      </c>
      <c r="B250" s="1492">
        <f>SUM(B248:B249)</f>
        <v>0</v>
      </c>
      <c r="D250" s="1492">
        <f>SUM(D248:D249)</f>
        <v>0</v>
      </c>
      <c r="F250" s="1492">
        <f>SUM(F248:F249)</f>
        <v>0</v>
      </c>
      <c r="H250" s="1492">
        <f>SUM(H248:H249)</f>
        <v>0</v>
      </c>
      <c r="J250" s="1492">
        <f>SUM(J248:J249)</f>
        <v>0</v>
      </c>
      <c r="L250" s="1492">
        <f>SUM(L248:L249)</f>
        <v>0</v>
      </c>
    </row>
    <row r="1048576" spans="5:5">
      <c r="E1048576" s="1442">
        <v>0</v>
      </c>
    </row>
  </sheetData>
  <sheetProtection sheet="1" formatCells="0" formatColumns="0" formatRows="0"/>
  <mergeCells count="31">
    <mergeCell ref="M31:N31"/>
    <mergeCell ref="P2:R2"/>
    <mergeCell ref="A3:L3"/>
    <mergeCell ref="B4:D4"/>
    <mergeCell ref="F4:F5"/>
    <mergeCell ref="M28:N28"/>
    <mergeCell ref="M32:N32"/>
    <mergeCell ref="L87:L94"/>
    <mergeCell ref="L97:L105"/>
    <mergeCell ref="D119:H119"/>
    <mergeCell ref="A159:A160"/>
    <mergeCell ref="B159:B160"/>
    <mergeCell ref="L159:L160"/>
    <mergeCell ref="K159:K160"/>
    <mergeCell ref="J140:L140"/>
    <mergeCell ref="A171:L171"/>
    <mergeCell ref="A172:D172"/>
    <mergeCell ref="D159:D160"/>
    <mergeCell ref="F159:F160"/>
    <mergeCell ref="H159:H160"/>
    <mergeCell ref="J159:J160"/>
    <mergeCell ref="C159:C160"/>
    <mergeCell ref="E159:E160"/>
    <mergeCell ref="G159:G160"/>
    <mergeCell ref="I159:I160"/>
    <mergeCell ref="L246:L247"/>
    <mergeCell ref="B246:B247"/>
    <mergeCell ref="D246:D247"/>
    <mergeCell ref="F246:F247"/>
    <mergeCell ref="H246:H247"/>
    <mergeCell ref="J246:J247"/>
  </mergeCells>
  <conditionalFormatting sqref="B198">
    <cfRule type="cellIs" dxfId="42" priority="10" stopIfTrue="1" operator="notEqual">
      <formula>$B$190</formula>
    </cfRule>
  </conditionalFormatting>
  <printOptions horizontalCentered="1" verticalCentered="1" headings="1"/>
  <pageMargins left="0.23622047244094491" right="0.23622047244094491" top="0.74803149606299213" bottom="0.74803149606299213" header="0.31496062992125984" footer="0.31496062992125984"/>
  <pageSetup paperSize="9" scale="56" firstPageNumber="0" fitToWidth="2" orientation="landscape" horizontalDpi="4294967293" verticalDpi="4294967293" r:id="rId1"/>
  <headerFooter alignWithMargins="0">
    <oddHeader>&amp;L&amp;D&amp;C=Tuloslaskelmaennuste&amp;R&amp;P&amp;N</oddHeader>
    <oddFooter>&amp;C&amp;F</oddFooter>
  </headerFooter>
  <rowBreaks count="1" manualBreakCount="1">
    <brk id="170" max="12"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66"/>
  <sheetViews>
    <sheetView zoomScale="80" zoomScaleNormal="80" workbookViewId="0">
      <selection activeCell="C10" sqref="C10"/>
    </sheetView>
  </sheetViews>
  <sheetFormatPr defaultRowHeight="12.75"/>
  <cols>
    <col min="1" max="1" width="26.85546875" customWidth="1"/>
    <col min="2" max="2" width="17" customWidth="1"/>
    <col min="3" max="3" width="16" customWidth="1"/>
    <col min="4" max="4" width="54.140625" customWidth="1"/>
    <col min="5" max="5" width="28.42578125" customWidth="1"/>
    <col min="6" max="6" width="26.42578125" customWidth="1"/>
    <col min="7" max="7" width="18.42578125" customWidth="1"/>
    <col min="8" max="8" width="18.28515625" customWidth="1"/>
    <col min="9" max="9" width="14.42578125" customWidth="1"/>
    <col min="10" max="10" width="25.140625" customWidth="1"/>
    <col min="11" max="11" width="15.42578125" customWidth="1"/>
    <col min="12" max="12" width="18.42578125" customWidth="1"/>
    <col min="13" max="13" width="11.5703125" customWidth="1"/>
    <col min="14" max="14" width="19.42578125" customWidth="1"/>
  </cols>
  <sheetData>
    <row r="1" spans="1:12" ht="23.25">
      <c r="A1" s="2148" t="s">
        <v>1652</v>
      </c>
    </row>
    <row r="4" spans="1:12" ht="13.5" thickBot="1">
      <c r="A4" s="3" t="s">
        <v>556</v>
      </c>
      <c r="B4" s="3" t="s">
        <v>556</v>
      </c>
      <c r="C4" s="3" t="str">
        <f>'Rakenna TULOSENNUSTE'!C4</f>
        <v>Hävikki:</v>
      </c>
      <c r="D4" s="3" t="s">
        <v>1619</v>
      </c>
      <c r="E4" s="3" t="s">
        <v>1577</v>
      </c>
      <c r="F4" s="3" t="s">
        <v>1620</v>
      </c>
      <c r="G4" s="3" t="s">
        <v>1621</v>
      </c>
      <c r="H4" s="3" t="s">
        <v>1622</v>
      </c>
      <c r="I4" s="3" t="s">
        <v>1623</v>
      </c>
      <c r="J4" s="3" t="s">
        <v>1624</v>
      </c>
      <c r="K4" s="3" t="s">
        <v>1627</v>
      </c>
      <c r="L4" s="3" t="s">
        <v>1628</v>
      </c>
    </row>
    <row r="5" spans="1:12" ht="13.5" thickBot="1">
      <c r="A5" s="2124">
        <f>IF(LaskeKasvi1!$E$5=1, LaskeKasvi1!$D$7*LaskeKasvi1!$E$4,LaskeKasvi1!$D$7)</f>
        <v>0</v>
      </c>
      <c r="B5" s="2115" t="str">
        <f>'Rakenna TULOSENNUSTE'!B5</f>
        <v>0 kg</v>
      </c>
      <c r="C5" s="2115" t="str">
        <f>'Rakenna TULOSENNUSTE'!C5</f>
        <v>Hävikki 0 kg</v>
      </c>
      <c r="D5" t="str">
        <f>'Rakenna TULOSENNUSTE'!D5</f>
        <v>LaskeKasvi1</v>
      </c>
      <c r="E5" t="str">
        <f>LaskeKasvi1!K36</f>
        <v>Kevyt polttoöljy</v>
      </c>
      <c r="F5" s="2117">
        <f>LaskeKasvi1!J34+LaskeKasvi1!J36</f>
        <v>0</v>
      </c>
      <c r="G5" s="2117">
        <f>LaskeKasvi1!O36</f>
        <v>0</v>
      </c>
      <c r="H5" s="2117">
        <f>G5/1000</f>
        <v>0</v>
      </c>
      <c r="I5" s="2117">
        <f>G5*0.27</f>
        <v>0</v>
      </c>
      <c r="J5" s="2116">
        <f>IF(G5&gt;0,G5/$G$25,)</f>
        <v>0</v>
      </c>
      <c r="K5" s="1550">
        <f>IF(A5&gt;0,I5/A5,0)</f>
        <v>0</v>
      </c>
      <c r="L5" s="59">
        <f>IF(K5&gt;0,A5/G5,0)</f>
        <v>0</v>
      </c>
    </row>
    <row r="6" spans="1:12">
      <c r="A6" s="2124">
        <f>IF(LaskeKasvi2!$E$5=1, LaskeKasvi2!$D$7*LaskeKasvi2!$E$4,LaskeKasvi2!$D$7)</f>
        <v>0</v>
      </c>
      <c r="B6" s="2115" t="str">
        <f>'Rakenna TULOSENNUSTE'!B6</f>
        <v>0 kg</v>
      </c>
      <c r="C6" s="2115" t="str">
        <f>'Rakenna TULOSENNUSTE'!C6</f>
        <v>0 kg</v>
      </c>
      <c r="D6" t="str">
        <f>'Rakenna TULOSENNUSTE'!D6</f>
        <v>LaskeKasvi 2</v>
      </c>
      <c r="E6" t="str">
        <f>LaskeKasvi2!K36</f>
        <v>Kevyt polttoöljy</v>
      </c>
      <c r="F6" s="2117">
        <f>LaskeKasvi2!J34+LaskeKasvi2!J36</f>
        <v>0</v>
      </c>
      <c r="G6" s="2117">
        <f>LaskeKasvi2!O36</f>
        <v>0</v>
      </c>
      <c r="H6" s="2117">
        <f t="shared" ref="H6:H19" si="0">G6/1000</f>
        <v>0</v>
      </c>
      <c r="I6" s="2117">
        <f t="shared" ref="I6:I17" si="1">G6*0.27</f>
        <v>0</v>
      </c>
      <c r="J6" s="2116">
        <f t="shared" ref="J6:J19" si="2">IF(G6&gt;0,G6/$G$25,)</f>
        <v>0</v>
      </c>
      <c r="K6" s="1550">
        <f t="shared" ref="K6:K17" si="3">IF(A6&gt;0,I6/A6,0)</f>
        <v>0</v>
      </c>
      <c r="L6" s="59">
        <f t="shared" ref="L6:L19" si="4">IF(K6&gt;0,A6/G6,0)</f>
        <v>0</v>
      </c>
    </row>
    <row r="7" spans="1:12" ht="13.5" thickBot="1">
      <c r="A7" s="2125">
        <f>IF(LaskeSäilörehu!$E$5=1,LaskeSäilörehu!$D$8*LaskeSäilörehu!$E$4,LaskeSäilörehu!$D$8)</f>
        <v>0</v>
      </c>
      <c r="B7" s="2115" t="str">
        <f>'Rakenna TULOSENNUSTE'!B7</f>
        <v>0 kg KA</v>
      </c>
      <c r="C7" s="2115" t="str">
        <f>'Rakenna TULOSENNUSTE'!C7</f>
        <v>0 kg KA</v>
      </c>
      <c r="D7" t="str">
        <f>'Rakenna TULOSENNUSTE'!D7</f>
        <v>LaskeSäilörehu</v>
      </c>
      <c r="E7" t="str">
        <f>LaskeSäilörehu!K38</f>
        <v>Kevyt polttoöljy</v>
      </c>
      <c r="F7" s="2117">
        <f>LaskeSäilörehu!J36+LaskeSäilörehu!J38</f>
        <v>0</v>
      </c>
      <c r="G7" s="2117">
        <f>LaskeSäilörehu!O38</f>
        <v>0</v>
      </c>
      <c r="H7" s="2117">
        <f t="shared" si="0"/>
        <v>0</v>
      </c>
      <c r="I7" s="2117">
        <f t="shared" si="1"/>
        <v>0</v>
      </c>
      <c r="J7" s="2116">
        <f t="shared" si="2"/>
        <v>0</v>
      </c>
      <c r="K7" s="1550">
        <f t="shared" si="3"/>
        <v>0</v>
      </c>
      <c r="L7" s="59">
        <f t="shared" si="4"/>
        <v>0</v>
      </c>
    </row>
    <row r="8" spans="1:12" ht="13.5" thickBot="1">
      <c r="A8" s="2124">
        <f>IF(LaskeKasvi4!$E$5=1, LaskeKasvi4!$D$7*LaskeKasvi4!$E$4,LaskeKasvi4!$D$7)</f>
        <v>0</v>
      </c>
      <c r="B8" s="2115" t="str">
        <f>'Rakenna TULOSENNUSTE'!B8</f>
        <v>0 kg</v>
      </c>
      <c r="C8" s="2115" t="str">
        <f>'Rakenna TULOSENNUSTE'!C8</f>
        <v>0 kg</v>
      </c>
      <c r="D8" t="str">
        <f>'Rakenna TULOSENNUSTE'!D8</f>
        <v>LaskeKasvi 4 - Piilossa, aktivoi (hiiren oikea, näytä)</v>
      </c>
      <c r="E8" t="str">
        <f>LaskeKasvi4!K36</f>
        <v>Kevyt polttoöljy</v>
      </c>
      <c r="F8" s="2117">
        <f>LaskeKasvi4!J34+LaskeKasvi4!J36</f>
        <v>0</v>
      </c>
      <c r="G8" s="2117">
        <f>LaskeKasvi4!O36</f>
        <v>0</v>
      </c>
      <c r="H8" s="2117">
        <f t="shared" si="0"/>
        <v>0</v>
      </c>
      <c r="I8" s="2117">
        <f t="shared" si="1"/>
        <v>0</v>
      </c>
      <c r="J8" s="2116">
        <f t="shared" si="2"/>
        <v>0</v>
      </c>
      <c r="K8" s="1550">
        <f t="shared" si="3"/>
        <v>0</v>
      </c>
      <c r="L8" s="59">
        <f t="shared" si="4"/>
        <v>0</v>
      </c>
    </row>
    <row r="9" spans="1:12">
      <c r="A9" s="2124">
        <f>IF(LaskeKasvi5!$E$5=1, LaskeKasvi5!$D$7*LaskeKasvi5!$E$4,LaskeKasvi5!$D$7)</f>
        <v>0</v>
      </c>
      <c r="B9" s="2115">
        <f>'Rakenna TULOSENNUSTE'!B9</f>
        <v>0</v>
      </c>
      <c r="C9" s="2115">
        <f>'Rakenna TULOSENNUSTE'!C9</f>
        <v>0</v>
      </c>
      <c r="D9" t="str">
        <f>'Rakenna TULOSENNUSTE'!D9</f>
        <v>LaskeKasvi 5 - Piilossa, aktivoi (hiiren oikea, näytä)</v>
      </c>
      <c r="E9" t="str">
        <f>LaskeKasvi5!K36</f>
        <v>Kevyt polttoöljy</v>
      </c>
      <c r="F9" s="2117">
        <f>LaskeKasvi5!J34+LaskeKasvi5!J36</f>
        <v>0</v>
      </c>
      <c r="G9" s="2117">
        <f>LaskeKasvi5!O36</f>
        <v>0</v>
      </c>
      <c r="H9" s="2117">
        <f t="shared" si="0"/>
        <v>0</v>
      </c>
      <c r="I9" s="2117">
        <f t="shared" si="1"/>
        <v>0</v>
      </c>
      <c r="J9" s="2116">
        <f t="shared" si="2"/>
        <v>0</v>
      </c>
      <c r="K9" s="1550">
        <f t="shared" si="3"/>
        <v>0</v>
      </c>
      <c r="L9" s="59">
        <f t="shared" si="4"/>
        <v>0</v>
      </c>
    </row>
    <row r="10" spans="1:12">
      <c r="A10" s="2126">
        <f>'LaskeMonivuotinenMarja 1'!AC8</f>
        <v>0</v>
      </c>
      <c r="B10" s="2115" t="str">
        <f>'Rakenna TULOSENNUSTE'!B10</f>
        <v>0 kg</v>
      </c>
      <c r="C10" s="2115">
        <f>'Rakenna TULOSENNUSTE'!C10</f>
        <v>0</v>
      </c>
      <c r="D10" t="str">
        <f>'Rakenna TULOSENNUSTE'!D10</f>
        <v>LaskeMonivuotinen Marja1 esim. mansikka</v>
      </c>
      <c r="E10" t="str">
        <f>'LaskeMonivuotinenMarja 1'!$AG$34&amp;" + "&amp;'LaskeMonivuotinenMarja 1'!$AG$31</f>
        <v>Kevyt polttoöljy + Bensiini</v>
      </c>
      <c r="F10" s="2117">
        <f>'LaskeMonivuotinenMarja 1'!AC31+'LaskeMonivuotinenMarja 1'!AC36</f>
        <v>0</v>
      </c>
      <c r="G10" s="2117">
        <f>'LaskeMonivuotinenMarja 1'!AK35</f>
        <v>0</v>
      </c>
      <c r="H10" s="2117">
        <f t="shared" si="0"/>
        <v>0</v>
      </c>
      <c r="I10" s="2117">
        <f t="shared" si="1"/>
        <v>0</v>
      </c>
      <c r="J10" s="2116">
        <f t="shared" si="2"/>
        <v>0</v>
      </c>
      <c r="K10" s="1550">
        <f t="shared" si="3"/>
        <v>0</v>
      </c>
      <c r="L10" s="59">
        <f t="shared" si="4"/>
        <v>0</v>
      </c>
    </row>
    <row r="11" spans="1:12">
      <c r="A11" s="2126">
        <f>'LaskeMonivuotinenMarja 2'!AC8</f>
        <v>0</v>
      </c>
      <c r="B11" s="2115" t="str">
        <f>'Rakenna TULOSENNUSTE'!B11</f>
        <v>0 kg</v>
      </c>
      <c r="C11" s="2115">
        <f>'Rakenna TULOSENNUSTE'!C11</f>
        <v>0</v>
      </c>
      <c r="D11" t="str">
        <f>'Rakenna TULOSENNUSTE'!D11</f>
        <v xml:space="preserve">LaskeMonivuotiset marjakasvit 2 </v>
      </c>
      <c r="E11" t="str">
        <f>'LaskeMonivuotinenMarja 2'!$AG$34&amp;" + "&amp;'LaskeMonivuotinenMarja 2'!$AG$31</f>
        <v>Kevyt polttoöljy + Bensiini</v>
      </c>
      <c r="F11" s="2117">
        <f>'LaskeMonivuotinenMarja 2'!AC31+'LaskeMonivuotinenMarja 2'!AC36</f>
        <v>0</v>
      </c>
      <c r="G11" s="2117">
        <f>'LaskeMonivuotinenMarja 2'!AK35</f>
        <v>0</v>
      </c>
      <c r="H11" s="2117">
        <f t="shared" si="0"/>
        <v>0</v>
      </c>
      <c r="I11" s="2117">
        <f t="shared" si="1"/>
        <v>0</v>
      </c>
      <c r="J11" s="2116">
        <f t="shared" si="2"/>
        <v>0</v>
      </c>
      <c r="K11" s="1550">
        <f t="shared" si="3"/>
        <v>0</v>
      </c>
      <c r="L11" s="59">
        <f t="shared" si="4"/>
        <v>0</v>
      </c>
    </row>
    <row r="12" spans="1:12">
      <c r="A12" s="2126">
        <f>'LaskeMonivuotinenMarja 3'!AC8</f>
        <v>0</v>
      </c>
      <c r="B12" s="2115" t="str">
        <f>'Rakenna TULOSENNUSTE'!B12</f>
        <v>0 kg</v>
      </c>
      <c r="C12" s="2115">
        <f>'Rakenna TULOSENNUSTE'!C12</f>
        <v>0</v>
      </c>
      <c r="D12" t="str">
        <f>'Rakenna TULOSENNUSTE'!D12</f>
        <v>LaskeMonivuotiset marjakasvit 3</v>
      </c>
      <c r="E12" t="str">
        <f>'LaskeMonivuotinenMarja 3'!$AG$34&amp;" + "&amp;'LaskeMonivuotinenMarja 3'!$AG$31</f>
        <v>Kevyt polttoöljy + Bensiini</v>
      </c>
      <c r="F12" s="2117">
        <f>'LaskeMonivuotinenMarja 3'!AC31+'LaskeMonivuotinenMarja 3'!AC36</f>
        <v>0</v>
      </c>
      <c r="G12" s="2117">
        <f>'LaskeMonivuotinenMarja 3'!AK35</f>
        <v>0</v>
      </c>
      <c r="H12" s="2117">
        <f t="shared" si="0"/>
        <v>0</v>
      </c>
      <c r="I12" s="2117">
        <f t="shared" si="1"/>
        <v>0</v>
      </c>
      <c r="J12" s="2116">
        <f t="shared" si="2"/>
        <v>0</v>
      </c>
      <c r="K12" s="1550">
        <f t="shared" si="3"/>
        <v>0</v>
      </c>
      <c r="L12" s="59">
        <f t="shared" si="4"/>
        <v>0</v>
      </c>
    </row>
    <row r="13" spans="1:12">
      <c r="A13" s="2126">
        <f>'LaskeMonivuotinenMarja 4'!AC8</f>
        <v>0</v>
      </c>
      <c r="B13" s="2115" t="str">
        <f>'Rakenna TULOSENNUSTE'!B13</f>
        <v>0 kg</v>
      </c>
      <c r="C13" s="2115">
        <f>'Rakenna TULOSENNUSTE'!C13</f>
        <v>0</v>
      </c>
      <c r="D13" t="str">
        <f>'Rakenna TULOSENNUSTE'!D13</f>
        <v>LaskeMonivuotiset marjakasvit 4 - Piilossa, aktivoi (hiiren oikea, näytä)</v>
      </c>
      <c r="E13" t="str">
        <f>'LaskeMonivuotinenMarja 4'!$AG$34&amp;" + "&amp;'LaskeMonivuotinenMarja 4'!$AG$31</f>
        <v>Kevyt polttoöljy + Bensiini</v>
      </c>
      <c r="F13" s="2117">
        <f>'LaskeMonivuotinenMarja 4'!AC31+'LaskeMonivuotinenMarja 4'!AC36</f>
        <v>0</v>
      </c>
      <c r="G13" s="2117">
        <f>'LaskeMonivuotinenMarja 4'!AK35</f>
        <v>0</v>
      </c>
      <c r="H13" s="2117">
        <f t="shared" si="0"/>
        <v>0</v>
      </c>
      <c r="I13" s="2117">
        <f t="shared" si="1"/>
        <v>0</v>
      </c>
      <c r="J13" s="2116">
        <f t="shared" si="2"/>
        <v>0</v>
      </c>
      <c r="K13" s="1550">
        <f t="shared" si="3"/>
        <v>0</v>
      </c>
      <c r="L13" s="59">
        <f t="shared" si="4"/>
        <v>0</v>
      </c>
    </row>
    <row r="14" spans="1:12">
      <c r="A14" s="2126">
        <f>'LaskeMonivuotinenMarja 5'!AC8</f>
        <v>0</v>
      </c>
      <c r="B14" s="2115" t="str">
        <f>'Rakenna TULOSENNUSTE'!B14</f>
        <v>0 kg</v>
      </c>
      <c r="C14" s="2115">
        <f>'Rakenna TULOSENNUSTE'!C14</f>
        <v>0</v>
      </c>
      <c r="D14" t="str">
        <f>'Rakenna TULOSENNUSTE'!D14</f>
        <v>LaskeMonivuotiset marjakasvit 5 - Piilossa, aktivoi (hiiren oikea, näytä)</v>
      </c>
      <c r="E14" t="str">
        <f>'LaskeMonivuotinenMarja 5'!$AG$34&amp;" + "&amp;'LaskeMonivuotinenMarja 5'!$AG$31</f>
        <v>Kevyt polttoöljy + Bensiini</v>
      </c>
      <c r="F14" s="2117">
        <f>'LaskeMonivuotinenMarja 5'!AC31+'LaskeMonivuotinenMarja 5'!AC36</f>
        <v>0</v>
      </c>
      <c r="G14" s="2117">
        <f>'LaskeMonivuotinenMarja 5'!AK35</f>
        <v>0</v>
      </c>
      <c r="H14" s="2117">
        <f t="shared" si="0"/>
        <v>0</v>
      </c>
      <c r="I14" s="2117">
        <f t="shared" si="1"/>
        <v>0</v>
      </c>
      <c r="J14" s="2116">
        <f t="shared" si="2"/>
        <v>0</v>
      </c>
      <c r="K14" s="1550">
        <f t="shared" si="3"/>
        <v>0</v>
      </c>
      <c r="L14" s="59">
        <f t="shared" si="4"/>
        <v>0</v>
      </c>
    </row>
    <row r="15" spans="1:12">
      <c r="A15" s="2126">
        <f>'LaskeMonivuotinenMarja 6'!AC8</f>
        <v>0</v>
      </c>
      <c r="B15" s="2115" t="str">
        <f>'Rakenna TULOSENNUSTE'!B15</f>
        <v>0 kg</v>
      </c>
      <c r="C15" s="2115">
        <f>'Rakenna TULOSENNUSTE'!C15</f>
        <v>0</v>
      </c>
      <c r="D15" t="str">
        <f>'Rakenna TULOSENNUSTE'!D15</f>
        <v>LaskeMonivuotiset marjakasvit 6 - Piilossa, aktivoi (hiiren oikea, näytä)</v>
      </c>
      <c r="E15" t="str">
        <f>'LaskeMonivuotinenMarja 6'!$AG$34&amp;" + "&amp;'LaskeMonivuotinenMarja 6'!$AG$31</f>
        <v>Kevyt polttoöljy + Bensiini</v>
      </c>
      <c r="F15" s="2117">
        <f>'LaskeMonivuotinenMarja 6'!AC31+'LaskeMonivuotinenMarja 6'!AC36</f>
        <v>0</v>
      </c>
      <c r="G15" s="2117">
        <f>'LaskeMonivuotinenMarja 6'!AK35</f>
        <v>0</v>
      </c>
      <c r="H15" s="2117">
        <f t="shared" si="0"/>
        <v>0</v>
      </c>
      <c r="I15" s="2117">
        <f t="shared" si="1"/>
        <v>0</v>
      </c>
      <c r="J15" s="2116">
        <f t="shared" si="2"/>
        <v>0</v>
      </c>
      <c r="K15" s="1550">
        <f t="shared" si="3"/>
        <v>0</v>
      </c>
      <c r="L15" s="59">
        <f t="shared" si="4"/>
        <v>0</v>
      </c>
    </row>
    <row r="16" spans="1:12">
      <c r="A16" s="2126">
        <f>LaskeKasvihuoneenkasvi!D7</f>
        <v>0</v>
      </c>
      <c r="B16" s="2115">
        <f>'Rakenna TULOSENNUSTE'!B16</f>
        <v>0</v>
      </c>
      <c r="C16" s="2115">
        <f>'Rakenna TULOSENNUSTE'!C16</f>
        <v>0</v>
      </c>
      <c r="D16" t="str">
        <f>'Rakenna TULOSENNUSTE'!D16</f>
        <v>Kasvihuone (puutarhatilat) - Piilossa, aktivoi</v>
      </c>
      <c r="E16" t="str">
        <f>LaskeKasvihuoneenkasvi!K33&amp;" + "&amp;LaskeKasvihuoneenkasvi!K36</f>
        <v>Kevyt polttoöljy + Kevyt polttoöljy</v>
      </c>
      <c r="F16" s="2117">
        <f>LaskeKasvihuoneenkasvi!L37</f>
        <v>0</v>
      </c>
      <c r="G16" s="2117">
        <f>LaskeKasvihuoneenkasvi!O37</f>
        <v>0</v>
      </c>
      <c r="H16" s="2117">
        <f t="shared" si="0"/>
        <v>0</v>
      </c>
      <c r="I16" s="2117">
        <f t="shared" si="1"/>
        <v>0</v>
      </c>
      <c r="J16" s="2116">
        <f t="shared" si="2"/>
        <v>0</v>
      </c>
      <c r="K16" s="1550">
        <f t="shared" si="3"/>
        <v>0</v>
      </c>
      <c r="L16" s="59">
        <f t="shared" si="4"/>
        <v>0</v>
      </c>
    </row>
    <row r="17" spans="1:14" ht="15.75">
      <c r="A17" s="2127">
        <v>0</v>
      </c>
      <c r="D17" s="886" t="s">
        <v>1630</v>
      </c>
      <c r="E17" s="2048" t="s">
        <v>1580</v>
      </c>
      <c r="F17" s="2121">
        <f>B37</f>
        <v>0</v>
      </c>
      <c r="G17" s="2118">
        <f>VLOOKUP(E17,Lähtötiedot!$A$88:$F$93,6,FALSE)*F17</f>
        <v>0</v>
      </c>
      <c r="H17" s="2117">
        <f t="shared" si="0"/>
        <v>0</v>
      </c>
      <c r="I17" s="2117">
        <f t="shared" si="1"/>
        <v>0</v>
      </c>
      <c r="J17" s="2116">
        <f t="shared" si="2"/>
        <v>0</v>
      </c>
      <c r="K17" s="1550">
        <f t="shared" si="3"/>
        <v>0</v>
      </c>
      <c r="L17" s="59">
        <f t="shared" si="4"/>
        <v>0</v>
      </c>
    </row>
    <row r="18" spans="1:14" ht="15.75">
      <c r="A18" s="2127">
        <v>0</v>
      </c>
      <c r="D18" s="886" t="s">
        <v>1626</v>
      </c>
      <c r="E18" s="2048" t="s">
        <v>1582</v>
      </c>
      <c r="F18" s="2121">
        <v>0</v>
      </c>
      <c r="G18" s="2118">
        <f>VLOOKUP(E18,Lähtötiedot!$A$88:$F$93,6,FALSE)*F18</f>
        <v>0</v>
      </c>
      <c r="H18" s="2117">
        <f t="shared" si="0"/>
        <v>0</v>
      </c>
      <c r="I18" s="2117">
        <f t="shared" ref="I18:I19" si="5">G18*0.27</f>
        <v>0</v>
      </c>
      <c r="J18" s="2116">
        <f>IF(G18&gt;0,G18/$G$25,)</f>
        <v>0</v>
      </c>
      <c r="K18" s="1550">
        <f t="shared" ref="K18:K19" si="6">IF(A18&gt;0,I18/A18,0)</f>
        <v>0</v>
      </c>
      <c r="L18" s="59">
        <f t="shared" si="4"/>
        <v>0</v>
      </c>
    </row>
    <row r="19" spans="1:14" ht="15.75">
      <c r="A19" s="2127">
        <v>0</v>
      </c>
      <c r="D19" s="886" t="s">
        <v>1626</v>
      </c>
      <c r="E19" s="2048" t="s">
        <v>1580</v>
      </c>
      <c r="F19" s="2121">
        <v>0</v>
      </c>
      <c r="G19" s="2118">
        <f>VLOOKUP(E19,Lähtötiedot!$A$88:$F$93,6,FALSE)*F19</f>
        <v>0</v>
      </c>
      <c r="H19" s="2117">
        <f t="shared" si="0"/>
        <v>0</v>
      </c>
      <c r="I19" s="2117">
        <f t="shared" si="5"/>
        <v>0</v>
      </c>
      <c r="J19" s="2116">
        <f t="shared" si="2"/>
        <v>0</v>
      </c>
      <c r="K19" s="1550">
        <f t="shared" si="6"/>
        <v>0</v>
      </c>
      <c r="L19" s="59">
        <f t="shared" si="4"/>
        <v>0</v>
      </c>
    </row>
    <row r="20" spans="1:14" ht="15.75">
      <c r="A20" s="2123">
        <f>SUM(A5:A19)</f>
        <v>0</v>
      </c>
      <c r="B20" s="2849" t="s">
        <v>3</v>
      </c>
      <c r="C20" s="2849"/>
      <c r="D20" s="2849"/>
      <c r="E20" s="2849"/>
      <c r="F20" s="2119">
        <f>SUM(F5:F19)</f>
        <v>0</v>
      </c>
      <c r="G20" s="2119">
        <f t="shared" ref="G20:I20" si="7">SUM(G5:G19)</f>
        <v>0</v>
      </c>
      <c r="H20" s="2119">
        <f t="shared" si="7"/>
        <v>0</v>
      </c>
      <c r="I20" s="2119">
        <f t="shared" si="7"/>
        <v>0</v>
      </c>
      <c r="J20" s="2120">
        <f>SUM(J5:J19)</f>
        <v>0</v>
      </c>
    </row>
    <row r="21" spans="1:14" ht="15.75">
      <c r="A21" s="2123"/>
      <c r="B21" s="2141" t="s">
        <v>1650</v>
      </c>
      <c r="C21" s="2141" t="s">
        <v>1651</v>
      </c>
      <c r="D21" s="2122"/>
      <c r="E21" s="2122"/>
      <c r="F21" s="2119"/>
      <c r="G21" s="2119"/>
      <c r="H21" s="2119"/>
      <c r="I21" s="2119"/>
      <c r="J21" s="2120"/>
      <c r="K21" s="2" t="s">
        <v>1666</v>
      </c>
      <c r="M21" s="2144" t="s">
        <v>634</v>
      </c>
      <c r="N21" s="2144" t="s">
        <v>259</v>
      </c>
    </row>
    <row r="22" spans="1:14" ht="15.75">
      <c r="A22" s="2123"/>
      <c r="B22" s="2146">
        <v>7</v>
      </c>
      <c r="C22" s="2142">
        <v>20000</v>
      </c>
      <c r="D22" s="886" t="s">
        <v>1649</v>
      </c>
      <c r="E22" s="2048" t="s">
        <v>1582</v>
      </c>
      <c r="F22" s="2143">
        <f>C22/100*B22</f>
        <v>1400</v>
      </c>
      <c r="G22" s="2118">
        <f>VLOOKUP(E22,Lähtötiedot!$A$88:$F$93,6,FALSE)*F22</f>
        <v>3057.6000000000004</v>
      </c>
      <c r="H22" s="2117">
        <f t="shared" ref="H22:H24" si="8">G22/1000</f>
        <v>3.0576000000000003</v>
      </c>
      <c r="I22" s="2117">
        <f t="shared" ref="I22:I24" si="9">G22*0.27</f>
        <v>825.55200000000013</v>
      </c>
      <c r="J22" s="2116">
        <f>IF(G22&gt;0,G22/$G$25,)</f>
        <v>1</v>
      </c>
      <c r="K22" s="339">
        <f>IF(G22&gt;0,G22/C22,0)</f>
        <v>0.15288000000000002</v>
      </c>
      <c r="M22" s="2147">
        <v>1.45</v>
      </c>
      <c r="N22" s="1138">
        <f>M22*F22</f>
        <v>2030</v>
      </c>
    </row>
    <row r="23" spans="1:14" ht="15.75">
      <c r="A23" s="2123"/>
      <c r="B23" s="2146">
        <v>0</v>
      </c>
      <c r="C23" s="2142">
        <v>0</v>
      </c>
      <c r="D23" s="886" t="s">
        <v>1649</v>
      </c>
      <c r="E23" s="2048" t="s">
        <v>1581</v>
      </c>
      <c r="F23" s="2143">
        <f t="shared" ref="F23:F24" si="10">C23/100*B23</f>
        <v>0</v>
      </c>
      <c r="G23" s="2118">
        <f>VLOOKUP(E23,Lähtötiedot!$A$88:$F$93,6,FALSE)*F23</f>
        <v>0</v>
      </c>
      <c r="H23" s="2117">
        <f t="shared" si="8"/>
        <v>0</v>
      </c>
      <c r="I23" s="2117">
        <f t="shared" si="9"/>
        <v>0</v>
      </c>
      <c r="J23" s="2116">
        <f t="shared" ref="J23:J24" si="11">IF(G23&gt;0,G23/$G$25,)</f>
        <v>0</v>
      </c>
      <c r="K23" s="339">
        <f t="shared" ref="K23:K24" si="12">IF(G23&gt;0,G23/C23,0)</f>
        <v>0</v>
      </c>
      <c r="M23" s="2147">
        <v>1.5</v>
      </c>
      <c r="N23" s="1138">
        <f t="shared" ref="N23:N24" si="13">M23*F23</f>
        <v>0</v>
      </c>
    </row>
    <row r="24" spans="1:14" ht="15.75">
      <c r="A24" s="2123"/>
      <c r="B24" s="2146">
        <v>0</v>
      </c>
      <c r="C24" s="2142">
        <v>0</v>
      </c>
      <c r="D24" s="886" t="s">
        <v>1626</v>
      </c>
      <c r="E24" s="2048" t="s">
        <v>1580</v>
      </c>
      <c r="F24" s="2143">
        <f t="shared" si="10"/>
        <v>0</v>
      </c>
      <c r="G24" s="2118">
        <f>VLOOKUP(E24,Lähtötiedot!$A$88:$F$93,6,FALSE)*F24</f>
        <v>0</v>
      </c>
      <c r="H24" s="2117">
        <f t="shared" si="8"/>
        <v>0</v>
      </c>
      <c r="I24" s="2117">
        <f t="shared" si="9"/>
        <v>0</v>
      </c>
      <c r="J24" s="2116">
        <f t="shared" si="11"/>
        <v>0</v>
      </c>
      <c r="K24" s="339">
        <f t="shared" si="12"/>
        <v>0</v>
      </c>
      <c r="M24" s="2147">
        <v>0</v>
      </c>
      <c r="N24" s="1138">
        <f t="shared" si="13"/>
        <v>0</v>
      </c>
    </row>
    <row r="25" spans="1:14">
      <c r="F25" s="2123">
        <f>SUM(F20:F24)</f>
        <v>1400</v>
      </c>
      <c r="G25" s="2123">
        <f>SUM(G20:G24)</f>
        <v>3057.6000000000004</v>
      </c>
      <c r="H25" s="2149">
        <f>SUM(H20:H24)</f>
        <v>3.0576000000000003</v>
      </c>
      <c r="I25" s="2123">
        <f>SUM(I20:I24)</f>
        <v>825.55200000000013</v>
      </c>
      <c r="J25" s="2145">
        <f>SUM(J20)+SUM(J22:J24)</f>
        <v>1</v>
      </c>
    </row>
    <row r="27" spans="1:14">
      <c r="A27" s="3" t="s">
        <v>1631</v>
      </c>
    </row>
    <row r="28" spans="1:14" ht="15.75">
      <c r="A28" s="1"/>
      <c r="C28" t="s">
        <v>1648</v>
      </c>
    </row>
    <row r="29" spans="1:14">
      <c r="A29" t="s">
        <v>1633</v>
      </c>
      <c r="B29" s="2130">
        <f>IF(C29&gt;0,C29,SUM(Lähtötiedot!$C$10:$C$11,Lähtötiedot!$C$13:$C$14))</f>
        <v>0</v>
      </c>
      <c r="C29" s="2023">
        <v>0</v>
      </c>
      <c r="D29" s="868" t="s">
        <v>99</v>
      </c>
    </row>
    <row r="30" spans="1:14">
      <c r="A30" t="s">
        <v>1644</v>
      </c>
      <c r="B30" s="2131">
        <v>23</v>
      </c>
      <c r="C30" s="2139"/>
      <c r="D30" s="868" t="s">
        <v>159</v>
      </c>
    </row>
    <row r="31" spans="1:14">
      <c r="A31" t="s">
        <v>1645</v>
      </c>
      <c r="B31" s="2131">
        <v>14</v>
      </c>
      <c r="C31" s="2139"/>
      <c r="D31" s="868" t="s">
        <v>159</v>
      </c>
    </row>
    <row r="32" spans="1:14">
      <c r="A32" t="s">
        <v>1646</v>
      </c>
      <c r="B32" s="2130">
        <f>IF(C32&gt;0,C32,IF(LaskeKasvi1!$D$7&gt;0,LaskeKasvi1!$D$7,4000))</f>
        <v>1</v>
      </c>
      <c r="C32" s="2136">
        <v>0</v>
      </c>
      <c r="D32" s="868" t="s">
        <v>137</v>
      </c>
    </row>
    <row r="33" spans="1:6">
      <c r="A33" t="s">
        <v>1634</v>
      </c>
      <c r="B33" s="2118">
        <f>IF(C33&gt;0,C33,B32*B29)</f>
        <v>0</v>
      </c>
      <c r="C33" s="2128">
        <v>0</v>
      </c>
      <c r="D33" t="s">
        <v>137</v>
      </c>
    </row>
    <row r="34" spans="1:6">
      <c r="A34" t="s">
        <v>1647</v>
      </c>
      <c r="B34" s="2118">
        <f>(B30-B31)/(100-B30)*B33</f>
        <v>0</v>
      </c>
      <c r="C34" s="2137"/>
      <c r="D34" s="868" t="s">
        <v>137</v>
      </c>
    </row>
    <row r="35" spans="1:6">
      <c r="A35" t="s">
        <v>1635</v>
      </c>
      <c r="B35" s="2132">
        <v>0.85</v>
      </c>
      <c r="C35" s="2137"/>
      <c r="D35" s="868" t="s">
        <v>1636</v>
      </c>
    </row>
    <row r="36" spans="1:6">
      <c r="A36" t="s">
        <v>1637</v>
      </c>
      <c r="B36" s="2133">
        <v>120</v>
      </c>
      <c r="C36" s="2137"/>
      <c r="D36" s="868" t="s">
        <v>152</v>
      </c>
    </row>
    <row r="37" spans="1:6">
      <c r="A37" t="s">
        <v>1632</v>
      </c>
      <c r="B37" s="2118">
        <f>((B34*B36)/1000)*(B36/100)</f>
        <v>0</v>
      </c>
      <c r="C37" s="2140"/>
      <c r="D37" s="868" t="s">
        <v>1638</v>
      </c>
    </row>
    <row r="38" spans="1:6">
      <c r="A38" t="s">
        <v>1640</v>
      </c>
      <c r="B38" s="2134">
        <f>IF(B29&gt;0,B37/B29,0)</f>
        <v>0</v>
      </c>
      <c r="C38" s="2137"/>
      <c r="D38" s="868" t="s">
        <v>1643</v>
      </c>
    </row>
    <row r="39" spans="1:6">
      <c r="A39" t="s">
        <v>1641</v>
      </c>
      <c r="B39" s="2135">
        <f>B38/B32</f>
        <v>0</v>
      </c>
      <c r="C39" s="2138"/>
      <c r="D39" s="868" t="s">
        <v>1642</v>
      </c>
    </row>
    <row r="41" spans="1:6">
      <c r="A41" s="3" t="s">
        <v>1653</v>
      </c>
    </row>
    <row r="42" spans="1:6">
      <c r="A42" s="2150" t="s">
        <v>1662</v>
      </c>
    </row>
    <row r="43" spans="1:6">
      <c r="A43" t="s">
        <v>1654</v>
      </c>
    </row>
    <row r="44" spans="1:6">
      <c r="D44" s="25" t="s">
        <v>1655</v>
      </c>
      <c r="E44" s="1678">
        <v>0.9</v>
      </c>
      <c r="F44" t="s">
        <v>1656</v>
      </c>
    </row>
    <row r="45" spans="1:6">
      <c r="D45" s="25" t="s">
        <v>1657</v>
      </c>
      <c r="E45" s="393">
        <f>H25</f>
        <v>3.0576000000000003</v>
      </c>
      <c r="F45" t="s">
        <v>1658</v>
      </c>
    </row>
    <row r="46" spans="1:6" ht="15.75">
      <c r="D46" s="25" t="s">
        <v>1663</v>
      </c>
      <c r="E46" s="2152">
        <f>H25/E44</f>
        <v>3.3973333333333335</v>
      </c>
      <c r="F46" t="s">
        <v>1659</v>
      </c>
    </row>
    <row r="47" spans="1:6">
      <c r="D47" s="25" t="s">
        <v>1664</v>
      </c>
      <c r="E47" s="1678">
        <v>6</v>
      </c>
      <c r="F47" t="s">
        <v>1661</v>
      </c>
    </row>
    <row r="48" spans="1:6" ht="15.75">
      <c r="D48" s="25" t="s">
        <v>1660</v>
      </c>
      <c r="E48" s="2151">
        <f>E46/E47</f>
        <v>0.56622222222222229</v>
      </c>
      <c r="F48" t="s">
        <v>1667</v>
      </c>
    </row>
    <row r="66" spans="1:1">
      <c r="A66" t="s">
        <v>1665</v>
      </c>
    </row>
  </sheetData>
  <sheetProtection sheet="1" formatCells="0" formatColumns="0" formatRows="0"/>
  <mergeCells count="1">
    <mergeCell ref="B20:E20"/>
  </mergeCells>
  <pageMargins left="0.7" right="0.7" top="0.75" bottom="0.75" header="0.3" footer="0.3"/>
  <pageSetup paperSize="9" orientation="portrait" horizontalDpi="4294967293" vertic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Lähtötiedot!$A$88:$A$93</xm:f>
          </x14:formula1>
          <xm:sqref>E17:E19 E22:E24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ul27"/>
  <dimension ref="A1:O92"/>
  <sheetViews>
    <sheetView zoomScaleNormal="100" workbookViewId="0">
      <selection activeCell="K4" sqref="K4"/>
    </sheetView>
  </sheetViews>
  <sheetFormatPr defaultColWidth="11.42578125" defaultRowHeight="12.75"/>
  <cols>
    <col min="1" max="2" width="11.42578125" style="661"/>
    <col min="3" max="3" width="8.85546875" style="661" customWidth="1"/>
    <col min="4" max="4" width="13" style="661" customWidth="1"/>
    <col min="5" max="5" width="13.42578125" style="661" customWidth="1"/>
    <col min="6" max="6" width="13.28515625" style="661" customWidth="1"/>
    <col min="7" max="8" width="12.42578125" style="661" customWidth="1"/>
    <col min="9" max="10" width="11.7109375" style="661" customWidth="1"/>
    <col min="11" max="11" width="19.42578125" style="661" customWidth="1"/>
    <col min="12" max="12" width="16.42578125" style="661" customWidth="1"/>
    <col min="13" max="13" width="11.42578125" style="661"/>
    <col min="14" max="14" width="30.28515625" style="661" customWidth="1"/>
    <col min="15" max="16384" width="11.42578125" style="661"/>
  </cols>
  <sheetData>
    <row r="1" spans="1:15">
      <c r="A1" s="670" t="s">
        <v>1260</v>
      </c>
    </row>
    <row r="2" spans="1:15">
      <c r="A2" s="783" t="s">
        <v>1261</v>
      </c>
      <c r="J2" s="670" t="s">
        <v>1262</v>
      </c>
      <c r="K2" s="670" t="s">
        <v>1263</v>
      </c>
      <c r="L2" s="670" t="s">
        <v>1264</v>
      </c>
      <c r="M2" s="670" t="s">
        <v>1265</v>
      </c>
      <c r="N2" s="735" t="s">
        <v>1266</v>
      </c>
    </row>
    <row r="3" spans="1:15" ht="15.75">
      <c r="J3" s="870">
        <v>0.05</v>
      </c>
      <c r="K3" s="1461">
        <v>0</v>
      </c>
      <c r="L3" s="1169">
        <v>6</v>
      </c>
      <c r="M3" s="871">
        <v>1</v>
      </c>
      <c r="N3" s="1170">
        <v>0</v>
      </c>
    </row>
    <row r="4" spans="1:15">
      <c r="A4" s="670" t="s">
        <v>1267</v>
      </c>
      <c r="J4" s="670" t="s">
        <v>1268</v>
      </c>
      <c r="K4" s="670"/>
      <c r="L4" s="670" t="s">
        <v>1269</v>
      </c>
      <c r="N4" s="682" t="s">
        <v>1270</v>
      </c>
    </row>
    <row r="5" spans="1:15">
      <c r="E5" s="670" t="s">
        <v>1271</v>
      </c>
      <c r="F5" s="670" t="s">
        <v>1272</v>
      </c>
      <c r="G5" s="670" t="s">
        <v>1273</v>
      </c>
      <c r="I5" s="670" t="s">
        <v>1274</v>
      </c>
      <c r="J5" s="2850">
        <v>0</v>
      </c>
      <c r="K5" s="2850"/>
      <c r="L5" s="2851">
        <v>0</v>
      </c>
      <c r="M5" s="2852"/>
      <c r="N5" s="1170">
        <v>0</v>
      </c>
    </row>
    <row r="6" spans="1:15" ht="13.5" thickBot="1">
      <c r="A6" s="670" t="s">
        <v>1275</v>
      </c>
      <c r="B6" s="670"/>
      <c r="C6" s="670" t="s">
        <v>251</v>
      </c>
      <c r="D6" s="670" t="s">
        <v>1276</v>
      </c>
      <c r="E6" s="670" t="s">
        <v>1277</v>
      </c>
      <c r="F6" s="670" t="s">
        <v>1278</v>
      </c>
      <c r="G6" s="670" t="s">
        <v>1279</v>
      </c>
      <c r="H6" s="670" t="s">
        <v>1280</v>
      </c>
      <c r="I6" s="784" t="s">
        <v>1281</v>
      </c>
      <c r="K6" s="670" t="s">
        <v>1282</v>
      </c>
      <c r="L6" s="1911" t="str">
        <f>L3*M3&amp;" kpl maksueriä"</f>
        <v>6 kpl maksueriä</v>
      </c>
      <c r="N6" s="670" t="s">
        <v>1283</v>
      </c>
      <c r="O6" s="682" t="s">
        <v>1284</v>
      </c>
    </row>
    <row r="7" spans="1:15" ht="13.5" thickBot="1">
      <c r="A7" s="661">
        <v>1</v>
      </c>
      <c r="B7" s="1172">
        <f>Lähtötiedot!C4</f>
        <v>2027</v>
      </c>
      <c r="C7" s="1171">
        <f>$J$3</f>
        <v>0.05</v>
      </c>
      <c r="D7" s="785">
        <f>K3+(J5*K3)</f>
        <v>0</v>
      </c>
      <c r="E7" s="785">
        <f>IF(D7&gt;0,PMT(C7/$M$3,$L$3*$M$3,$D$7,0,0)*$M$3,0)</f>
        <v>0</v>
      </c>
      <c r="F7" s="785">
        <f>C7*D7</f>
        <v>0</v>
      </c>
      <c r="G7" s="785">
        <f>E7+F7</f>
        <v>0</v>
      </c>
      <c r="H7" s="785">
        <f t="shared" ref="H7:H46" si="0">IF(F7&gt;0,$L$5*$M$3,0)</f>
        <v>0</v>
      </c>
      <c r="I7" s="785">
        <f>IF(F7&gt;0,F7,0)</f>
        <v>0</v>
      </c>
      <c r="J7" s="785"/>
      <c r="K7" s="785">
        <f>(ABS(E7/$M$3-H7))</f>
        <v>0</v>
      </c>
      <c r="L7" s="785"/>
      <c r="N7" s="786">
        <f>IFERROR(IF(K7&lt;&gt;0,(D7+$N$5)/$N$3,0),"Lisää liikevaihto!")</f>
        <v>0</v>
      </c>
    </row>
    <row r="8" spans="1:15">
      <c r="A8" s="661">
        <v>2</v>
      </c>
      <c r="B8" s="661">
        <f t="shared" ref="B8:B46" si="1">B7+1</f>
        <v>2028</v>
      </c>
      <c r="C8" s="1168">
        <f>C7</f>
        <v>0.05</v>
      </c>
      <c r="D8" s="785">
        <f>IF(D7+G7&gt;0.5,D7+G7,0)</f>
        <v>0</v>
      </c>
      <c r="E8" s="785">
        <f>IF(D8&gt;0,PMT(C8/$M$3,$L$3*$M$3,$D$7,0,0)*$M$3,0)</f>
        <v>0</v>
      </c>
      <c r="F8" s="785">
        <f t="shared" ref="F8:F46" si="2">C8*D8</f>
        <v>0</v>
      </c>
      <c r="G8" s="785">
        <f t="shared" ref="G8:G46" si="3">E8+F8</f>
        <v>0</v>
      </c>
      <c r="H8" s="785">
        <f t="shared" si="0"/>
        <v>0</v>
      </c>
      <c r="I8" s="785">
        <f t="shared" ref="I8:I46" si="4">IF(F8&gt;0,F8+I7,0)</f>
        <v>0</v>
      </c>
      <c r="J8" s="785"/>
      <c r="K8" s="785">
        <f>(ABS(E8/$M$3-H8))</f>
        <v>0</v>
      </c>
      <c r="L8" s="785"/>
      <c r="N8" s="786">
        <f t="shared" ref="N8:N47" si="5">IFERROR(IF(K8&lt;&gt;0,(D8+$N$5)/$N$3,0),"Lisää liikevaihto!")</f>
        <v>0</v>
      </c>
    </row>
    <row r="9" spans="1:15">
      <c r="A9" s="661">
        <v>3</v>
      </c>
      <c r="B9" s="661">
        <f t="shared" si="1"/>
        <v>2029</v>
      </c>
      <c r="C9" s="1168">
        <f t="shared" ref="C9:C46" si="6">C8</f>
        <v>0.05</v>
      </c>
      <c r="D9" s="785">
        <f t="shared" ref="D9:D46" si="7">IF(D8+G8&gt;0.5,D8+G8,0)</f>
        <v>0</v>
      </c>
      <c r="E9" s="785">
        <f>IF(D9&gt;0,PMT(C9/$M$3,$L$3*$M$3,$D$7,0,0)*$M$3,0)</f>
        <v>0</v>
      </c>
      <c r="F9" s="785">
        <f t="shared" si="2"/>
        <v>0</v>
      </c>
      <c r="G9" s="785">
        <f t="shared" si="3"/>
        <v>0</v>
      </c>
      <c r="H9" s="785">
        <f t="shared" si="0"/>
        <v>0</v>
      </c>
      <c r="I9" s="785">
        <f t="shared" si="4"/>
        <v>0</v>
      </c>
      <c r="J9" s="785"/>
      <c r="K9" s="785">
        <f t="shared" ref="K9:K46" si="8">(ABS(E9/$M$3-H9))</f>
        <v>0</v>
      </c>
      <c r="L9" s="785"/>
      <c r="N9" s="786">
        <f t="shared" si="5"/>
        <v>0</v>
      </c>
    </row>
    <row r="10" spans="1:15">
      <c r="A10" s="661">
        <v>4</v>
      </c>
      <c r="B10" s="661">
        <f t="shared" si="1"/>
        <v>2030</v>
      </c>
      <c r="C10" s="1168">
        <f t="shared" si="6"/>
        <v>0.05</v>
      </c>
      <c r="D10" s="785">
        <f t="shared" si="7"/>
        <v>0</v>
      </c>
      <c r="E10" s="785">
        <f t="shared" ref="E10:E46" si="9">IF(D10&gt;0,PMT(C10/$M$3,$L$3*$M$3,$D$7,0,0)*$M$3,0)</f>
        <v>0</v>
      </c>
      <c r="F10" s="785">
        <f t="shared" si="2"/>
        <v>0</v>
      </c>
      <c r="G10" s="785">
        <f t="shared" si="3"/>
        <v>0</v>
      </c>
      <c r="H10" s="785">
        <f t="shared" si="0"/>
        <v>0</v>
      </c>
      <c r="I10" s="785">
        <f t="shared" si="4"/>
        <v>0</v>
      </c>
      <c r="J10" s="785"/>
      <c r="K10" s="785">
        <f t="shared" si="8"/>
        <v>0</v>
      </c>
      <c r="L10" s="785"/>
      <c r="N10" s="786">
        <f t="shared" si="5"/>
        <v>0</v>
      </c>
    </row>
    <row r="11" spans="1:15">
      <c r="A11" s="661">
        <v>5</v>
      </c>
      <c r="B11" s="661">
        <f t="shared" si="1"/>
        <v>2031</v>
      </c>
      <c r="C11" s="1168">
        <f t="shared" si="6"/>
        <v>0.05</v>
      </c>
      <c r="D11" s="785">
        <f t="shared" si="7"/>
        <v>0</v>
      </c>
      <c r="E11" s="785">
        <f t="shared" si="9"/>
        <v>0</v>
      </c>
      <c r="F11" s="785">
        <f t="shared" si="2"/>
        <v>0</v>
      </c>
      <c r="G11" s="785">
        <f t="shared" si="3"/>
        <v>0</v>
      </c>
      <c r="H11" s="785">
        <f t="shared" si="0"/>
        <v>0</v>
      </c>
      <c r="I11" s="785">
        <f t="shared" si="4"/>
        <v>0</v>
      </c>
      <c r="J11" s="785"/>
      <c r="K11" s="785">
        <f t="shared" si="8"/>
        <v>0</v>
      </c>
      <c r="L11" s="785"/>
      <c r="N11" s="786">
        <f t="shared" si="5"/>
        <v>0</v>
      </c>
    </row>
    <row r="12" spans="1:15">
      <c r="A12" s="661">
        <v>6</v>
      </c>
      <c r="B12" s="661">
        <f t="shared" si="1"/>
        <v>2032</v>
      </c>
      <c r="C12" s="1168">
        <f t="shared" si="6"/>
        <v>0.05</v>
      </c>
      <c r="D12" s="785">
        <f t="shared" si="7"/>
        <v>0</v>
      </c>
      <c r="E12" s="785">
        <f t="shared" si="9"/>
        <v>0</v>
      </c>
      <c r="F12" s="785">
        <f t="shared" si="2"/>
        <v>0</v>
      </c>
      <c r="G12" s="785">
        <f t="shared" si="3"/>
        <v>0</v>
      </c>
      <c r="H12" s="785">
        <f t="shared" si="0"/>
        <v>0</v>
      </c>
      <c r="I12" s="785">
        <f t="shared" si="4"/>
        <v>0</v>
      </c>
      <c r="J12" s="785"/>
      <c r="K12" s="785">
        <f t="shared" si="8"/>
        <v>0</v>
      </c>
      <c r="L12" s="785"/>
      <c r="N12" s="786">
        <f t="shared" si="5"/>
        <v>0</v>
      </c>
    </row>
    <row r="13" spans="1:15">
      <c r="A13" s="661">
        <v>7</v>
      </c>
      <c r="B13" s="661">
        <f t="shared" si="1"/>
        <v>2033</v>
      </c>
      <c r="C13" s="1168">
        <v>0.06</v>
      </c>
      <c r="D13" s="785">
        <f t="shared" si="7"/>
        <v>0</v>
      </c>
      <c r="E13" s="785">
        <f t="shared" si="9"/>
        <v>0</v>
      </c>
      <c r="F13" s="785">
        <f t="shared" si="2"/>
        <v>0</v>
      </c>
      <c r="G13" s="785">
        <f t="shared" si="3"/>
        <v>0</v>
      </c>
      <c r="H13" s="785">
        <f t="shared" si="0"/>
        <v>0</v>
      </c>
      <c r="I13" s="785">
        <f t="shared" si="4"/>
        <v>0</v>
      </c>
      <c r="J13" s="785"/>
      <c r="K13" s="785">
        <f t="shared" si="8"/>
        <v>0</v>
      </c>
      <c r="L13" s="785"/>
      <c r="N13" s="786">
        <f t="shared" si="5"/>
        <v>0</v>
      </c>
    </row>
    <row r="14" spans="1:15">
      <c r="A14" s="661">
        <v>8</v>
      </c>
      <c r="B14" s="661">
        <f t="shared" si="1"/>
        <v>2034</v>
      </c>
      <c r="C14" s="1168">
        <f t="shared" si="6"/>
        <v>0.06</v>
      </c>
      <c r="D14" s="785">
        <f t="shared" si="7"/>
        <v>0</v>
      </c>
      <c r="E14" s="785">
        <f t="shared" si="9"/>
        <v>0</v>
      </c>
      <c r="F14" s="785">
        <f t="shared" si="2"/>
        <v>0</v>
      </c>
      <c r="G14" s="785">
        <f t="shared" si="3"/>
        <v>0</v>
      </c>
      <c r="H14" s="785">
        <f t="shared" si="0"/>
        <v>0</v>
      </c>
      <c r="I14" s="785">
        <f t="shared" si="4"/>
        <v>0</v>
      </c>
      <c r="J14" s="785"/>
      <c r="K14" s="785">
        <f t="shared" si="8"/>
        <v>0</v>
      </c>
      <c r="L14" s="785"/>
      <c r="N14" s="786">
        <f t="shared" si="5"/>
        <v>0</v>
      </c>
    </row>
    <row r="15" spans="1:15">
      <c r="A15" s="661">
        <v>9</v>
      </c>
      <c r="B15" s="661">
        <f t="shared" si="1"/>
        <v>2035</v>
      </c>
      <c r="C15" s="1168">
        <f t="shared" si="6"/>
        <v>0.06</v>
      </c>
      <c r="D15" s="785">
        <f t="shared" si="7"/>
        <v>0</v>
      </c>
      <c r="E15" s="785">
        <f t="shared" si="9"/>
        <v>0</v>
      </c>
      <c r="F15" s="785">
        <f t="shared" si="2"/>
        <v>0</v>
      </c>
      <c r="G15" s="785">
        <f t="shared" si="3"/>
        <v>0</v>
      </c>
      <c r="H15" s="785">
        <f t="shared" si="0"/>
        <v>0</v>
      </c>
      <c r="I15" s="785">
        <f t="shared" si="4"/>
        <v>0</v>
      </c>
      <c r="J15" s="785"/>
      <c r="K15" s="785">
        <f t="shared" si="8"/>
        <v>0</v>
      </c>
      <c r="L15" s="785"/>
      <c r="N15" s="786">
        <f t="shared" si="5"/>
        <v>0</v>
      </c>
    </row>
    <row r="16" spans="1:15">
      <c r="A16" s="661">
        <v>10</v>
      </c>
      <c r="B16" s="661">
        <f t="shared" si="1"/>
        <v>2036</v>
      </c>
      <c r="C16" s="1168">
        <f t="shared" si="6"/>
        <v>0.06</v>
      </c>
      <c r="D16" s="785">
        <f t="shared" si="7"/>
        <v>0</v>
      </c>
      <c r="E16" s="785">
        <f t="shared" si="9"/>
        <v>0</v>
      </c>
      <c r="F16" s="785">
        <f t="shared" si="2"/>
        <v>0</v>
      </c>
      <c r="G16" s="785">
        <f t="shared" si="3"/>
        <v>0</v>
      </c>
      <c r="H16" s="785">
        <f t="shared" si="0"/>
        <v>0</v>
      </c>
      <c r="I16" s="785">
        <f t="shared" si="4"/>
        <v>0</v>
      </c>
      <c r="J16" s="785"/>
      <c r="K16" s="785">
        <f t="shared" si="8"/>
        <v>0</v>
      </c>
      <c r="L16" s="785"/>
      <c r="N16" s="786">
        <f t="shared" si="5"/>
        <v>0</v>
      </c>
    </row>
    <row r="17" spans="1:14">
      <c r="A17" s="661">
        <v>11</v>
      </c>
      <c r="B17" s="661">
        <f t="shared" si="1"/>
        <v>2037</v>
      </c>
      <c r="C17" s="1168">
        <f t="shared" si="6"/>
        <v>0.06</v>
      </c>
      <c r="D17" s="785">
        <f t="shared" si="7"/>
        <v>0</v>
      </c>
      <c r="E17" s="785">
        <f t="shared" si="9"/>
        <v>0</v>
      </c>
      <c r="F17" s="785">
        <f t="shared" si="2"/>
        <v>0</v>
      </c>
      <c r="G17" s="785">
        <f t="shared" si="3"/>
        <v>0</v>
      </c>
      <c r="H17" s="785">
        <f t="shared" si="0"/>
        <v>0</v>
      </c>
      <c r="I17" s="785">
        <f t="shared" si="4"/>
        <v>0</v>
      </c>
      <c r="J17" s="785"/>
      <c r="K17" s="785">
        <f t="shared" si="8"/>
        <v>0</v>
      </c>
      <c r="L17" s="785"/>
      <c r="N17" s="786">
        <f t="shared" si="5"/>
        <v>0</v>
      </c>
    </row>
    <row r="18" spans="1:14">
      <c r="A18" s="661">
        <v>12</v>
      </c>
      <c r="B18" s="661">
        <f t="shared" si="1"/>
        <v>2038</v>
      </c>
      <c r="C18" s="1168">
        <f t="shared" si="6"/>
        <v>0.06</v>
      </c>
      <c r="D18" s="785">
        <f t="shared" si="7"/>
        <v>0</v>
      </c>
      <c r="E18" s="785">
        <f t="shared" si="9"/>
        <v>0</v>
      </c>
      <c r="F18" s="785">
        <f t="shared" si="2"/>
        <v>0</v>
      </c>
      <c r="G18" s="785">
        <f t="shared" si="3"/>
        <v>0</v>
      </c>
      <c r="H18" s="785">
        <f t="shared" si="0"/>
        <v>0</v>
      </c>
      <c r="I18" s="785">
        <f t="shared" si="4"/>
        <v>0</v>
      </c>
      <c r="J18" s="785"/>
      <c r="K18" s="785">
        <f t="shared" si="8"/>
        <v>0</v>
      </c>
      <c r="L18" s="785"/>
      <c r="N18" s="786">
        <f t="shared" si="5"/>
        <v>0</v>
      </c>
    </row>
    <row r="19" spans="1:14">
      <c r="A19" s="661">
        <v>13</v>
      </c>
      <c r="B19" s="661">
        <f t="shared" si="1"/>
        <v>2039</v>
      </c>
      <c r="C19" s="1168">
        <f t="shared" si="6"/>
        <v>0.06</v>
      </c>
      <c r="D19" s="785">
        <f t="shared" si="7"/>
        <v>0</v>
      </c>
      <c r="E19" s="785">
        <f t="shared" si="9"/>
        <v>0</v>
      </c>
      <c r="F19" s="785">
        <f t="shared" si="2"/>
        <v>0</v>
      </c>
      <c r="G19" s="785">
        <f t="shared" si="3"/>
        <v>0</v>
      </c>
      <c r="H19" s="785">
        <f t="shared" si="0"/>
        <v>0</v>
      </c>
      <c r="I19" s="785">
        <f t="shared" si="4"/>
        <v>0</v>
      </c>
      <c r="J19" s="785"/>
      <c r="K19" s="785">
        <f t="shared" si="8"/>
        <v>0</v>
      </c>
      <c r="L19" s="785"/>
      <c r="N19" s="786">
        <f t="shared" si="5"/>
        <v>0</v>
      </c>
    </row>
    <row r="20" spans="1:14">
      <c r="A20" s="661">
        <v>14</v>
      </c>
      <c r="B20" s="661">
        <f t="shared" si="1"/>
        <v>2040</v>
      </c>
      <c r="C20" s="1168">
        <f t="shared" si="6"/>
        <v>0.06</v>
      </c>
      <c r="D20" s="785">
        <f t="shared" si="7"/>
        <v>0</v>
      </c>
      <c r="E20" s="785">
        <f t="shared" si="9"/>
        <v>0</v>
      </c>
      <c r="F20" s="785">
        <f t="shared" si="2"/>
        <v>0</v>
      </c>
      <c r="G20" s="785">
        <f t="shared" si="3"/>
        <v>0</v>
      </c>
      <c r="H20" s="785">
        <f t="shared" si="0"/>
        <v>0</v>
      </c>
      <c r="I20" s="785">
        <f t="shared" si="4"/>
        <v>0</v>
      </c>
      <c r="J20" s="785"/>
      <c r="K20" s="785">
        <f t="shared" si="8"/>
        <v>0</v>
      </c>
      <c r="L20" s="785"/>
      <c r="N20" s="786">
        <f t="shared" si="5"/>
        <v>0</v>
      </c>
    </row>
    <row r="21" spans="1:14">
      <c r="A21" s="661">
        <v>15</v>
      </c>
      <c r="B21" s="661">
        <f t="shared" si="1"/>
        <v>2041</v>
      </c>
      <c r="C21" s="1168">
        <f t="shared" si="6"/>
        <v>0.06</v>
      </c>
      <c r="D21" s="785">
        <f t="shared" si="7"/>
        <v>0</v>
      </c>
      <c r="E21" s="785">
        <f t="shared" si="9"/>
        <v>0</v>
      </c>
      <c r="F21" s="785">
        <f t="shared" si="2"/>
        <v>0</v>
      </c>
      <c r="G21" s="785">
        <f t="shared" si="3"/>
        <v>0</v>
      </c>
      <c r="H21" s="785">
        <f t="shared" si="0"/>
        <v>0</v>
      </c>
      <c r="I21" s="785">
        <f t="shared" si="4"/>
        <v>0</v>
      </c>
      <c r="J21" s="785"/>
      <c r="K21" s="785">
        <f t="shared" si="8"/>
        <v>0</v>
      </c>
      <c r="L21" s="785"/>
      <c r="N21" s="786">
        <f t="shared" si="5"/>
        <v>0</v>
      </c>
    </row>
    <row r="22" spans="1:14">
      <c r="A22" s="661">
        <v>16</v>
      </c>
      <c r="B22" s="661">
        <f t="shared" si="1"/>
        <v>2042</v>
      </c>
      <c r="C22" s="1168">
        <f t="shared" si="6"/>
        <v>0.06</v>
      </c>
      <c r="D22" s="785">
        <f t="shared" si="7"/>
        <v>0</v>
      </c>
      <c r="E22" s="785">
        <f t="shared" si="9"/>
        <v>0</v>
      </c>
      <c r="F22" s="785">
        <f t="shared" si="2"/>
        <v>0</v>
      </c>
      <c r="G22" s="785">
        <f t="shared" si="3"/>
        <v>0</v>
      </c>
      <c r="H22" s="785">
        <f t="shared" si="0"/>
        <v>0</v>
      </c>
      <c r="I22" s="785">
        <f t="shared" si="4"/>
        <v>0</v>
      </c>
      <c r="J22" s="785"/>
      <c r="K22" s="785">
        <f t="shared" si="8"/>
        <v>0</v>
      </c>
      <c r="L22" s="785"/>
      <c r="N22" s="786">
        <f t="shared" si="5"/>
        <v>0</v>
      </c>
    </row>
    <row r="23" spans="1:14">
      <c r="A23" s="661">
        <v>17</v>
      </c>
      <c r="B23" s="661">
        <f t="shared" si="1"/>
        <v>2043</v>
      </c>
      <c r="C23" s="1168">
        <f t="shared" si="6"/>
        <v>0.06</v>
      </c>
      <c r="D23" s="785">
        <f t="shared" si="7"/>
        <v>0</v>
      </c>
      <c r="E23" s="785">
        <f t="shared" si="9"/>
        <v>0</v>
      </c>
      <c r="F23" s="785">
        <f t="shared" si="2"/>
        <v>0</v>
      </c>
      <c r="G23" s="785">
        <f t="shared" si="3"/>
        <v>0</v>
      </c>
      <c r="H23" s="785">
        <f t="shared" si="0"/>
        <v>0</v>
      </c>
      <c r="I23" s="785">
        <f t="shared" si="4"/>
        <v>0</v>
      </c>
      <c r="J23" s="785"/>
      <c r="K23" s="785">
        <f t="shared" si="8"/>
        <v>0</v>
      </c>
      <c r="L23" s="785"/>
      <c r="N23" s="786">
        <f t="shared" si="5"/>
        <v>0</v>
      </c>
    </row>
    <row r="24" spans="1:14">
      <c r="A24" s="661">
        <v>18</v>
      </c>
      <c r="B24" s="661">
        <f t="shared" si="1"/>
        <v>2044</v>
      </c>
      <c r="C24" s="1168">
        <f t="shared" si="6"/>
        <v>0.06</v>
      </c>
      <c r="D24" s="785">
        <f t="shared" si="7"/>
        <v>0</v>
      </c>
      <c r="E24" s="785">
        <f t="shared" si="9"/>
        <v>0</v>
      </c>
      <c r="F24" s="785">
        <f t="shared" si="2"/>
        <v>0</v>
      </c>
      <c r="G24" s="785">
        <f t="shared" si="3"/>
        <v>0</v>
      </c>
      <c r="H24" s="785">
        <f t="shared" si="0"/>
        <v>0</v>
      </c>
      <c r="I24" s="785">
        <f t="shared" si="4"/>
        <v>0</v>
      </c>
      <c r="J24" s="785"/>
      <c r="K24" s="785">
        <f t="shared" si="8"/>
        <v>0</v>
      </c>
      <c r="L24" s="785"/>
      <c r="N24" s="786">
        <f t="shared" si="5"/>
        <v>0</v>
      </c>
    </row>
    <row r="25" spans="1:14">
      <c r="A25" s="661">
        <v>19</v>
      </c>
      <c r="B25" s="661">
        <f t="shared" si="1"/>
        <v>2045</v>
      </c>
      <c r="C25" s="1168">
        <f t="shared" si="6"/>
        <v>0.06</v>
      </c>
      <c r="D25" s="785">
        <f t="shared" si="7"/>
        <v>0</v>
      </c>
      <c r="E25" s="785">
        <f t="shared" si="9"/>
        <v>0</v>
      </c>
      <c r="F25" s="785">
        <f t="shared" si="2"/>
        <v>0</v>
      </c>
      <c r="G25" s="785">
        <f t="shared" si="3"/>
        <v>0</v>
      </c>
      <c r="H25" s="785">
        <f t="shared" si="0"/>
        <v>0</v>
      </c>
      <c r="I25" s="785">
        <f t="shared" si="4"/>
        <v>0</v>
      </c>
      <c r="J25" s="785"/>
      <c r="K25" s="785">
        <f t="shared" si="8"/>
        <v>0</v>
      </c>
      <c r="L25" s="785"/>
      <c r="N25" s="786">
        <f t="shared" si="5"/>
        <v>0</v>
      </c>
    </row>
    <row r="26" spans="1:14">
      <c r="A26" s="661">
        <v>20</v>
      </c>
      <c r="B26" s="661">
        <f t="shared" si="1"/>
        <v>2046</v>
      </c>
      <c r="C26" s="1168">
        <f t="shared" si="6"/>
        <v>0.06</v>
      </c>
      <c r="D26" s="785">
        <f t="shared" si="7"/>
        <v>0</v>
      </c>
      <c r="E26" s="785">
        <f t="shared" si="9"/>
        <v>0</v>
      </c>
      <c r="F26" s="785">
        <f t="shared" si="2"/>
        <v>0</v>
      </c>
      <c r="G26" s="785">
        <f t="shared" si="3"/>
        <v>0</v>
      </c>
      <c r="H26" s="785">
        <f t="shared" si="0"/>
        <v>0</v>
      </c>
      <c r="I26" s="785">
        <f t="shared" si="4"/>
        <v>0</v>
      </c>
      <c r="J26" s="785"/>
      <c r="K26" s="785">
        <f t="shared" si="8"/>
        <v>0</v>
      </c>
      <c r="L26" s="785"/>
      <c r="N26" s="786">
        <f t="shared" si="5"/>
        <v>0</v>
      </c>
    </row>
    <row r="27" spans="1:14">
      <c r="A27" s="661">
        <v>21</v>
      </c>
      <c r="B27" s="661">
        <f t="shared" si="1"/>
        <v>2047</v>
      </c>
      <c r="C27" s="1168">
        <f t="shared" si="6"/>
        <v>0.06</v>
      </c>
      <c r="D27" s="785">
        <f t="shared" si="7"/>
        <v>0</v>
      </c>
      <c r="E27" s="785">
        <f t="shared" si="9"/>
        <v>0</v>
      </c>
      <c r="F27" s="785">
        <f t="shared" si="2"/>
        <v>0</v>
      </c>
      <c r="G27" s="785">
        <f t="shared" si="3"/>
        <v>0</v>
      </c>
      <c r="H27" s="785">
        <f t="shared" si="0"/>
        <v>0</v>
      </c>
      <c r="I27" s="785">
        <f t="shared" si="4"/>
        <v>0</v>
      </c>
      <c r="J27" s="785"/>
      <c r="K27" s="785">
        <f t="shared" si="8"/>
        <v>0</v>
      </c>
      <c r="L27" s="785"/>
      <c r="N27" s="786">
        <f t="shared" si="5"/>
        <v>0</v>
      </c>
    </row>
    <row r="28" spans="1:14">
      <c r="A28" s="661">
        <v>22</v>
      </c>
      <c r="B28" s="661">
        <f t="shared" si="1"/>
        <v>2048</v>
      </c>
      <c r="C28" s="1168">
        <f t="shared" si="6"/>
        <v>0.06</v>
      </c>
      <c r="D28" s="785">
        <f t="shared" si="7"/>
        <v>0</v>
      </c>
      <c r="E28" s="785">
        <f t="shared" si="9"/>
        <v>0</v>
      </c>
      <c r="F28" s="785">
        <f t="shared" si="2"/>
        <v>0</v>
      </c>
      <c r="G28" s="785">
        <f t="shared" si="3"/>
        <v>0</v>
      </c>
      <c r="H28" s="785">
        <f t="shared" si="0"/>
        <v>0</v>
      </c>
      <c r="I28" s="785">
        <f t="shared" si="4"/>
        <v>0</v>
      </c>
      <c r="J28" s="785"/>
      <c r="K28" s="785">
        <f t="shared" si="8"/>
        <v>0</v>
      </c>
      <c r="L28" s="785"/>
      <c r="N28" s="786">
        <f t="shared" si="5"/>
        <v>0</v>
      </c>
    </row>
    <row r="29" spans="1:14">
      <c r="A29" s="661">
        <v>23</v>
      </c>
      <c r="B29" s="661">
        <f t="shared" si="1"/>
        <v>2049</v>
      </c>
      <c r="C29" s="1168">
        <f t="shared" si="6"/>
        <v>0.06</v>
      </c>
      <c r="D29" s="785">
        <f t="shared" si="7"/>
        <v>0</v>
      </c>
      <c r="E29" s="785">
        <f t="shared" si="9"/>
        <v>0</v>
      </c>
      <c r="F29" s="785">
        <f t="shared" si="2"/>
        <v>0</v>
      </c>
      <c r="G29" s="785">
        <f t="shared" si="3"/>
        <v>0</v>
      </c>
      <c r="H29" s="785">
        <f t="shared" si="0"/>
        <v>0</v>
      </c>
      <c r="I29" s="785">
        <f t="shared" si="4"/>
        <v>0</v>
      </c>
      <c r="J29" s="785"/>
      <c r="K29" s="785">
        <f t="shared" si="8"/>
        <v>0</v>
      </c>
      <c r="L29" s="785"/>
      <c r="N29" s="786">
        <f t="shared" si="5"/>
        <v>0</v>
      </c>
    </row>
    <row r="30" spans="1:14">
      <c r="A30" s="661">
        <v>24</v>
      </c>
      <c r="B30" s="661">
        <f t="shared" si="1"/>
        <v>2050</v>
      </c>
      <c r="C30" s="1168">
        <f t="shared" si="6"/>
        <v>0.06</v>
      </c>
      <c r="D30" s="785">
        <f t="shared" si="7"/>
        <v>0</v>
      </c>
      <c r="E30" s="785">
        <f t="shared" si="9"/>
        <v>0</v>
      </c>
      <c r="F30" s="785">
        <f t="shared" si="2"/>
        <v>0</v>
      </c>
      <c r="G30" s="785">
        <f t="shared" si="3"/>
        <v>0</v>
      </c>
      <c r="H30" s="785">
        <f t="shared" si="0"/>
        <v>0</v>
      </c>
      <c r="I30" s="785">
        <f t="shared" si="4"/>
        <v>0</v>
      </c>
      <c r="J30" s="785"/>
      <c r="K30" s="785">
        <f t="shared" si="8"/>
        <v>0</v>
      </c>
      <c r="L30" s="785"/>
      <c r="N30" s="786">
        <f t="shared" si="5"/>
        <v>0</v>
      </c>
    </row>
    <row r="31" spans="1:14">
      <c r="A31" s="661">
        <v>25</v>
      </c>
      <c r="B31" s="661">
        <f t="shared" si="1"/>
        <v>2051</v>
      </c>
      <c r="C31" s="1168">
        <f t="shared" si="6"/>
        <v>0.06</v>
      </c>
      <c r="D31" s="785">
        <f t="shared" si="7"/>
        <v>0</v>
      </c>
      <c r="E31" s="785">
        <f t="shared" si="9"/>
        <v>0</v>
      </c>
      <c r="F31" s="785">
        <f t="shared" si="2"/>
        <v>0</v>
      </c>
      <c r="G31" s="785">
        <f t="shared" si="3"/>
        <v>0</v>
      </c>
      <c r="H31" s="785">
        <f t="shared" si="0"/>
        <v>0</v>
      </c>
      <c r="I31" s="785">
        <f t="shared" si="4"/>
        <v>0</v>
      </c>
      <c r="J31" s="785"/>
      <c r="K31" s="785">
        <f t="shared" si="8"/>
        <v>0</v>
      </c>
      <c r="L31" s="785"/>
      <c r="N31" s="786">
        <f t="shared" si="5"/>
        <v>0</v>
      </c>
    </row>
    <row r="32" spans="1:14">
      <c r="A32" s="661">
        <v>26</v>
      </c>
      <c r="B32" s="661">
        <f t="shared" si="1"/>
        <v>2052</v>
      </c>
      <c r="C32" s="1168">
        <f t="shared" si="6"/>
        <v>0.06</v>
      </c>
      <c r="D32" s="785">
        <f t="shared" si="7"/>
        <v>0</v>
      </c>
      <c r="E32" s="785">
        <f t="shared" si="9"/>
        <v>0</v>
      </c>
      <c r="F32" s="785">
        <f t="shared" si="2"/>
        <v>0</v>
      </c>
      <c r="G32" s="785">
        <f t="shared" si="3"/>
        <v>0</v>
      </c>
      <c r="H32" s="785">
        <f t="shared" si="0"/>
        <v>0</v>
      </c>
      <c r="I32" s="785">
        <f t="shared" si="4"/>
        <v>0</v>
      </c>
      <c r="J32" s="785"/>
      <c r="K32" s="785">
        <f t="shared" si="8"/>
        <v>0</v>
      </c>
      <c r="L32" s="785"/>
      <c r="N32" s="786">
        <f t="shared" si="5"/>
        <v>0</v>
      </c>
    </row>
    <row r="33" spans="1:14">
      <c r="A33" s="661">
        <v>27</v>
      </c>
      <c r="B33" s="661">
        <f t="shared" si="1"/>
        <v>2053</v>
      </c>
      <c r="C33" s="1168">
        <f t="shared" si="6"/>
        <v>0.06</v>
      </c>
      <c r="D33" s="785">
        <f t="shared" si="7"/>
        <v>0</v>
      </c>
      <c r="E33" s="785">
        <f t="shared" si="9"/>
        <v>0</v>
      </c>
      <c r="F33" s="785">
        <f t="shared" si="2"/>
        <v>0</v>
      </c>
      <c r="G33" s="785">
        <f t="shared" si="3"/>
        <v>0</v>
      </c>
      <c r="H33" s="785">
        <f t="shared" si="0"/>
        <v>0</v>
      </c>
      <c r="I33" s="785">
        <f t="shared" si="4"/>
        <v>0</v>
      </c>
      <c r="J33" s="785"/>
      <c r="K33" s="785">
        <f t="shared" si="8"/>
        <v>0</v>
      </c>
      <c r="L33" s="785"/>
      <c r="N33" s="786">
        <f t="shared" si="5"/>
        <v>0</v>
      </c>
    </row>
    <row r="34" spans="1:14">
      <c r="A34" s="661">
        <v>28</v>
      </c>
      <c r="B34" s="661">
        <f t="shared" si="1"/>
        <v>2054</v>
      </c>
      <c r="C34" s="1168">
        <f t="shared" si="6"/>
        <v>0.06</v>
      </c>
      <c r="D34" s="785">
        <f t="shared" si="7"/>
        <v>0</v>
      </c>
      <c r="E34" s="785">
        <f t="shared" si="9"/>
        <v>0</v>
      </c>
      <c r="F34" s="785">
        <f t="shared" si="2"/>
        <v>0</v>
      </c>
      <c r="G34" s="785">
        <f t="shared" si="3"/>
        <v>0</v>
      </c>
      <c r="H34" s="785">
        <f t="shared" si="0"/>
        <v>0</v>
      </c>
      <c r="I34" s="785">
        <f t="shared" si="4"/>
        <v>0</v>
      </c>
      <c r="J34" s="785"/>
      <c r="K34" s="785">
        <f t="shared" si="8"/>
        <v>0</v>
      </c>
      <c r="L34" s="785"/>
      <c r="N34" s="786">
        <f t="shared" si="5"/>
        <v>0</v>
      </c>
    </row>
    <row r="35" spans="1:14">
      <c r="A35" s="661">
        <v>29</v>
      </c>
      <c r="B35" s="661">
        <f t="shared" si="1"/>
        <v>2055</v>
      </c>
      <c r="C35" s="1168">
        <f t="shared" si="6"/>
        <v>0.06</v>
      </c>
      <c r="D35" s="785">
        <f t="shared" si="7"/>
        <v>0</v>
      </c>
      <c r="E35" s="785">
        <f t="shared" si="9"/>
        <v>0</v>
      </c>
      <c r="F35" s="785">
        <f t="shared" si="2"/>
        <v>0</v>
      </c>
      <c r="G35" s="785">
        <f t="shared" si="3"/>
        <v>0</v>
      </c>
      <c r="H35" s="785">
        <f t="shared" si="0"/>
        <v>0</v>
      </c>
      <c r="I35" s="785">
        <f t="shared" si="4"/>
        <v>0</v>
      </c>
      <c r="J35" s="785"/>
      <c r="K35" s="785">
        <f t="shared" si="8"/>
        <v>0</v>
      </c>
      <c r="L35" s="785"/>
      <c r="N35" s="786">
        <f t="shared" si="5"/>
        <v>0</v>
      </c>
    </row>
    <row r="36" spans="1:14">
      <c r="A36" s="661">
        <v>30</v>
      </c>
      <c r="B36" s="661">
        <f t="shared" si="1"/>
        <v>2056</v>
      </c>
      <c r="C36" s="1168">
        <f t="shared" si="6"/>
        <v>0.06</v>
      </c>
      <c r="D36" s="785">
        <f t="shared" si="7"/>
        <v>0</v>
      </c>
      <c r="E36" s="785">
        <f t="shared" si="9"/>
        <v>0</v>
      </c>
      <c r="F36" s="785">
        <f t="shared" si="2"/>
        <v>0</v>
      </c>
      <c r="G36" s="785">
        <f t="shared" si="3"/>
        <v>0</v>
      </c>
      <c r="H36" s="785">
        <f t="shared" si="0"/>
        <v>0</v>
      </c>
      <c r="I36" s="785">
        <f t="shared" si="4"/>
        <v>0</v>
      </c>
      <c r="J36" s="785"/>
      <c r="K36" s="785">
        <f t="shared" si="8"/>
        <v>0</v>
      </c>
      <c r="L36" s="785"/>
      <c r="N36" s="786">
        <f t="shared" si="5"/>
        <v>0</v>
      </c>
    </row>
    <row r="37" spans="1:14">
      <c r="A37" s="661">
        <v>31</v>
      </c>
      <c r="B37" s="661">
        <f t="shared" si="1"/>
        <v>2057</v>
      </c>
      <c r="C37" s="1168">
        <f t="shared" si="6"/>
        <v>0.06</v>
      </c>
      <c r="D37" s="785">
        <f t="shared" si="7"/>
        <v>0</v>
      </c>
      <c r="E37" s="785">
        <f t="shared" si="9"/>
        <v>0</v>
      </c>
      <c r="F37" s="785">
        <f t="shared" si="2"/>
        <v>0</v>
      </c>
      <c r="G37" s="785">
        <f t="shared" si="3"/>
        <v>0</v>
      </c>
      <c r="H37" s="785">
        <f t="shared" si="0"/>
        <v>0</v>
      </c>
      <c r="I37" s="785">
        <f t="shared" si="4"/>
        <v>0</v>
      </c>
      <c r="J37" s="785"/>
      <c r="K37" s="785">
        <f t="shared" si="8"/>
        <v>0</v>
      </c>
      <c r="L37" s="785"/>
      <c r="N37" s="786">
        <f t="shared" si="5"/>
        <v>0</v>
      </c>
    </row>
    <row r="38" spans="1:14">
      <c r="A38" s="661">
        <v>32</v>
      </c>
      <c r="B38" s="661">
        <f t="shared" si="1"/>
        <v>2058</v>
      </c>
      <c r="C38" s="1168">
        <f t="shared" si="6"/>
        <v>0.06</v>
      </c>
      <c r="D38" s="785">
        <f t="shared" si="7"/>
        <v>0</v>
      </c>
      <c r="E38" s="785">
        <f t="shared" si="9"/>
        <v>0</v>
      </c>
      <c r="F38" s="785">
        <f t="shared" si="2"/>
        <v>0</v>
      </c>
      <c r="G38" s="785">
        <f t="shared" si="3"/>
        <v>0</v>
      </c>
      <c r="H38" s="785">
        <f t="shared" si="0"/>
        <v>0</v>
      </c>
      <c r="I38" s="785">
        <f t="shared" si="4"/>
        <v>0</v>
      </c>
      <c r="J38" s="785"/>
      <c r="K38" s="785">
        <f t="shared" si="8"/>
        <v>0</v>
      </c>
      <c r="L38" s="785"/>
      <c r="N38" s="786">
        <f t="shared" si="5"/>
        <v>0</v>
      </c>
    </row>
    <row r="39" spans="1:14">
      <c r="A39" s="661">
        <v>33</v>
      </c>
      <c r="B39" s="661">
        <f t="shared" si="1"/>
        <v>2059</v>
      </c>
      <c r="C39" s="1168">
        <f t="shared" si="6"/>
        <v>0.06</v>
      </c>
      <c r="D39" s="785">
        <f t="shared" si="7"/>
        <v>0</v>
      </c>
      <c r="E39" s="785">
        <f t="shared" si="9"/>
        <v>0</v>
      </c>
      <c r="F39" s="785">
        <f t="shared" si="2"/>
        <v>0</v>
      </c>
      <c r="G39" s="785">
        <f t="shared" si="3"/>
        <v>0</v>
      </c>
      <c r="H39" s="785">
        <f t="shared" si="0"/>
        <v>0</v>
      </c>
      <c r="I39" s="785">
        <f t="shared" si="4"/>
        <v>0</v>
      </c>
      <c r="J39" s="785"/>
      <c r="K39" s="785">
        <f t="shared" si="8"/>
        <v>0</v>
      </c>
      <c r="L39" s="785"/>
      <c r="N39" s="786">
        <f t="shared" si="5"/>
        <v>0</v>
      </c>
    </row>
    <row r="40" spans="1:14">
      <c r="A40" s="661">
        <v>34</v>
      </c>
      <c r="B40" s="661">
        <f t="shared" si="1"/>
        <v>2060</v>
      </c>
      <c r="C40" s="1168">
        <f t="shared" si="6"/>
        <v>0.06</v>
      </c>
      <c r="D40" s="785">
        <f t="shared" si="7"/>
        <v>0</v>
      </c>
      <c r="E40" s="785">
        <f t="shared" si="9"/>
        <v>0</v>
      </c>
      <c r="F40" s="785">
        <f t="shared" si="2"/>
        <v>0</v>
      </c>
      <c r="G40" s="785">
        <f t="shared" si="3"/>
        <v>0</v>
      </c>
      <c r="H40" s="785">
        <f t="shared" si="0"/>
        <v>0</v>
      </c>
      <c r="I40" s="785">
        <f t="shared" si="4"/>
        <v>0</v>
      </c>
      <c r="J40" s="785"/>
      <c r="K40" s="785">
        <f t="shared" si="8"/>
        <v>0</v>
      </c>
      <c r="L40" s="785"/>
      <c r="N40" s="786">
        <f t="shared" si="5"/>
        <v>0</v>
      </c>
    </row>
    <row r="41" spans="1:14">
      <c r="A41" s="661">
        <v>35</v>
      </c>
      <c r="B41" s="661">
        <f t="shared" si="1"/>
        <v>2061</v>
      </c>
      <c r="C41" s="1168">
        <f t="shared" si="6"/>
        <v>0.06</v>
      </c>
      <c r="D41" s="785">
        <f t="shared" si="7"/>
        <v>0</v>
      </c>
      <c r="E41" s="785">
        <f t="shared" si="9"/>
        <v>0</v>
      </c>
      <c r="F41" s="785">
        <f t="shared" si="2"/>
        <v>0</v>
      </c>
      <c r="G41" s="785">
        <f t="shared" si="3"/>
        <v>0</v>
      </c>
      <c r="H41" s="785">
        <f t="shared" si="0"/>
        <v>0</v>
      </c>
      <c r="I41" s="785">
        <f t="shared" si="4"/>
        <v>0</v>
      </c>
      <c r="J41" s="785"/>
      <c r="K41" s="785">
        <f t="shared" si="8"/>
        <v>0</v>
      </c>
      <c r="L41" s="785"/>
      <c r="N41" s="786">
        <f t="shared" si="5"/>
        <v>0</v>
      </c>
    </row>
    <row r="42" spans="1:14">
      <c r="A42" s="661">
        <v>36</v>
      </c>
      <c r="B42" s="661">
        <f t="shared" si="1"/>
        <v>2062</v>
      </c>
      <c r="C42" s="1168">
        <f t="shared" si="6"/>
        <v>0.06</v>
      </c>
      <c r="D42" s="785">
        <f t="shared" si="7"/>
        <v>0</v>
      </c>
      <c r="E42" s="785">
        <f t="shared" si="9"/>
        <v>0</v>
      </c>
      <c r="F42" s="785">
        <f t="shared" si="2"/>
        <v>0</v>
      </c>
      <c r="G42" s="785">
        <f t="shared" si="3"/>
        <v>0</v>
      </c>
      <c r="H42" s="785">
        <f t="shared" si="0"/>
        <v>0</v>
      </c>
      <c r="I42" s="785">
        <f t="shared" si="4"/>
        <v>0</v>
      </c>
      <c r="J42" s="785"/>
      <c r="K42" s="785">
        <f t="shared" si="8"/>
        <v>0</v>
      </c>
      <c r="L42" s="785"/>
      <c r="N42" s="786">
        <f t="shared" si="5"/>
        <v>0</v>
      </c>
    </row>
    <row r="43" spans="1:14">
      <c r="A43" s="661">
        <v>37</v>
      </c>
      <c r="B43" s="661">
        <f t="shared" si="1"/>
        <v>2063</v>
      </c>
      <c r="C43" s="1168">
        <f t="shared" si="6"/>
        <v>0.06</v>
      </c>
      <c r="D43" s="785">
        <f t="shared" si="7"/>
        <v>0</v>
      </c>
      <c r="E43" s="785">
        <f t="shared" si="9"/>
        <v>0</v>
      </c>
      <c r="F43" s="785">
        <f t="shared" si="2"/>
        <v>0</v>
      </c>
      <c r="G43" s="785">
        <f t="shared" si="3"/>
        <v>0</v>
      </c>
      <c r="H43" s="785">
        <f t="shared" si="0"/>
        <v>0</v>
      </c>
      <c r="I43" s="785">
        <f t="shared" si="4"/>
        <v>0</v>
      </c>
      <c r="J43" s="785"/>
      <c r="K43" s="785">
        <f t="shared" si="8"/>
        <v>0</v>
      </c>
      <c r="L43" s="785"/>
      <c r="N43" s="786">
        <f t="shared" si="5"/>
        <v>0</v>
      </c>
    </row>
    <row r="44" spans="1:14">
      <c r="A44" s="661">
        <v>38</v>
      </c>
      <c r="B44" s="661">
        <f t="shared" si="1"/>
        <v>2064</v>
      </c>
      <c r="C44" s="1168">
        <f t="shared" si="6"/>
        <v>0.06</v>
      </c>
      <c r="D44" s="785">
        <f t="shared" si="7"/>
        <v>0</v>
      </c>
      <c r="E44" s="785">
        <f t="shared" si="9"/>
        <v>0</v>
      </c>
      <c r="F44" s="785">
        <f t="shared" si="2"/>
        <v>0</v>
      </c>
      <c r="G44" s="785">
        <f t="shared" si="3"/>
        <v>0</v>
      </c>
      <c r="H44" s="785">
        <f t="shared" si="0"/>
        <v>0</v>
      </c>
      <c r="I44" s="785">
        <f t="shared" si="4"/>
        <v>0</v>
      </c>
      <c r="J44" s="785"/>
      <c r="K44" s="785">
        <f t="shared" si="8"/>
        <v>0</v>
      </c>
      <c r="L44" s="785"/>
      <c r="N44" s="786">
        <f t="shared" si="5"/>
        <v>0</v>
      </c>
    </row>
    <row r="45" spans="1:14">
      <c r="A45" s="661">
        <v>39</v>
      </c>
      <c r="B45" s="661">
        <f t="shared" si="1"/>
        <v>2065</v>
      </c>
      <c r="C45" s="1168">
        <f t="shared" si="6"/>
        <v>0.06</v>
      </c>
      <c r="D45" s="785">
        <f t="shared" si="7"/>
        <v>0</v>
      </c>
      <c r="E45" s="785">
        <f t="shared" si="9"/>
        <v>0</v>
      </c>
      <c r="F45" s="785">
        <f t="shared" si="2"/>
        <v>0</v>
      </c>
      <c r="G45" s="785">
        <f t="shared" si="3"/>
        <v>0</v>
      </c>
      <c r="H45" s="785">
        <f t="shared" si="0"/>
        <v>0</v>
      </c>
      <c r="I45" s="785">
        <f t="shared" si="4"/>
        <v>0</v>
      </c>
      <c r="J45" s="785"/>
      <c r="K45" s="785">
        <f t="shared" si="8"/>
        <v>0</v>
      </c>
      <c r="L45" s="785"/>
      <c r="N45" s="786">
        <f t="shared" si="5"/>
        <v>0</v>
      </c>
    </row>
    <row r="46" spans="1:14">
      <c r="A46" s="661">
        <v>40</v>
      </c>
      <c r="B46" s="661">
        <f t="shared" si="1"/>
        <v>2066</v>
      </c>
      <c r="C46" s="1168">
        <f t="shared" si="6"/>
        <v>0.06</v>
      </c>
      <c r="D46" s="785">
        <f t="shared" si="7"/>
        <v>0</v>
      </c>
      <c r="E46" s="785">
        <f t="shared" si="9"/>
        <v>0</v>
      </c>
      <c r="F46" s="785">
        <f t="shared" si="2"/>
        <v>0</v>
      </c>
      <c r="G46" s="785">
        <f t="shared" si="3"/>
        <v>0</v>
      </c>
      <c r="H46" s="785">
        <f t="shared" si="0"/>
        <v>0</v>
      </c>
      <c r="I46" s="785">
        <f t="shared" si="4"/>
        <v>0</v>
      </c>
      <c r="J46" s="785"/>
      <c r="K46" s="785">
        <f t="shared" si="8"/>
        <v>0</v>
      </c>
      <c r="L46" s="785"/>
      <c r="N46" s="786">
        <f t="shared" si="5"/>
        <v>0</v>
      </c>
    </row>
    <row r="47" spans="1:14">
      <c r="J47" s="785"/>
      <c r="N47" s="786">
        <f t="shared" si="5"/>
        <v>0</v>
      </c>
    </row>
    <row r="48" spans="1:14">
      <c r="E48" s="787">
        <f>ABS(SUM(E7:E47))</f>
        <v>0</v>
      </c>
      <c r="F48" s="787">
        <f>SUM(F7:F47)</f>
        <v>0</v>
      </c>
      <c r="G48" s="787">
        <f>ABS(SUM(G7:G47))</f>
        <v>0</v>
      </c>
      <c r="H48" s="787">
        <f>SUM(H7:H47)</f>
        <v>0</v>
      </c>
      <c r="I48" s="787"/>
      <c r="N48" s="683"/>
    </row>
    <row r="49" spans="1:14">
      <c r="A49" s="670" t="s">
        <v>1285</v>
      </c>
    </row>
    <row r="50" spans="1:14">
      <c r="A50" s="670" t="s">
        <v>1275</v>
      </c>
      <c r="B50" s="670"/>
      <c r="C50" s="670" t="s">
        <v>251</v>
      </c>
      <c r="D50" s="670" t="s">
        <v>1276</v>
      </c>
      <c r="E50" s="670" t="s">
        <v>1277</v>
      </c>
      <c r="F50" s="670" t="s">
        <v>1278</v>
      </c>
      <c r="G50" s="670" t="s">
        <v>1279</v>
      </c>
      <c r="H50" s="670" t="s">
        <v>1280</v>
      </c>
      <c r="I50" s="784" t="s">
        <v>1281</v>
      </c>
      <c r="K50" s="670" t="s">
        <v>1282</v>
      </c>
      <c r="L50" s="1911" t="str">
        <f>L3*M3&amp;" kpl maksueriä"</f>
        <v>6 kpl maksueriä</v>
      </c>
      <c r="N50" s="670" t="s">
        <v>1283</v>
      </c>
    </row>
    <row r="51" spans="1:14">
      <c r="A51" s="661">
        <v>1</v>
      </c>
      <c r="B51" s="673">
        <f>B7</f>
        <v>2027</v>
      </c>
      <c r="C51" s="1168">
        <f>$J$3</f>
        <v>0.05</v>
      </c>
      <c r="D51" s="785">
        <f>K3+(J5*K3)</f>
        <v>0</v>
      </c>
      <c r="E51" s="785">
        <f>IF(D51&gt;0,PMT(C51/$M$3,$L$3*$M$3,$D$7,0,0)*$M$3,0)</f>
        <v>0</v>
      </c>
      <c r="F51" s="785">
        <f>C51*D51</f>
        <v>0</v>
      </c>
      <c r="G51" s="785">
        <f>E51+F51</f>
        <v>0</v>
      </c>
      <c r="H51" s="785">
        <f t="shared" ref="H51:H90" si="10">IF(F51&gt;0,$L$5*$M$3,0)</f>
        <v>0</v>
      </c>
      <c r="I51" s="785">
        <f>IF(F51&gt;0,F51,0)</f>
        <v>0</v>
      </c>
      <c r="J51" s="785"/>
      <c r="K51" s="785">
        <f>(ABS(E51/$M$3-H51))</f>
        <v>0</v>
      </c>
      <c r="L51" s="785"/>
      <c r="N51" s="786">
        <f>IFERROR(IF(K51&lt;&gt;0,(D51+$N$5)/$N$3,0),"Lisää liikevaihto!")</f>
        <v>0</v>
      </c>
    </row>
    <row r="52" spans="1:14">
      <c r="A52" s="661">
        <v>2</v>
      </c>
      <c r="B52" s="661">
        <f t="shared" ref="B52:B90" si="11">B51+1</f>
        <v>2028</v>
      </c>
      <c r="C52" s="1168">
        <f>C51</f>
        <v>0.05</v>
      </c>
      <c r="D52" s="785">
        <f>IF(D51+G51&gt;0.5,D51+G51,0)</f>
        <v>0</v>
      </c>
      <c r="E52" s="785">
        <f t="shared" ref="E52:E90" si="12">IF(D52&gt;0,PMT(C52/$M$3,$L$3*$M$3,$D$7,0,0)*$M$3,0)</f>
        <v>0</v>
      </c>
      <c r="F52" s="785">
        <f t="shared" ref="F52:F90" si="13">C52*D52</f>
        <v>0</v>
      </c>
      <c r="G52" s="785">
        <f t="shared" ref="G52:G90" si="14">E52+F52</f>
        <v>0</v>
      </c>
      <c r="H52" s="785">
        <f t="shared" si="10"/>
        <v>0</v>
      </c>
      <c r="I52" s="785">
        <f t="shared" ref="I52:I90" si="15">IF(F52&gt;0,F52+I51,0)</f>
        <v>0</v>
      </c>
      <c r="J52" s="785"/>
      <c r="K52" s="785">
        <f>(ABS(E52/$M$3-H52))</f>
        <v>0</v>
      </c>
      <c r="L52" s="785"/>
      <c r="N52" s="786">
        <f t="shared" ref="N52:N91" si="16">IFERROR(IF(K52&lt;&gt;0,(D52+$N$5)/$N$3,0),"Lisää liikevaihto!")</f>
        <v>0</v>
      </c>
    </row>
    <row r="53" spans="1:14">
      <c r="A53" s="661">
        <v>3</v>
      </c>
      <c r="B53" s="661">
        <f t="shared" si="11"/>
        <v>2029</v>
      </c>
      <c r="C53" s="1168">
        <f t="shared" ref="C53:C90" si="17">C52</f>
        <v>0.05</v>
      </c>
      <c r="D53" s="785">
        <f t="shared" ref="D53:D90" si="18">IF(D52+G52&gt;0.5,D52+G52,0)</f>
        <v>0</v>
      </c>
      <c r="E53" s="785">
        <f t="shared" si="12"/>
        <v>0</v>
      </c>
      <c r="F53" s="785">
        <f t="shared" si="13"/>
        <v>0</v>
      </c>
      <c r="G53" s="785">
        <f t="shared" si="14"/>
        <v>0</v>
      </c>
      <c r="H53" s="785">
        <f t="shared" si="10"/>
        <v>0</v>
      </c>
      <c r="I53" s="785">
        <f t="shared" si="15"/>
        <v>0</v>
      </c>
      <c r="J53" s="785"/>
      <c r="K53" s="785">
        <f t="shared" ref="K53:K90" si="19">(ABS(E53/$M$3-H53))</f>
        <v>0</v>
      </c>
      <c r="L53" s="785"/>
      <c r="N53" s="786">
        <f t="shared" si="16"/>
        <v>0</v>
      </c>
    </row>
    <row r="54" spans="1:14">
      <c r="A54" s="661">
        <v>4</v>
      </c>
      <c r="B54" s="661">
        <f t="shared" si="11"/>
        <v>2030</v>
      </c>
      <c r="C54" s="1168">
        <f t="shared" si="17"/>
        <v>0.05</v>
      </c>
      <c r="D54" s="785">
        <f t="shared" si="18"/>
        <v>0</v>
      </c>
      <c r="E54" s="785">
        <f t="shared" si="12"/>
        <v>0</v>
      </c>
      <c r="F54" s="785">
        <f t="shared" si="13"/>
        <v>0</v>
      </c>
      <c r="G54" s="785">
        <f t="shared" si="14"/>
        <v>0</v>
      </c>
      <c r="H54" s="785">
        <f t="shared" si="10"/>
        <v>0</v>
      </c>
      <c r="I54" s="785">
        <f t="shared" si="15"/>
        <v>0</v>
      </c>
      <c r="J54" s="785"/>
      <c r="K54" s="785">
        <f t="shared" si="19"/>
        <v>0</v>
      </c>
      <c r="L54" s="785"/>
      <c r="N54" s="786">
        <f t="shared" si="16"/>
        <v>0</v>
      </c>
    </row>
    <row r="55" spans="1:14">
      <c r="A55" s="661">
        <v>5</v>
      </c>
      <c r="B55" s="661">
        <f t="shared" si="11"/>
        <v>2031</v>
      </c>
      <c r="C55" s="1168">
        <f t="shared" si="17"/>
        <v>0.05</v>
      </c>
      <c r="D55" s="785">
        <f t="shared" si="18"/>
        <v>0</v>
      </c>
      <c r="E55" s="785">
        <f t="shared" si="12"/>
        <v>0</v>
      </c>
      <c r="F55" s="785">
        <f t="shared" si="13"/>
        <v>0</v>
      </c>
      <c r="G55" s="785">
        <f t="shared" si="14"/>
        <v>0</v>
      </c>
      <c r="H55" s="785">
        <f t="shared" si="10"/>
        <v>0</v>
      </c>
      <c r="I55" s="785">
        <f t="shared" si="15"/>
        <v>0</v>
      </c>
      <c r="J55" s="785"/>
      <c r="K55" s="785">
        <f t="shared" si="19"/>
        <v>0</v>
      </c>
      <c r="L55" s="785"/>
      <c r="N55" s="786">
        <f t="shared" si="16"/>
        <v>0</v>
      </c>
    </row>
    <row r="56" spans="1:14">
      <c r="A56" s="661">
        <v>6</v>
      </c>
      <c r="B56" s="661">
        <f t="shared" si="11"/>
        <v>2032</v>
      </c>
      <c r="C56" s="1168">
        <f t="shared" si="17"/>
        <v>0.05</v>
      </c>
      <c r="D56" s="785">
        <f t="shared" si="18"/>
        <v>0</v>
      </c>
      <c r="E56" s="785">
        <f t="shared" si="12"/>
        <v>0</v>
      </c>
      <c r="F56" s="785">
        <f t="shared" si="13"/>
        <v>0</v>
      </c>
      <c r="G56" s="785">
        <f t="shared" si="14"/>
        <v>0</v>
      </c>
      <c r="H56" s="785">
        <f t="shared" si="10"/>
        <v>0</v>
      </c>
      <c r="I56" s="785">
        <f t="shared" si="15"/>
        <v>0</v>
      </c>
      <c r="J56" s="785"/>
      <c r="K56" s="785">
        <f t="shared" si="19"/>
        <v>0</v>
      </c>
      <c r="L56" s="785"/>
      <c r="N56" s="786">
        <f t="shared" si="16"/>
        <v>0</v>
      </c>
    </row>
    <row r="57" spans="1:14">
      <c r="A57" s="661">
        <v>7</v>
      </c>
      <c r="B57" s="661">
        <f t="shared" si="11"/>
        <v>2033</v>
      </c>
      <c r="C57" s="1168">
        <f t="shared" si="17"/>
        <v>0.05</v>
      </c>
      <c r="D57" s="785">
        <f t="shared" si="18"/>
        <v>0</v>
      </c>
      <c r="E57" s="785">
        <f t="shared" si="12"/>
        <v>0</v>
      </c>
      <c r="F57" s="785">
        <f t="shared" si="13"/>
        <v>0</v>
      </c>
      <c r="G57" s="785">
        <f t="shared" si="14"/>
        <v>0</v>
      </c>
      <c r="H57" s="785">
        <f t="shared" si="10"/>
        <v>0</v>
      </c>
      <c r="I57" s="785">
        <f t="shared" si="15"/>
        <v>0</v>
      </c>
      <c r="J57" s="785"/>
      <c r="K57" s="785">
        <f t="shared" si="19"/>
        <v>0</v>
      </c>
      <c r="L57" s="785"/>
      <c r="N57" s="786">
        <f t="shared" si="16"/>
        <v>0</v>
      </c>
    </row>
    <row r="58" spans="1:14">
      <c r="A58" s="661">
        <v>8</v>
      </c>
      <c r="B58" s="661">
        <f t="shared" si="11"/>
        <v>2034</v>
      </c>
      <c r="C58" s="1168">
        <f t="shared" si="17"/>
        <v>0.05</v>
      </c>
      <c r="D58" s="785">
        <f t="shared" si="18"/>
        <v>0</v>
      </c>
      <c r="E58" s="785">
        <f t="shared" si="12"/>
        <v>0</v>
      </c>
      <c r="F58" s="785">
        <f t="shared" si="13"/>
        <v>0</v>
      </c>
      <c r="G58" s="785">
        <f t="shared" si="14"/>
        <v>0</v>
      </c>
      <c r="H58" s="785">
        <f t="shared" si="10"/>
        <v>0</v>
      </c>
      <c r="I58" s="785">
        <f t="shared" si="15"/>
        <v>0</v>
      </c>
      <c r="J58" s="785"/>
      <c r="K58" s="785">
        <f t="shared" si="19"/>
        <v>0</v>
      </c>
      <c r="L58" s="785"/>
      <c r="N58" s="786">
        <f t="shared" si="16"/>
        <v>0</v>
      </c>
    </row>
    <row r="59" spans="1:14">
      <c r="A59" s="661">
        <v>9</v>
      </c>
      <c r="B59" s="661">
        <f t="shared" si="11"/>
        <v>2035</v>
      </c>
      <c r="C59" s="1168">
        <f t="shared" si="17"/>
        <v>0.05</v>
      </c>
      <c r="D59" s="785">
        <f t="shared" si="18"/>
        <v>0</v>
      </c>
      <c r="E59" s="785">
        <f t="shared" si="12"/>
        <v>0</v>
      </c>
      <c r="F59" s="785">
        <f t="shared" si="13"/>
        <v>0</v>
      </c>
      <c r="G59" s="785">
        <f t="shared" si="14"/>
        <v>0</v>
      </c>
      <c r="H59" s="785">
        <f t="shared" si="10"/>
        <v>0</v>
      </c>
      <c r="I59" s="785">
        <f t="shared" si="15"/>
        <v>0</v>
      </c>
      <c r="J59" s="785"/>
      <c r="K59" s="785">
        <f t="shared" si="19"/>
        <v>0</v>
      </c>
      <c r="L59" s="785"/>
      <c r="N59" s="786">
        <f t="shared" si="16"/>
        <v>0</v>
      </c>
    </row>
    <row r="60" spans="1:14">
      <c r="A60" s="661">
        <v>10</v>
      </c>
      <c r="B60" s="661">
        <f t="shared" si="11"/>
        <v>2036</v>
      </c>
      <c r="C60" s="1168">
        <f t="shared" si="17"/>
        <v>0.05</v>
      </c>
      <c r="D60" s="785">
        <f t="shared" si="18"/>
        <v>0</v>
      </c>
      <c r="E60" s="785">
        <f t="shared" si="12"/>
        <v>0</v>
      </c>
      <c r="F60" s="785">
        <f t="shared" si="13"/>
        <v>0</v>
      </c>
      <c r="G60" s="785">
        <f t="shared" si="14"/>
        <v>0</v>
      </c>
      <c r="H60" s="785">
        <f t="shared" si="10"/>
        <v>0</v>
      </c>
      <c r="I60" s="785">
        <f t="shared" si="15"/>
        <v>0</v>
      </c>
      <c r="J60" s="785"/>
      <c r="K60" s="785">
        <f t="shared" si="19"/>
        <v>0</v>
      </c>
      <c r="L60" s="785"/>
      <c r="N60" s="786">
        <f t="shared" si="16"/>
        <v>0</v>
      </c>
    </row>
    <row r="61" spans="1:14">
      <c r="A61" s="661">
        <v>11</v>
      </c>
      <c r="B61" s="661">
        <f t="shared" si="11"/>
        <v>2037</v>
      </c>
      <c r="C61" s="1168">
        <f t="shared" si="17"/>
        <v>0.05</v>
      </c>
      <c r="D61" s="785">
        <f t="shared" si="18"/>
        <v>0</v>
      </c>
      <c r="E61" s="785">
        <f t="shared" si="12"/>
        <v>0</v>
      </c>
      <c r="F61" s="785">
        <f t="shared" si="13"/>
        <v>0</v>
      </c>
      <c r="G61" s="785">
        <f t="shared" si="14"/>
        <v>0</v>
      </c>
      <c r="H61" s="785">
        <f t="shared" si="10"/>
        <v>0</v>
      </c>
      <c r="I61" s="785">
        <f t="shared" si="15"/>
        <v>0</v>
      </c>
      <c r="J61" s="785"/>
      <c r="K61" s="785">
        <f t="shared" si="19"/>
        <v>0</v>
      </c>
      <c r="L61" s="785"/>
      <c r="N61" s="786">
        <f t="shared" si="16"/>
        <v>0</v>
      </c>
    </row>
    <row r="62" spans="1:14">
      <c r="A62" s="661">
        <v>12</v>
      </c>
      <c r="B62" s="661">
        <f t="shared" si="11"/>
        <v>2038</v>
      </c>
      <c r="C62" s="1168">
        <f t="shared" si="17"/>
        <v>0.05</v>
      </c>
      <c r="D62" s="785">
        <f t="shared" si="18"/>
        <v>0</v>
      </c>
      <c r="E62" s="785">
        <f t="shared" si="12"/>
        <v>0</v>
      </c>
      <c r="F62" s="785">
        <f t="shared" si="13"/>
        <v>0</v>
      </c>
      <c r="G62" s="785">
        <f t="shared" si="14"/>
        <v>0</v>
      </c>
      <c r="H62" s="785">
        <f t="shared" si="10"/>
        <v>0</v>
      </c>
      <c r="I62" s="785">
        <f t="shared" si="15"/>
        <v>0</v>
      </c>
      <c r="J62" s="785"/>
      <c r="K62" s="785">
        <f t="shared" si="19"/>
        <v>0</v>
      </c>
      <c r="L62" s="785"/>
      <c r="N62" s="786">
        <f t="shared" si="16"/>
        <v>0</v>
      </c>
    </row>
    <row r="63" spans="1:14">
      <c r="A63" s="661">
        <v>13</v>
      </c>
      <c r="B63" s="661">
        <f t="shared" si="11"/>
        <v>2039</v>
      </c>
      <c r="C63" s="1168">
        <f t="shared" si="17"/>
        <v>0.05</v>
      </c>
      <c r="D63" s="785">
        <f t="shared" si="18"/>
        <v>0</v>
      </c>
      <c r="E63" s="785">
        <f t="shared" si="12"/>
        <v>0</v>
      </c>
      <c r="F63" s="785">
        <f t="shared" si="13"/>
        <v>0</v>
      </c>
      <c r="G63" s="785">
        <f t="shared" si="14"/>
        <v>0</v>
      </c>
      <c r="H63" s="785">
        <f t="shared" si="10"/>
        <v>0</v>
      </c>
      <c r="I63" s="785">
        <f t="shared" si="15"/>
        <v>0</v>
      </c>
      <c r="J63" s="785"/>
      <c r="K63" s="785">
        <f t="shared" si="19"/>
        <v>0</v>
      </c>
      <c r="L63" s="785"/>
      <c r="N63" s="786">
        <f t="shared" si="16"/>
        <v>0</v>
      </c>
    </row>
    <row r="64" spans="1:14">
      <c r="A64" s="661">
        <v>14</v>
      </c>
      <c r="B64" s="661">
        <f t="shared" si="11"/>
        <v>2040</v>
      </c>
      <c r="C64" s="1168">
        <f t="shared" si="17"/>
        <v>0.05</v>
      </c>
      <c r="D64" s="785">
        <f t="shared" si="18"/>
        <v>0</v>
      </c>
      <c r="E64" s="785">
        <f t="shared" si="12"/>
        <v>0</v>
      </c>
      <c r="F64" s="785">
        <f t="shared" si="13"/>
        <v>0</v>
      </c>
      <c r="G64" s="785">
        <f t="shared" si="14"/>
        <v>0</v>
      </c>
      <c r="H64" s="785">
        <f t="shared" si="10"/>
        <v>0</v>
      </c>
      <c r="I64" s="785">
        <f t="shared" si="15"/>
        <v>0</v>
      </c>
      <c r="J64" s="785"/>
      <c r="K64" s="785">
        <f t="shared" si="19"/>
        <v>0</v>
      </c>
      <c r="L64" s="785"/>
      <c r="N64" s="786">
        <f t="shared" si="16"/>
        <v>0</v>
      </c>
    </row>
    <row r="65" spans="1:14">
      <c r="A65" s="661">
        <v>15</v>
      </c>
      <c r="B65" s="661">
        <f t="shared" si="11"/>
        <v>2041</v>
      </c>
      <c r="C65" s="1168">
        <f t="shared" si="17"/>
        <v>0.05</v>
      </c>
      <c r="D65" s="785">
        <f t="shared" si="18"/>
        <v>0</v>
      </c>
      <c r="E65" s="785">
        <f t="shared" si="12"/>
        <v>0</v>
      </c>
      <c r="F65" s="785">
        <f t="shared" si="13"/>
        <v>0</v>
      </c>
      <c r="G65" s="785">
        <f t="shared" si="14"/>
        <v>0</v>
      </c>
      <c r="H65" s="785">
        <f t="shared" si="10"/>
        <v>0</v>
      </c>
      <c r="I65" s="785">
        <f t="shared" si="15"/>
        <v>0</v>
      </c>
      <c r="J65" s="785"/>
      <c r="K65" s="785">
        <f t="shared" si="19"/>
        <v>0</v>
      </c>
      <c r="L65" s="785"/>
      <c r="N65" s="786">
        <f t="shared" si="16"/>
        <v>0</v>
      </c>
    </row>
    <row r="66" spans="1:14">
      <c r="A66" s="661">
        <v>16</v>
      </c>
      <c r="B66" s="661">
        <f t="shared" si="11"/>
        <v>2042</v>
      </c>
      <c r="C66" s="1168">
        <f t="shared" si="17"/>
        <v>0.05</v>
      </c>
      <c r="D66" s="785">
        <f t="shared" si="18"/>
        <v>0</v>
      </c>
      <c r="E66" s="785">
        <f t="shared" si="12"/>
        <v>0</v>
      </c>
      <c r="F66" s="785">
        <f t="shared" si="13"/>
        <v>0</v>
      </c>
      <c r="G66" s="785">
        <f t="shared" si="14"/>
        <v>0</v>
      </c>
      <c r="H66" s="785">
        <f t="shared" si="10"/>
        <v>0</v>
      </c>
      <c r="I66" s="785">
        <f t="shared" si="15"/>
        <v>0</v>
      </c>
      <c r="J66" s="785"/>
      <c r="K66" s="785">
        <f t="shared" si="19"/>
        <v>0</v>
      </c>
      <c r="L66" s="785"/>
      <c r="N66" s="786">
        <f t="shared" si="16"/>
        <v>0</v>
      </c>
    </row>
    <row r="67" spans="1:14">
      <c r="A67" s="661">
        <v>17</v>
      </c>
      <c r="B67" s="661">
        <f t="shared" si="11"/>
        <v>2043</v>
      </c>
      <c r="C67" s="1168">
        <f t="shared" si="17"/>
        <v>0.05</v>
      </c>
      <c r="D67" s="785">
        <f t="shared" si="18"/>
        <v>0</v>
      </c>
      <c r="E67" s="785">
        <f t="shared" si="12"/>
        <v>0</v>
      </c>
      <c r="F67" s="785">
        <f t="shared" si="13"/>
        <v>0</v>
      </c>
      <c r="G67" s="785">
        <f t="shared" si="14"/>
        <v>0</v>
      </c>
      <c r="H67" s="785">
        <f t="shared" si="10"/>
        <v>0</v>
      </c>
      <c r="I67" s="785">
        <f t="shared" si="15"/>
        <v>0</v>
      </c>
      <c r="J67" s="785"/>
      <c r="K67" s="785">
        <f t="shared" si="19"/>
        <v>0</v>
      </c>
      <c r="L67" s="785"/>
      <c r="N67" s="786">
        <f t="shared" si="16"/>
        <v>0</v>
      </c>
    </row>
    <row r="68" spans="1:14">
      <c r="A68" s="661">
        <v>18</v>
      </c>
      <c r="B68" s="661">
        <f t="shared" si="11"/>
        <v>2044</v>
      </c>
      <c r="C68" s="1168">
        <f t="shared" si="17"/>
        <v>0.05</v>
      </c>
      <c r="D68" s="785">
        <f t="shared" si="18"/>
        <v>0</v>
      </c>
      <c r="E68" s="785">
        <f t="shared" si="12"/>
        <v>0</v>
      </c>
      <c r="F68" s="785">
        <f t="shared" si="13"/>
        <v>0</v>
      </c>
      <c r="G68" s="785">
        <f t="shared" si="14"/>
        <v>0</v>
      </c>
      <c r="H68" s="785">
        <f t="shared" si="10"/>
        <v>0</v>
      </c>
      <c r="I68" s="785">
        <f t="shared" si="15"/>
        <v>0</v>
      </c>
      <c r="J68" s="785"/>
      <c r="K68" s="785">
        <f t="shared" si="19"/>
        <v>0</v>
      </c>
      <c r="L68" s="785"/>
      <c r="N68" s="786">
        <f t="shared" si="16"/>
        <v>0</v>
      </c>
    </row>
    <row r="69" spans="1:14">
      <c r="A69" s="661">
        <v>19</v>
      </c>
      <c r="B69" s="661">
        <f t="shared" si="11"/>
        <v>2045</v>
      </c>
      <c r="C69" s="1168">
        <f t="shared" si="17"/>
        <v>0.05</v>
      </c>
      <c r="D69" s="785">
        <f t="shared" si="18"/>
        <v>0</v>
      </c>
      <c r="E69" s="785">
        <f t="shared" si="12"/>
        <v>0</v>
      </c>
      <c r="F69" s="785">
        <f t="shared" si="13"/>
        <v>0</v>
      </c>
      <c r="G69" s="785">
        <f t="shared" si="14"/>
        <v>0</v>
      </c>
      <c r="H69" s="785">
        <f t="shared" si="10"/>
        <v>0</v>
      </c>
      <c r="I69" s="785">
        <f t="shared" si="15"/>
        <v>0</v>
      </c>
      <c r="J69" s="785"/>
      <c r="K69" s="785">
        <f t="shared" si="19"/>
        <v>0</v>
      </c>
      <c r="L69" s="785"/>
      <c r="N69" s="786">
        <f t="shared" si="16"/>
        <v>0</v>
      </c>
    </row>
    <row r="70" spans="1:14">
      <c r="A70" s="661">
        <v>20</v>
      </c>
      <c r="B70" s="661">
        <f t="shared" si="11"/>
        <v>2046</v>
      </c>
      <c r="C70" s="1168">
        <f t="shared" si="17"/>
        <v>0.05</v>
      </c>
      <c r="D70" s="785">
        <f t="shared" si="18"/>
        <v>0</v>
      </c>
      <c r="E70" s="785">
        <f t="shared" si="12"/>
        <v>0</v>
      </c>
      <c r="F70" s="785">
        <f t="shared" si="13"/>
        <v>0</v>
      </c>
      <c r="G70" s="785">
        <f t="shared" si="14"/>
        <v>0</v>
      </c>
      <c r="H70" s="785">
        <f t="shared" si="10"/>
        <v>0</v>
      </c>
      <c r="I70" s="785">
        <f t="shared" si="15"/>
        <v>0</v>
      </c>
      <c r="J70" s="785"/>
      <c r="K70" s="785">
        <f t="shared" si="19"/>
        <v>0</v>
      </c>
      <c r="L70" s="785"/>
      <c r="N70" s="786">
        <f t="shared" si="16"/>
        <v>0</v>
      </c>
    </row>
    <row r="71" spans="1:14">
      <c r="A71" s="661">
        <v>21</v>
      </c>
      <c r="B71" s="661">
        <f t="shared" si="11"/>
        <v>2047</v>
      </c>
      <c r="C71" s="1168">
        <f t="shared" si="17"/>
        <v>0.05</v>
      </c>
      <c r="D71" s="785">
        <f t="shared" si="18"/>
        <v>0</v>
      </c>
      <c r="E71" s="785">
        <f t="shared" si="12"/>
        <v>0</v>
      </c>
      <c r="F71" s="785">
        <f t="shared" si="13"/>
        <v>0</v>
      </c>
      <c r="G71" s="785">
        <f t="shared" si="14"/>
        <v>0</v>
      </c>
      <c r="H71" s="785">
        <f t="shared" si="10"/>
        <v>0</v>
      </c>
      <c r="I71" s="785">
        <f t="shared" si="15"/>
        <v>0</v>
      </c>
      <c r="J71" s="785"/>
      <c r="K71" s="785">
        <f t="shared" si="19"/>
        <v>0</v>
      </c>
      <c r="L71" s="785"/>
      <c r="N71" s="786">
        <f t="shared" si="16"/>
        <v>0</v>
      </c>
    </row>
    <row r="72" spans="1:14">
      <c r="A72" s="661">
        <v>22</v>
      </c>
      <c r="B72" s="661">
        <f t="shared" si="11"/>
        <v>2048</v>
      </c>
      <c r="C72" s="1168">
        <f t="shared" si="17"/>
        <v>0.05</v>
      </c>
      <c r="D72" s="785">
        <f t="shared" si="18"/>
        <v>0</v>
      </c>
      <c r="E72" s="785">
        <f t="shared" si="12"/>
        <v>0</v>
      </c>
      <c r="F72" s="785">
        <f t="shared" si="13"/>
        <v>0</v>
      </c>
      <c r="G72" s="785">
        <f t="shared" si="14"/>
        <v>0</v>
      </c>
      <c r="H72" s="785">
        <f t="shared" si="10"/>
        <v>0</v>
      </c>
      <c r="I72" s="785">
        <f t="shared" si="15"/>
        <v>0</v>
      </c>
      <c r="J72" s="785"/>
      <c r="K72" s="785">
        <f t="shared" si="19"/>
        <v>0</v>
      </c>
      <c r="L72" s="785"/>
      <c r="N72" s="786">
        <f t="shared" si="16"/>
        <v>0</v>
      </c>
    </row>
    <row r="73" spans="1:14">
      <c r="A73" s="661">
        <v>23</v>
      </c>
      <c r="B73" s="661">
        <f t="shared" si="11"/>
        <v>2049</v>
      </c>
      <c r="C73" s="1168">
        <f t="shared" si="17"/>
        <v>0.05</v>
      </c>
      <c r="D73" s="785">
        <f t="shared" si="18"/>
        <v>0</v>
      </c>
      <c r="E73" s="785">
        <f t="shared" si="12"/>
        <v>0</v>
      </c>
      <c r="F73" s="785">
        <f t="shared" si="13"/>
        <v>0</v>
      </c>
      <c r="G73" s="785">
        <f t="shared" si="14"/>
        <v>0</v>
      </c>
      <c r="H73" s="785">
        <f t="shared" si="10"/>
        <v>0</v>
      </c>
      <c r="I73" s="785">
        <f t="shared" si="15"/>
        <v>0</v>
      </c>
      <c r="J73" s="785"/>
      <c r="K73" s="785">
        <f t="shared" si="19"/>
        <v>0</v>
      </c>
      <c r="L73" s="785"/>
      <c r="N73" s="786">
        <f t="shared" si="16"/>
        <v>0</v>
      </c>
    </row>
    <row r="74" spans="1:14">
      <c r="A74" s="661">
        <v>24</v>
      </c>
      <c r="B74" s="661">
        <f t="shared" si="11"/>
        <v>2050</v>
      </c>
      <c r="C74" s="1168">
        <f t="shared" si="17"/>
        <v>0.05</v>
      </c>
      <c r="D74" s="785">
        <f t="shared" si="18"/>
        <v>0</v>
      </c>
      <c r="E74" s="785">
        <f t="shared" si="12"/>
        <v>0</v>
      </c>
      <c r="F74" s="785">
        <f t="shared" si="13"/>
        <v>0</v>
      </c>
      <c r="G74" s="785">
        <f t="shared" si="14"/>
        <v>0</v>
      </c>
      <c r="H74" s="785">
        <f t="shared" si="10"/>
        <v>0</v>
      </c>
      <c r="I74" s="785">
        <f t="shared" si="15"/>
        <v>0</v>
      </c>
      <c r="J74" s="785"/>
      <c r="K74" s="785">
        <f t="shared" si="19"/>
        <v>0</v>
      </c>
      <c r="L74" s="785"/>
      <c r="N74" s="786">
        <f t="shared" si="16"/>
        <v>0</v>
      </c>
    </row>
    <row r="75" spans="1:14">
      <c r="A75" s="661">
        <v>25</v>
      </c>
      <c r="B75" s="661">
        <f t="shared" si="11"/>
        <v>2051</v>
      </c>
      <c r="C75" s="1168">
        <f t="shared" si="17"/>
        <v>0.05</v>
      </c>
      <c r="D75" s="785">
        <f t="shared" si="18"/>
        <v>0</v>
      </c>
      <c r="E75" s="785">
        <f t="shared" si="12"/>
        <v>0</v>
      </c>
      <c r="F75" s="785">
        <f t="shared" si="13"/>
        <v>0</v>
      </c>
      <c r="G75" s="785">
        <f t="shared" si="14"/>
        <v>0</v>
      </c>
      <c r="H75" s="785">
        <f t="shared" si="10"/>
        <v>0</v>
      </c>
      <c r="I75" s="785">
        <f t="shared" si="15"/>
        <v>0</v>
      </c>
      <c r="J75" s="785"/>
      <c r="K75" s="785">
        <f t="shared" si="19"/>
        <v>0</v>
      </c>
      <c r="L75" s="785"/>
      <c r="N75" s="786">
        <f t="shared" si="16"/>
        <v>0</v>
      </c>
    </row>
    <row r="76" spans="1:14">
      <c r="A76" s="661">
        <v>26</v>
      </c>
      <c r="B76" s="661">
        <f t="shared" si="11"/>
        <v>2052</v>
      </c>
      <c r="C76" s="1168">
        <f t="shared" si="17"/>
        <v>0.05</v>
      </c>
      <c r="D76" s="785">
        <f t="shared" si="18"/>
        <v>0</v>
      </c>
      <c r="E76" s="785">
        <f t="shared" si="12"/>
        <v>0</v>
      </c>
      <c r="F76" s="785">
        <f t="shared" si="13"/>
        <v>0</v>
      </c>
      <c r="G76" s="785">
        <f t="shared" si="14"/>
        <v>0</v>
      </c>
      <c r="H76" s="785">
        <f t="shared" si="10"/>
        <v>0</v>
      </c>
      <c r="I76" s="785">
        <f t="shared" si="15"/>
        <v>0</v>
      </c>
      <c r="J76" s="785"/>
      <c r="K76" s="785">
        <f t="shared" si="19"/>
        <v>0</v>
      </c>
      <c r="L76" s="785"/>
      <c r="N76" s="786">
        <f t="shared" si="16"/>
        <v>0</v>
      </c>
    </row>
    <row r="77" spans="1:14">
      <c r="A77" s="661">
        <v>27</v>
      </c>
      <c r="B77" s="661">
        <f t="shared" si="11"/>
        <v>2053</v>
      </c>
      <c r="C77" s="1168">
        <f t="shared" si="17"/>
        <v>0.05</v>
      </c>
      <c r="D77" s="785">
        <f t="shared" si="18"/>
        <v>0</v>
      </c>
      <c r="E77" s="785">
        <f t="shared" si="12"/>
        <v>0</v>
      </c>
      <c r="F77" s="785">
        <f t="shared" si="13"/>
        <v>0</v>
      </c>
      <c r="G77" s="785">
        <f t="shared" si="14"/>
        <v>0</v>
      </c>
      <c r="H77" s="785">
        <f t="shared" si="10"/>
        <v>0</v>
      </c>
      <c r="I77" s="785">
        <f t="shared" si="15"/>
        <v>0</v>
      </c>
      <c r="J77" s="785"/>
      <c r="K77" s="785">
        <f t="shared" si="19"/>
        <v>0</v>
      </c>
      <c r="L77" s="785"/>
      <c r="N77" s="786">
        <f t="shared" si="16"/>
        <v>0</v>
      </c>
    </row>
    <row r="78" spans="1:14">
      <c r="A78" s="661">
        <v>28</v>
      </c>
      <c r="B78" s="661">
        <f t="shared" si="11"/>
        <v>2054</v>
      </c>
      <c r="C78" s="1168">
        <f t="shared" si="17"/>
        <v>0.05</v>
      </c>
      <c r="D78" s="785">
        <f t="shared" si="18"/>
        <v>0</v>
      </c>
      <c r="E78" s="785">
        <f t="shared" si="12"/>
        <v>0</v>
      </c>
      <c r="F78" s="785">
        <f t="shared" si="13"/>
        <v>0</v>
      </c>
      <c r="G78" s="785">
        <f t="shared" si="14"/>
        <v>0</v>
      </c>
      <c r="H78" s="785">
        <f t="shared" si="10"/>
        <v>0</v>
      </c>
      <c r="I78" s="785">
        <f t="shared" si="15"/>
        <v>0</v>
      </c>
      <c r="J78" s="785"/>
      <c r="K78" s="785">
        <f t="shared" si="19"/>
        <v>0</v>
      </c>
      <c r="L78" s="785"/>
      <c r="N78" s="786">
        <f t="shared" si="16"/>
        <v>0</v>
      </c>
    </row>
    <row r="79" spans="1:14">
      <c r="A79" s="661">
        <v>29</v>
      </c>
      <c r="B79" s="661">
        <f t="shared" si="11"/>
        <v>2055</v>
      </c>
      <c r="C79" s="1168">
        <f t="shared" si="17"/>
        <v>0.05</v>
      </c>
      <c r="D79" s="785">
        <f t="shared" si="18"/>
        <v>0</v>
      </c>
      <c r="E79" s="785">
        <f t="shared" si="12"/>
        <v>0</v>
      </c>
      <c r="F79" s="785">
        <f t="shared" si="13"/>
        <v>0</v>
      </c>
      <c r="G79" s="785">
        <f t="shared" si="14"/>
        <v>0</v>
      </c>
      <c r="H79" s="785">
        <f t="shared" si="10"/>
        <v>0</v>
      </c>
      <c r="I79" s="785">
        <f t="shared" si="15"/>
        <v>0</v>
      </c>
      <c r="J79" s="785"/>
      <c r="K79" s="785">
        <f t="shared" si="19"/>
        <v>0</v>
      </c>
      <c r="L79" s="785"/>
      <c r="N79" s="786">
        <f t="shared" si="16"/>
        <v>0</v>
      </c>
    </row>
    <row r="80" spans="1:14">
      <c r="A80" s="661">
        <v>30</v>
      </c>
      <c r="B80" s="661">
        <f t="shared" si="11"/>
        <v>2056</v>
      </c>
      <c r="C80" s="1168">
        <f t="shared" si="17"/>
        <v>0.05</v>
      </c>
      <c r="D80" s="785">
        <f t="shared" si="18"/>
        <v>0</v>
      </c>
      <c r="E80" s="785">
        <f t="shared" si="12"/>
        <v>0</v>
      </c>
      <c r="F80" s="785">
        <f t="shared" si="13"/>
        <v>0</v>
      </c>
      <c r="G80" s="785">
        <f t="shared" si="14"/>
        <v>0</v>
      </c>
      <c r="H80" s="785">
        <f t="shared" si="10"/>
        <v>0</v>
      </c>
      <c r="I80" s="785">
        <f t="shared" si="15"/>
        <v>0</v>
      </c>
      <c r="J80" s="785"/>
      <c r="K80" s="785">
        <f t="shared" si="19"/>
        <v>0</v>
      </c>
      <c r="L80" s="785"/>
      <c r="N80" s="786">
        <f t="shared" si="16"/>
        <v>0</v>
      </c>
    </row>
    <row r="81" spans="1:14">
      <c r="A81" s="661">
        <v>31</v>
      </c>
      <c r="B81" s="661">
        <f t="shared" si="11"/>
        <v>2057</v>
      </c>
      <c r="C81" s="1168">
        <f t="shared" si="17"/>
        <v>0.05</v>
      </c>
      <c r="D81" s="785">
        <f t="shared" si="18"/>
        <v>0</v>
      </c>
      <c r="E81" s="785">
        <f t="shared" si="12"/>
        <v>0</v>
      </c>
      <c r="F81" s="785">
        <f t="shared" si="13"/>
        <v>0</v>
      </c>
      <c r="G81" s="785">
        <f t="shared" si="14"/>
        <v>0</v>
      </c>
      <c r="H81" s="785">
        <f t="shared" si="10"/>
        <v>0</v>
      </c>
      <c r="I81" s="785">
        <f t="shared" si="15"/>
        <v>0</v>
      </c>
      <c r="J81" s="785"/>
      <c r="K81" s="785">
        <f t="shared" si="19"/>
        <v>0</v>
      </c>
      <c r="L81" s="785"/>
      <c r="N81" s="786">
        <f t="shared" si="16"/>
        <v>0</v>
      </c>
    </row>
    <row r="82" spans="1:14">
      <c r="A82" s="661">
        <v>32</v>
      </c>
      <c r="B82" s="661">
        <f t="shared" si="11"/>
        <v>2058</v>
      </c>
      <c r="C82" s="1168">
        <f t="shared" si="17"/>
        <v>0.05</v>
      </c>
      <c r="D82" s="785">
        <f t="shared" si="18"/>
        <v>0</v>
      </c>
      <c r="E82" s="785">
        <f t="shared" si="12"/>
        <v>0</v>
      </c>
      <c r="F82" s="785">
        <f t="shared" si="13"/>
        <v>0</v>
      </c>
      <c r="G82" s="785">
        <f t="shared" si="14"/>
        <v>0</v>
      </c>
      <c r="H82" s="785">
        <f t="shared" si="10"/>
        <v>0</v>
      </c>
      <c r="I82" s="785">
        <f t="shared" si="15"/>
        <v>0</v>
      </c>
      <c r="J82" s="785"/>
      <c r="K82" s="785">
        <f t="shared" si="19"/>
        <v>0</v>
      </c>
      <c r="L82" s="785"/>
      <c r="N82" s="786">
        <f t="shared" si="16"/>
        <v>0</v>
      </c>
    </row>
    <row r="83" spans="1:14">
      <c r="A83" s="661">
        <v>33</v>
      </c>
      <c r="B83" s="661">
        <f t="shared" si="11"/>
        <v>2059</v>
      </c>
      <c r="C83" s="1168">
        <f t="shared" si="17"/>
        <v>0.05</v>
      </c>
      <c r="D83" s="785">
        <f t="shared" si="18"/>
        <v>0</v>
      </c>
      <c r="E83" s="785">
        <f t="shared" si="12"/>
        <v>0</v>
      </c>
      <c r="F83" s="785">
        <f t="shared" si="13"/>
        <v>0</v>
      </c>
      <c r="G83" s="785">
        <f t="shared" si="14"/>
        <v>0</v>
      </c>
      <c r="H83" s="785">
        <f t="shared" si="10"/>
        <v>0</v>
      </c>
      <c r="I83" s="785">
        <f t="shared" si="15"/>
        <v>0</v>
      </c>
      <c r="J83" s="785"/>
      <c r="K83" s="785">
        <f t="shared" si="19"/>
        <v>0</v>
      </c>
      <c r="L83" s="785"/>
      <c r="N83" s="786">
        <f t="shared" si="16"/>
        <v>0</v>
      </c>
    </row>
    <row r="84" spans="1:14">
      <c r="A84" s="661">
        <v>34</v>
      </c>
      <c r="B84" s="661">
        <f t="shared" si="11"/>
        <v>2060</v>
      </c>
      <c r="C84" s="1168">
        <f t="shared" si="17"/>
        <v>0.05</v>
      </c>
      <c r="D84" s="785">
        <f t="shared" si="18"/>
        <v>0</v>
      </c>
      <c r="E84" s="785">
        <f t="shared" si="12"/>
        <v>0</v>
      </c>
      <c r="F84" s="785">
        <f t="shared" si="13"/>
        <v>0</v>
      </c>
      <c r="G84" s="785">
        <f t="shared" si="14"/>
        <v>0</v>
      </c>
      <c r="H84" s="785">
        <f t="shared" si="10"/>
        <v>0</v>
      </c>
      <c r="I84" s="785">
        <f t="shared" si="15"/>
        <v>0</v>
      </c>
      <c r="J84" s="785"/>
      <c r="K84" s="785">
        <f t="shared" si="19"/>
        <v>0</v>
      </c>
      <c r="L84" s="785"/>
      <c r="N84" s="786">
        <f t="shared" si="16"/>
        <v>0</v>
      </c>
    </row>
    <row r="85" spans="1:14">
      <c r="A85" s="661">
        <v>35</v>
      </c>
      <c r="B85" s="661">
        <f t="shared" si="11"/>
        <v>2061</v>
      </c>
      <c r="C85" s="1168">
        <f t="shared" si="17"/>
        <v>0.05</v>
      </c>
      <c r="D85" s="785">
        <f t="shared" si="18"/>
        <v>0</v>
      </c>
      <c r="E85" s="785">
        <f t="shared" si="12"/>
        <v>0</v>
      </c>
      <c r="F85" s="785">
        <f t="shared" si="13"/>
        <v>0</v>
      </c>
      <c r="G85" s="785">
        <f t="shared" si="14"/>
        <v>0</v>
      </c>
      <c r="H85" s="785">
        <f t="shared" si="10"/>
        <v>0</v>
      </c>
      <c r="I85" s="785">
        <f t="shared" si="15"/>
        <v>0</v>
      </c>
      <c r="J85" s="785"/>
      <c r="K85" s="785">
        <f t="shared" si="19"/>
        <v>0</v>
      </c>
      <c r="L85" s="785"/>
      <c r="N85" s="786">
        <f t="shared" si="16"/>
        <v>0</v>
      </c>
    </row>
    <row r="86" spans="1:14">
      <c r="A86" s="661">
        <v>36</v>
      </c>
      <c r="B86" s="661">
        <f t="shared" si="11"/>
        <v>2062</v>
      </c>
      <c r="C86" s="1168">
        <f t="shared" si="17"/>
        <v>0.05</v>
      </c>
      <c r="D86" s="785">
        <f t="shared" si="18"/>
        <v>0</v>
      </c>
      <c r="E86" s="785">
        <f t="shared" si="12"/>
        <v>0</v>
      </c>
      <c r="F86" s="785">
        <f t="shared" si="13"/>
        <v>0</v>
      </c>
      <c r="G86" s="785">
        <f t="shared" si="14"/>
        <v>0</v>
      </c>
      <c r="H86" s="785">
        <f t="shared" si="10"/>
        <v>0</v>
      </c>
      <c r="I86" s="785">
        <f t="shared" si="15"/>
        <v>0</v>
      </c>
      <c r="J86" s="785"/>
      <c r="K86" s="785">
        <f t="shared" si="19"/>
        <v>0</v>
      </c>
      <c r="L86" s="785"/>
      <c r="N86" s="786">
        <f t="shared" si="16"/>
        <v>0</v>
      </c>
    </row>
    <row r="87" spans="1:14">
      <c r="A87" s="661">
        <v>37</v>
      </c>
      <c r="B87" s="661">
        <f t="shared" si="11"/>
        <v>2063</v>
      </c>
      <c r="C87" s="1168">
        <f t="shared" si="17"/>
        <v>0.05</v>
      </c>
      <c r="D87" s="785">
        <f t="shared" si="18"/>
        <v>0</v>
      </c>
      <c r="E87" s="785">
        <f t="shared" si="12"/>
        <v>0</v>
      </c>
      <c r="F87" s="785">
        <f t="shared" si="13"/>
        <v>0</v>
      </c>
      <c r="G87" s="785">
        <f t="shared" si="14"/>
        <v>0</v>
      </c>
      <c r="H87" s="785">
        <f t="shared" si="10"/>
        <v>0</v>
      </c>
      <c r="I87" s="785">
        <f t="shared" si="15"/>
        <v>0</v>
      </c>
      <c r="J87" s="785"/>
      <c r="K87" s="785">
        <f t="shared" si="19"/>
        <v>0</v>
      </c>
      <c r="L87" s="785"/>
      <c r="N87" s="786">
        <f t="shared" si="16"/>
        <v>0</v>
      </c>
    </row>
    <row r="88" spans="1:14">
      <c r="A88" s="661">
        <v>38</v>
      </c>
      <c r="B88" s="661">
        <f t="shared" si="11"/>
        <v>2064</v>
      </c>
      <c r="C88" s="1168">
        <f t="shared" si="17"/>
        <v>0.05</v>
      </c>
      <c r="D88" s="785">
        <f t="shared" si="18"/>
        <v>0</v>
      </c>
      <c r="E88" s="785">
        <f t="shared" si="12"/>
        <v>0</v>
      </c>
      <c r="F88" s="785">
        <f t="shared" si="13"/>
        <v>0</v>
      </c>
      <c r="G88" s="785">
        <f t="shared" si="14"/>
        <v>0</v>
      </c>
      <c r="H88" s="785">
        <f t="shared" si="10"/>
        <v>0</v>
      </c>
      <c r="I88" s="785">
        <f t="shared" si="15"/>
        <v>0</v>
      </c>
      <c r="J88" s="785"/>
      <c r="K88" s="785">
        <f t="shared" si="19"/>
        <v>0</v>
      </c>
      <c r="L88" s="785"/>
      <c r="N88" s="786">
        <f t="shared" si="16"/>
        <v>0</v>
      </c>
    </row>
    <row r="89" spans="1:14">
      <c r="A89" s="661">
        <v>39</v>
      </c>
      <c r="B89" s="661">
        <f t="shared" si="11"/>
        <v>2065</v>
      </c>
      <c r="C89" s="1168">
        <f t="shared" si="17"/>
        <v>0.05</v>
      </c>
      <c r="D89" s="785">
        <f t="shared" si="18"/>
        <v>0</v>
      </c>
      <c r="E89" s="785">
        <f t="shared" si="12"/>
        <v>0</v>
      </c>
      <c r="F89" s="785">
        <f t="shared" si="13"/>
        <v>0</v>
      </c>
      <c r="G89" s="785">
        <f t="shared" si="14"/>
        <v>0</v>
      </c>
      <c r="H89" s="785">
        <f t="shared" si="10"/>
        <v>0</v>
      </c>
      <c r="I89" s="785">
        <f t="shared" si="15"/>
        <v>0</v>
      </c>
      <c r="J89" s="785"/>
      <c r="K89" s="785">
        <f t="shared" si="19"/>
        <v>0</v>
      </c>
      <c r="L89" s="785"/>
      <c r="N89" s="786">
        <f t="shared" si="16"/>
        <v>0</v>
      </c>
    </row>
    <row r="90" spans="1:14">
      <c r="A90" s="661">
        <v>40</v>
      </c>
      <c r="B90" s="661">
        <f t="shared" si="11"/>
        <v>2066</v>
      </c>
      <c r="C90" s="1168">
        <f t="shared" si="17"/>
        <v>0.05</v>
      </c>
      <c r="D90" s="785">
        <f t="shared" si="18"/>
        <v>0</v>
      </c>
      <c r="E90" s="785">
        <f t="shared" si="12"/>
        <v>0</v>
      </c>
      <c r="F90" s="785">
        <f t="shared" si="13"/>
        <v>0</v>
      </c>
      <c r="G90" s="785">
        <f t="shared" si="14"/>
        <v>0</v>
      </c>
      <c r="H90" s="785">
        <f t="shared" si="10"/>
        <v>0</v>
      </c>
      <c r="I90" s="785">
        <f t="shared" si="15"/>
        <v>0</v>
      </c>
      <c r="J90" s="785"/>
      <c r="K90" s="785">
        <f t="shared" si="19"/>
        <v>0</v>
      </c>
      <c r="L90" s="785"/>
      <c r="N90" s="786">
        <f t="shared" si="16"/>
        <v>0</v>
      </c>
    </row>
    <row r="91" spans="1:14">
      <c r="J91" s="785"/>
      <c r="N91" s="786">
        <f t="shared" si="16"/>
        <v>0</v>
      </c>
    </row>
    <row r="92" spans="1:14">
      <c r="E92" s="787">
        <f>ABS(SUM(E51:E91))</f>
        <v>0</v>
      </c>
      <c r="F92" s="787">
        <f>SUM(F51:F91)</f>
        <v>0</v>
      </c>
      <c r="G92" s="787">
        <f>ABS(SUM(G51:G91))</f>
        <v>0</v>
      </c>
      <c r="H92" s="787">
        <f>SUM(H51:H91)</f>
        <v>0</v>
      </c>
      <c r="I92" s="787"/>
      <c r="N92" s="683"/>
    </row>
  </sheetData>
  <sheetProtection sheet="1" formatCells="0" formatColumns="0" formatRows="0"/>
  <mergeCells count="2">
    <mergeCell ref="J5:K5"/>
    <mergeCell ref="L5:M5"/>
  </mergeCells>
  <pageMargins left="0.75" right="0.75" top="1" bottom="1" header="0.51180555555555551" footer="0.51180555555555551"/>
  <pageSetup paperSize="9" scale="60" firstPageNumber="0" orientation="landscape" horizontalDpi="300" verticalDpi="300" r:id="rId1"/>
  <headerFooter alignWithMargins="0"/>
  <rowBreaks count="1" manualBreakCount="1">
    <brk id="49" max="14"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E520-76CC-4E11-8D4E-B0B5556D00BE}">
  <dimension ref="A1:R84"/>
  <sheetViews>
    <sheetView zoomScale="80" zoomScaleNormal="80" workbookViewId="0">
      <selection activeCell="N19" sqref="N19"/>
    </sheetView>
  </sheetViews>
  <sheetFormatPr defaultColWidth="9.140625" defaultRowHeight="12.75"/>
  <cols>
    <col min="1" max="1" width="3.5703125" style="2430" customWidth="1"/>
    <col min="2" max="2" width="8" style="2430" hidden="1" customWidth="1"/>
    <col min="3" max="3" width="26.140625" style="2430" customWidth="1"/>
    <col min="4" max="5" width="9.140625" style="2430"/>
    <col min="6" max="6" width="15" style="2430" customWidth="1"/>
    <col min="7" max="7" width="5.5703125" style="2430" customWidth="1"/>
    <col min="8" max="8" width="9" style="2430" customWidth="1"/>
    <col min="9" max="9" width="14.85546875" style="2430" customWidth="1"/>
    <col min="10" max="10" width="13.85546875" style="2430" bestFit="1" customWidth="1"/>
    <col min="11" max="11" width="14.140625" style="2430" customWidth="1"/>
    <col min="12" max="12" width="15.28515625" style="2430" customWidth="1"/>
    <col min="13" max="13" width="11.85546875" style="2430" customWidth="1"/>
    <col min="14" max="14" width="46" style="2430" customWidth="1"/>
    <col min="15" max="15" width="12.5703125" style="2430" customWidth="1"/>
    <col min="16" max="16" width="18.42578125" style="2430" customWidth="1"/>
    <col min="17" max="17" width="15.85546875" style="2430" customWidth="1"/>
    <col min="18" max="18" width="9.140625" style="2430"/>
    <col min="19" max="19" width="5.42578125" style="2430" customWidth="1"/>
    <col min="20" max="20" width="12.140625" style="2430" customWidth="1"/>
    <col min="21" max="21" width="16" style="2430" customWidth="1"/>
    <col min="22" max="16384" width="9.140625" style="2430"/>
  </cols>
  <sheetData>
    <row r="1" spans="1:18" ht="20.25">
      <c r="A1" s="2429" t="s">
        <v>1917</v>
      </c>
      <c r="B1" s="2429"/>
      <c r="P1" s="2430" t="s">
        <v>112</v>
      </c>
      <c r="Q1" s="2431">
        <v>2.1</v>
      </c>
    </row>
    <row r="2" spans="1:18" ht="14.25">
      <c r="A2" s="2432" t="s">
        <v>1918</v>
      </c>
      <c r="B2" s="2432"/>
      <c r="E2" s="2854" t="s">
        <v>1919</v>
      </c>
      <c r="F2" s="2855"/>
      <c r="G2" s="2855"/>
      <c r="H2" s="2855"/>
      <c r="I2" s="2856"/>
      <c r="P2" s="2430" t="s">
        <v>181</v>
      </c>
    </row>
    <row r="3" spans="1:18" ht="48" customHeight="1" thickBot="1">
      <c r="A3" s="2433" t="s">
        <v>1920</v>
      </c>
      <c r="B3" s="2434" t="s">
        <v>1921</v>
      </c>
      <c r="C3" s="2857" t="s">
        <v>1922</v>
      </c>
      <c r="D3" s="2857"/>
      <c r="E3" s="2857"/>
      <c r="F3" s="2857"/>
      <c r="G3" s="2857"/>
      <c r="H3" s="2857"/>
      <c r="I3" s="2857"/>
      <c r="J3" s="2857"/>
      <c r="K3" s="2857"/>
    </row>
    <row r="4" spans="1:18" ht="29.25" customHeight="1">
      <c r="A4" s="2435"/>
      <c r="B4" s="2436" t="s">
        <v>410</v>
      </c>
      <c r="C4" s="2437" t="s">
        <v>1923</v>
      </c>
      <c r="D4" s="2438" t="s">
        <v>147</v>
      </c>
      <c r="E4" s="2438" t="s">
        <v>146</v>
      </c>
      <c r="F4" s="2439" t="s">
        <v>171</v>
      </c>
      <c r="G4" s="2440" t="s">
        <v>1924</v>
      </c>
      <c r="H4" s="2441" t="s">
        <v>1925</v>
      </c>
      <c r="I4" s="2439" t="s">
        <v>1286</v>
      </c>
      <c r="J4" s="2442" t="s">
        <v>893</v>
      </c>
      <c r="K4" s="2442" t="s">
        <v>42</v>
      </c>
      <c r="L4" s="2442" t="s">
        <v>1287</v>
      </c>
      <c r="M4" s="2443" t="s">
        <v>159</v>
      </c>
      <c r="N4" s="2444" t="s">
        <v>1288</v>
      </c>
      <c r="O4" s="2438"/>
      <c r="P4" s="2438"/>
      <c r="Q4" s="2445" t="s">
        <v>744</v>
      </c>
    </row>
    <row r="5" spans="1:18" ht="13.5" thickBot="1">
      <c r="A5" s="2446">
        <v>1</v>
      </c>
      <c r="B5" s="2447" t="s">
        <v>410</v>
      </c>
      <c r="C5" s="2448" t="s">
        <v>1926</v>
      </c>
      <c r="D5" s="2449">
        <v>1</v>
      </c>
      <c r="E5" s="2450" t="s">
        <v>15</v>
      </c>
      <c r="F5" s="2451">
        <v>1</v>
      </c>
      <c r="G5" s="2452">
        <v>1</v>
      </c>
      <c r="H5" s="1663">
        <v>0</v>
      </c>
      <c r="I5" s="2453">
        <f>IF(A5="",G5*D5*F5/(100%-H5),G5*D5*F5/(100%-H5)/A5)</f>
        <v>1</v>
      </c>
      <c r="J5" s="2454">
        <v>0.24</v>
      </c>
      <c r="K5" s="2455">
        <f t="shared" ref="K5:K32" si="0">IF(I5&gt;0,I5*J5,0)</f>
        <v>0.24</v>
      </c>
      <c r="L5" s="2455">
        <f t="shared" ref="L5:L32" si="1">I5+K5</f>
        <v>1.24</v>
      </c>
      <c r="M5" s="2456">
        <f t="shared" ref="M5:M44" si="2">L5/$L$62</f>
        <v>2.7777777777777776E-2</v>
      </c>
      <c r="N5" s="2457" t="s">
        <v>1927</v>
      </c>
      <c r="P5" s="2458">
        <f>I45</f>
        <v>1</v>
      </c>
      <c r="Q5" s="2459">
        <f>P5/$P$19</f>
        <v>1</v>
      </c>
    </row>
    <row r="6" spans="1:18" ht="13.5" thickBot="1">
      <c r="A6" s="2446">
        <v>1</v>
      </c>
      <c r="B6" s="2447" t="s">
        <v>410</v>
      </c>
      <c r="C6" s="2448" t="s">
        <v>1926</v>
      </c>
      <c r="D6" s="2449">
        <v>0</v>
      </c>
      <c r="E6" s="2450" t="s">
        <v>15</v>
      </c>
      <c r="F6" s="2451">
        <v>0</v>
      </c>
      <c r="G6" s="2452">
        <v>1</v>
      </c>
      <c r="H6" s="1663">
        <v>0</v>
      </c>
      <c r="I6" s="2453">
        <f t="shared" ref="I6:I44" si="3">IF(A6="",G6*D6*F6/(100%-H6),G6*D6*F6/(100%-H6)/A6)</f>
        <v>0</v>
      </c>
      <c r="J6" s="2460">
        <f t="shared" ref="J6:J44" si="4">IF(D6&gt;0,J5,J5)</f>
        <v>0.24</v>
      </c>
      <c r="K6" s="2455">
        <f t="shared" si="0"/>
        <v>0</v>
      </c>
      <c r="L6" s="2455">
        <f t="shared" si="1"/>
        <v>0</v>
      </c>
      <c r="M6" s="2456">
        <f t="shared" si="2"/>
        <v>0</v>
      </c>
      <c r="N6" s="2461" t="s">
        <v>1928</v>
      </c>
      <c r="P6" s="1666">
        <v>0</v>
      </c>
      <c r="Q6" s="2462"/>
      <c r="R6" s="2463"/>
    </row>
    <row r="7" spans="1:18" ht="14.25">
      <c r="A7" s="2446">
        <v>1</v>
      </c>
      <c r="B7" s="2447" t="s">
        <v>410</v>
      </c>
      <c r="C7" s="2448" t="s">
        <v>1929</v>
      </c>
      <c r="D7" s="2449">
        <v>0</v>
      </c>
      <c r="E7" s="2450" t="s">
        <v>773</v>
      </c>
      <c r="F7" s="2451">
        <v>0</v>
      </c>
      <c r="G7" s="2452">
        <v>1</v>
      </c>
      <c r="H7" s="1663">
        <v>0</v>
      </c>
      <c r="I7" s="2453">
        <f t="shared" si="3"/>
        <v>0</v>
      </c>
      <c r="J7" s="2460">
        <f t="shared" si="4"/>
        <v>0.24</v>
      </c>
      <c r="K7" s="2455">
        <f t="shared" si="0"/>
        <v>0</v>
      </c>
      <c r="L7" s="2455">
        <f t="shared" si="1"/>
        <v>0</v>
      </c>
      <c r="M7" s="2456">
        <f t="shared" si="2"/>
        <v>0</v>
      </c>
      <c r="N7" s="2464" t="s">
        <v>1930</v>
      </c>
      <c r="P7" s="2465">
        <f>P5*(100%/(100%-P6))</f>
        <v>1</v>
      </c>
      <c r="Q7" s="2466">
        <f>P7/$P$19</f>
        <v>1</v>
      </c>
    </row>
    <row r="8" spans="1:18" ht="13.5" thickBot="1">
      <c r="A8" s="2446">
        <v>1</v>
      </c>
      <c r="B8" s="2447" t="s">
        <v>410</v>
      </c>
      <c r="C8" s="2448" t="s">
        <v>1931</v>
      </c>
      <c r="D8" s="2449">
        <v>0</v>
      </c>
      <c r="E8" s="2450" t="s">
        <v>773</v>
      </c>
      <c r="F8" s="2451">
        <v>0</v>
      </c>
      <c r="G8" s="2452">
        <v>1</v>
      </c>
      <c r="H8" s="1663">
        <v>0</v>
      </c>
      <c r="I8" s="2453">
        <f t="shared" si="3"/>
        <v>0</v>
      </c>
      <c r="J8" s="2460">
        <f t="shared" si="4"/>
        <v>0.24</v>
      </c>
      <c r="K8" s="2455">
        <f t="shared" si="0"/>
        <v>0</v>
      </c>
      <c r="L8" s="2455">
        <f t="shared" si="1"/>
        <v>0</v>
      </c>
      <c r="M8" s="2456">
        <f t="shared" si="2"/>
        <v>0</v>
      </c>
      <c r="N8" s="2457" t="s">
        <v>1932</v>
      </c>
      <c r="P8" s="2467">
        <f>I60</f>
        <v>35</v>
      </c>
      <c r="Q8" s="2459">
        <f>P8/$P$19</f>
        <v>35</v>
      </c>
    </row>
    <row r="9" spans="1:18" ht="13.5" thickBot="1">
      <c r="A9" s="2446">
        <v>1</v>
      </c>
      <c r="B9" s="2447" t="s">
        <v>410</v>
      </c>
      <c r="C9" s="2448" t="s">
        <v>1933</v>
      </c>
      <c r="D9" s="2449">
        <v>0</v>
      </c>
      <c r="E9" s="2450" t="s">
        <v>773</v>
      </c>
      <c r="F9" s="2451">
        <v>0</v>
      </c>
      <c r="G9" s="2452">
        <v>1</v>
      </c>
      <c r="H9" s="1663">
        <v>0</v>
      </c>
      <c r="I9" s="2453">
        <f t="shared" si="3"/>
        <v>0</v>
      </c>
      <c r="J9" s="2460">
        <f t="shared" si="4"/>
        <v>0.24</v>
      </c>
      <c r="K9" s="2455">
        <f t="shared" si="0"/>
        <v>0</v>
      </c>
      <c r="L9" s="2455">
        <f t="shared" si="1"/>
        <v>0</v>
      </c>
      <c r="M9" s="2456">
        <f t="shared" si="2"/>
        <v>0</v>
      </c>
      <c r="N9" s="2468" t="s">
        <v>1934</v>
      </c>
      <c r="P9" s="1666">
        <v>0</v>
      </c>
      <c r="Q9" s="2462"/>
    </row>
    <row r="10" spans="1:18" ht="14.25">
      <c r="A10" s="2446">
        <v>1</v>
      </c>
      <c r="B10" s="2447" t="s">
        <v>410</v>
      </c>
      <c r="C10" s="2448" t="s">
        <v>1935</v>
      </c>
      <c r="D10" s="2449">
        <v>0</v>
      </c>
      <c r="E10" s="2450" t="s">
        <v>773</v>
      </c>
      <c r="F10" s="2451">
        <v>0</v>
      </c>
      <c r="G10" s="2452">
        <v>1</v>
      </c>
      <c r="H10" s="1663">
        <v>0</v>
      </c>
      <c r="I10" s="2453">
        <f t="shared" si="3"/>
        <v>0</v>
      </c>
      <c r="J10" s="2460">
        <f t="shared" si="4"/>
        <v>0.24</v>
      </c>
      <c r="K10" s="2455">
        <f t="shared" si="0"/>
        <v>0</v>
      </c>
      <c r="L10" s="2455">
        <f t="shared" si="1"/>
        <v>0</v>
      </c>
      <c r="M10" s="2456">
        <f t="shared" si="2"/>
        <v>0</v>
      </c>
      <c r="N10" s="2469" t="s">
        <v>1936</v>
      </c>
      <c r="P10" s="2465">
        <f>I60*(100%/(100%-P9))</f>
        <v>35</v>
      </c>
      <c r="Q10" s="2466">
        <f>P10/$P$19</f>
        <v>35</v>
      </c>
    </row>
    <row r="11" spans="1:18" ht="18">
      <c r="A11" s="2446">
        <v>1</v>
      </c>
      <c r="B11" s="2447" t="s">
        <v>410</v>
      </c>
      <c r="C11" s="2448" t="s">
        <v>1937</v>
      </c>
      <c r="D11" s="2449">
        <v>0</v>
      </c>
      <c r="E11" s="2450" t="s">
        <v>773</v>
      </c>
      <c r="F11" s="2451">
        <v>0</v>
      </c>
      <c r="G11" s="2452">
        <v>0</v>
      </c>
      <c r="H11" s="1663">
        <v>0</v>
      </c>
      <c r="I11" s="2453">
        <f t="shared" si="3"/>
        <v>0</v>
      </c>
      <c r="J11" s="2460">
        <f t="shared" ref="J11" si="5">IF(D11&gt;0,J6,J6)</f>
        <v>0.24</v>
      </c>
      <c r="K11" s="2455">
        <f t="shared" si="0"/>
        <v>0</v>
      </c>
      <c r="L11" s="2455">
        <f t="shared" si="1"/>
        <v>0</v>
      </c>
      <c r="M11" s="2456">
        <f t="shared" si="2"/>
        <v>0</v>
      </c>
      <c r="N11" s="2470" t="s">
        <v>1938</v>
      </c>
      <c r="P11" s="2471">
        <f>P7+P10</f>
        <v>36</v>
      </c>
      <c r="Q11" s="2466">
        <f>P11/$P$19</f>
        <v>36</v>
      </c>
    </row>
    <row r="12" spans="1:18">
      <c r="A12" s="2446">
        <v>1</v>
      </c>
      <c r="B12" s="2447" t="s">
        <v>410</v>
      </c>
      <c r="C12" s="2448" t="s">
        <v>1289</v>
      </c>
      <c r="D12" s="2449">
        <v>0</v>
      </c>
      <c r="E12" s="2450" t="s">
        <v>150</v>
      </c>
      <c r="F12" s="2451">
        <v>0</v>
      </c>
      <c r="G12" s="2452">
        <v>1</v>
      </c>
      <c r="H12" s="1663">
        <f t="shared" ref="H12:H44" si="6">IF(D12&gt;0,H11,0)</f>
        <v>0</v>
      </c>
      <c r="I12" s="2453">
        <f t="shared" si="3"/>
        <v>0</v>
      </c>
      <c r="J12" s="2460">
        <f>IF(D12&gt;0,J7,J7)</f>
        <v>0.24</v>
      </c>
      <c r="K12" s="2455">
        <f t="shared" si="0"/>
        <v>0</v>
      </c>
      <c r="L12" s="2455">
        <f t="shared" si="1"/>
        <v>0</v>
      </c>
      <c r="M12" s="2456">
        <f t="shared" si="2"/>
        <v>0</v>
      </c>
      <c r="N12" s="2468" t="s">
        <v>1293</v>
      </c>
      <c r="O12" s="2472">
        <v>2</v>
      </c>
      <c r="P12" s="2473"/>
      <c r="Q12" s="2462"/>
    </row>
    <row r="13" spans="1:18" ht="13.5" thickBot="1">
      <c r="A13" s="2446">
        <v>1</v>
      </c>
      <c r="B13" s="2447" t="s">
        <v>410</v>
      </c>
      <c r="C13" s="2448" t="s">
        <v>1290</v>
      </c>
      <c r="D13" s="2449">
        <v>0</v>
      </c>
      <c r="E13" s="2450" t="s">
        <v>150</v>
      </c>
      <c r="F13" s="2451">
        <v>0</v>
      </c>
      <c r="G13" s="2452">
        <v>1</v>
      </c>
      <c r="H13" s="1663">
        <f t="shared" si="6"/>
        <v>0</v>
      </c>
      <c r="I13" s="2453">
        <f t="shared" si="3"/>
        <v>0</v>
      </c>
      <c r="J13" s="2460">
        <f t="shared" si="4"/>
        <v>0.24</v>
      </c>
      <c r="K13" s="2455">
        <f t="shared" si="0"/>
        <v>0</v>
      </c>
      <c r="L13" s="2455">
        <f t="shared" si="1"/>
        <v>0</v>
      </c>
      <c r="M13" s="2456">
        <f t="shared" si="2"/>
        <v>0</v>
      </c>
      <c r="N13" s="2474" t="s">
        <v>1295</v>
      </c>
      <c r="O13" s="1668">
        <v>0.24</v>
      </c>
      <c r="P13" s="2475">
        <f>IF(O12&lt;&gt;2,0,P11*O13)</f>
        <v>8.64</v>
      </c>
      <c r="Q13" s="2462"/>
    </row>
    <row r="14" spans="1:18" ht="13.5" thickBot="1">
      <c r="A14" s="2446">
        <v>1</v>
      </c>
      <c r="B14" s="2447" t="s">
        <v>410</v>
      </c>
      <c r="C14" s="2448" t="s">
        <v>1291</v>
      </c>
      <c r="D14" s="2449">
        <v>0</v>
      </c>
      <c r="E14" s="2450" t="s">
        <v>150</v>
      </c>
      <c r="F14" s="2451">
        <v>0</v>
      </c>
      <c r="G14" s="2452">
        <v>1</v>
      </c>
      <c r="H14" s="1663">
        <f t="shared" si="6"/>
        <v>0</v>
      </c>
      <c r="I14" s="2453">
        <f t="shared" si="3"/>
        <v>0</v>
      </c>
      <c r="J14" s="2460">
        <f t="shared" si="4"/>
        <v>0.24</v>
      </c>
      <c r="K14" s="2455">
        <f t="shared" si="0"/>
        <v>0</v>
      </c>
      <c r="L14" s="2455">
        <f t="shared" si="1"/>
        <v>0</v>
      </c>
      <c r="M14" s="2456">
        <f t="shared" si="2"/>
        <v>0</v>
      </c>
      <c r="N14" s="2476" t="s">
        <v>42</v>
      </c>
      <c r="O14" s="1669">
        <f>J64</f>
        <v>0.24</v>
      </c>
      <c r="P14" s="2477">
        <f>IF($O$12=2,0,SUMIF($J$64:$J$71,O14,$M$64:$M$71))</f>
        <v>0</v>
      </c>
      <c r="Q14" s="2858">
        <f>SUM(P14:P17)</f>
        <v>0</v>
      </c>
      <c r="R14" s="2861">
        <f>IF(P18&gt;0,Q14/P18,0)</f>
        <v>0</v>
      </c>
    </row>
    <row r="15" spans="1:18" ht="13.5" thickBot="1">
      <c r="A15" s="2446">
        <v>1</v>
      </c>
      <c r="B15" s="2447" t="s">
        <v>410</v>
      </c>
      <c r="C15" s="2448" t="s">
        <v>1292</v>
      </c>
      <c r="D15" s="2449">
        <v>0</v>
      </c>
      <c r="E15" s="2450" t="s">
        <v>150</v>
      </c>
      <c r="F15" s="2451">
        <v>0</v>
      </c>
      <c r="G15" s="2452">
        <v>1</v>
      </c>
      <c r="H15" s="1663">
        <f t="shared" si="6"/>
        <v>0</v>
      </c>
      <c r="I15" s="2453">
        <f t="shared" si="3"/>
        <v>0</v>
      </c>
      <c r="J15" s="2460">
        <f t="shared" si="4"/>
        <v>0.24</v>
      </c>
      <c r="K15" s="2455">
        <f t="shared" si="0"/>
        <v>0</v>
      </c>
      <c r="L15" s="2455">
        <f t="shared" si="1"/>
        <v>0</v>
      </c>
      <c r="M15" s="2456">
        <f t="shared" si="2"/>
        <v>0</v>
      </c>
      <c r="N15" s="2468" t="s">
        <v>42</v>
      </c>
      <c r="O15" s="1669">
        <f t="shared" ref="O15:O17" si="7">J65</f>
        <v>0.14000000000000001</v>
      </c>
      <c r="P15" s="2477">
        <f t="shared" ref="P15:P16" si="8">IF($O$12=2,0,SUMIF($J$64:$J$71,O15,$M$64:$M$71))</f>
        <v>0</v>
      </c>
      <c r="Q15" s="2859"/>
      <c r="R15" s="2862"/>
    </row>
    <row r="16" spans="1:18" ht="13.5" thickBot="1">
      <c r="A16" s="2446">
        <v>1</v>
      </c>
      <c r="B16" s="2447" t="s">
        <v>410</v>
      </c>
      <c r="C16" s="2448" t="s">
        <v>1294</v>
      </c>
      <c r="D16" s="2449">
        <v>0</v>
      </c>
      <c r="E16" s="2450" t="s">
        <v>150</v>
      </c>
      <c r="F16" s="2451">
        <v>0</v>
      </c>
      <c r="G16" s="2452">
        <v>1</v>
      </c>
      <c r="H16" s="1663">
        <f t="shared" si="6"/>
        <v>0</v>
      </c>
      <c r="I16" s="2453">
        <f t="shared" si="3"/>
        <v>0</v>
      </c>
      <c r="J16" s="2460">
        <f t="shared" si="4"/>
        <v>0.24</v>
      </c>
      <c r="K16" s="2455">
        <f t="shared" si="0"/>
        <v>0</v>
      </c>
      <c r="L16" s="2455">
        <f t="shared" si="1"/>
        <v>0</v>
      </c>
      <c r="M16" s="2456">
        <f t="shared" si="2"/>
        <v>0</v>
      </c>
      <c r="N16" s="2468" t="s">
        <v>42</v>
      </c>
      <c r="O16" s="1669">
        <f t="shared" si="7"/>
        <v>0.1</v>
      </c>
      <c r="P16" s="2477">
        <f t="shared" si="8"/>
        <v>0</v>
      </c>
      <c r="Q16" s="2859"/>
      <c r="R16" s="2862"/>
    </row>
    <row r="17" spans="1:18" ht="13.5" thickBot="1">
      <c r="A17" s="2446">
        <v>1</v>
      </c>
      <c r="B17" s="2447" t="s">
        <v>410</v>
      </c>
      <c r="C17" s="2448" t="s">
        <v>1296</v>
      </c>
      <c r="D17" s="2449">
        <v>0</v>
      </c>
      <c r="E17" s="2450" t="s">
        <v>150</v>
      </c>
      <c r="F17" s="2451">
        <v>0</v>
      </c>
      <c r="G17" s="2452">
        <v>1</v>
      </c>
      <c r="H17" s="1663">
        <f t="shared" si="6"/>
        <v>0</v>
      </c>
      <c r="I17" s="2453">
        <f t="shared" si="3"/>
        <v>0</v>
      </c>
      <c r="J17" s="2460">
        <f t="shared" si="4"/>
        <v>0.24</v>
      </c>
      <c r="K17" s="2455">
        <f t="shared" si="0"/>
        <v>0</v>
      </c>
      <c r="L17" s="2455">
        <f t="shared" si="1"/>
        <v>0</v>
      </c>
      <c r="M17" s="2456">
        <f t="shared" si="2"/>
        <v>0</v>
      </c>
      <c r="N17" s="2478" t="s">
        <v>42</v>
      </c>
      <c r="O17" s="2479">
        <f t="shared" si="7"/>
        <v>0</v>
      </c>
      <c r="P17" s="2477">
        <f>IF($O$12=2,0,SUMIF($J$64:$J$71,O17,$M$64:$M$71))</f>
        <v>0</v>
      </c>
      <c r="Q17" s="2860"/>
      <c r="R17" s="2863"/>
    </row>
    <row r="18" spans="1:18" ht="15.75">
      <c r="A18" s="2446">
        <v>1</v>
      </c>
      <c r="B18" s="2447" t="s">
        <v>410</v>
      </c>
      <c r="C18" s="2448" t="s">
        <v>1297</v>
      </c>
      <c r="D18" s="2449">
        <v>0</v>
      </c>
      <c r="E18" s="2450" t="s">
        <v>150</v>
      </c>
      <c r="F18" s="2451">
        <v>0</v>
      </c>
      <c r="G18" s="2452">
        <v>1</v>
      </c>
      <c r="H18" s="1663">
        <f t="shared" si="6"/>
        <v>0</v>
      </c>
      <c r="I18" s="2453">
        <f t="shared" si="3"/>
        <v>0</v>
      </c>
      <c r="J18" s="2460">
        <f t="shared" si="4"/>
        <v>0.24</v>
      </c>
      <c r="K18" s="2455">
        <f t="shared" si="0"/>
        <v>0</v>
      </c>
      <c r="L18" s="2455">
        <f t="shared" si="1"/>
        <v>0</v>
      </c>
      <c r="M18" s="2456">
        <f t="shared" si="2"/>
        <v>0</v>
      </c>
      <c r="N18" s="2470" t="s">
        <v>1301</v>
      </c>
      <c r="P18" s="2480">
        <f>SUM(P11:P17)</f>
        <v>44.64</v>
      </c>
      <c r="Q18" s="2462"/>
    </row>
    <row r="19" spans="1:18" ht="20.25">
      <c r="A19" s="2446">
        <v>1</v>
      </c>
      <c r="B19" s="2447" t="s">
        <v>410</v>
      </c>
      <c r="C19" s="2448" t="s">
        <v>1298</v>
      </c>
      <c r="D19" s="2449">
        <v>0</v>
      </c>
      <c r="E19" s="2450" t="s">
        <v>150</v>
      </c>
      <c r="F19" s="2451">
        <v>0</v>
      </c>
      <c r="G19" s="2452">
        <v>1</v>
      </c>
      <c r="H19" s="1663">
        <f t="shared" si="6"/>
        <v>0</v>
      </c>
      <c r="I19" s="2453">
        <f t="shared" si="3"/>
        <v>0</v>
      </c>
      <c r="J19" s="2460">
        <f t="shared" si="4"/>
        <v>0.24</v>
      </c>
      <c r="K19" s="2455">
        <f t="shared" si="0"/>
        <v>0</v>
      </c>
      <c r="L19" s="2455">
        <f t="shared" si="1"/>
        <v>0</v>
      </c>
      <c r="M19" s="2456">
        <f t="shared" si="2"/>
        <v>0</v>
      </c>
      <c r="N19" s="2481" t="s">
        <v>1939</v>
      </c>
      <c r="P19" s="2482">
        <v>1</v>
      </c>
      <c r="Q19" s="2462"/>
    </row>
    <row r="20" spans="1:18" ht="18.75" thickBot="1">
      <c r="A20" s="2446">
        <v>1</v>
      </c>
      <c r="B20" s="2447" t="s">
        <v>410</v>
      </c>
      <c r="C20" s="2448" t="s">
        <v>1299</v>
      </c>
      <c r="D20" s="2449">
        <v>0</v>
      </c>
      <c r="E20" s="2450" t="s">
        <v>150</v>
      </c>
      <c r="F20" s="2451">
        <v>0</v>
      </c>
      <c r="G20" s="2452">
        <v>1</v>
      </c>
      <c r="H20" s="1663">
        <f t="shared" si="6"/>
        <v>0</v>
      </c>
      <c r="I20" s="2453">
        <f t="shared" si="3"/>
        <v>0</v>
      </c>
      <c r="J20" s="2460">
        <f t="shared" si="4"/>
        <v>0.24</v>
      </c>
      <c r="K20" s="2455">
        <f t="shared" si="0"/>
        <v>0</v>
      </c>
      <c r="L20" s="2455">
        <f t="shared" si="1"/>
        <v>0</v>
      </c>
      <c r="M20" s="2456">
        <f t="shared" si="2"/>
        <v>0</v>
      </c>
      <c r="N20" s="2478" t="s">
        <v>1304</v>
      </c>
      <c r="O20" s="2483"/>
      <c r="P20" s="2484">
        <f>IF(P11&gt;0,P11/P19,0)</f>
        <v>36</v>
      </c>
      <c r="Q20" s="2485">
        <f>ROUND(P20,$P22)</f>
        <v>36</v>
      </c>
    </row>
    <row r="21" spans="1:18" ht="18">
      <c r="A21" s="2446">
        <v>1</v>
      </c>
      <c r="B21" s="2447" t="s">
        <v>410</v>
      </c>
      <c r="C21" s="2448" t="s">
        <v>1300</v>
      </c>
      <c r="D21" s="2449">
        <v>0</v>
      </c>
      <c r="E21" s="2450" t="s">
        <v>150</v>
      </c>
      <c r="F21" s="2451">
        <v>0</v>
      </c>
      <c r="G21" s="2452">
        <v>1</v>
      </c>
      <c r="H21" s="1663">
        <f t="shared" si="6"/>
        <v>0</v>
      </c>
      <c r="I21" s="2453">
        <f t="shared" si="3"/>
        <v>0</v>
      </c>
      <c r="J21" s="2460">
        <f t="shared" si="4"/>
        <v>0.24</v>
      </c>
      <c r="K21" s="2455">
        <f t="shared" si="0"/>
        <v>0</v>
      </c>
      <c r="L21" s="2455">
        <f t="shared" si="1"/>
        <v>0</v>
      </c>
      <c r="M21" s="2456">
        <f t="shared" si="2"/>
        <v>0</v>
      </c>
      <c r="N21" s="2468" t="s">
        <v>1306</v>
      </c>
      <c r="P21" s="2486">
        <f>P18/(1+Q15)/P19</f>
        <v>44.64</v>
      </c>
      <c r="Q21" s="2487">
        <f>ROUND(P21,P22)</f>
        <v>45</v>
      </c>
    </row>
    <row r="22" spans="1:18" ht="13.5" thickBot="1">
      <c r="A22" s="2446">
        <v>1</v>
      </c>
      <c r="B22" s="2447" t="s">
        <v>410</v>
      </c>
      <c r="C22" s="2448" t="s">
        <v>1302</v>
      </c>
      <c r="D22" s="2449">
        <v>0</v>
      </c>
      <c r="E22" s="2450" t="s">
        <v>150</v>
      </c>
      <c r="F22" s="2451">
        <v>0</v>
      </c>
      <c r="G22" s="2452">
        <v>1</v>
      </c>
      <c r="H22" s="1663">
        <f t="shared" si="6"/>
        <v>0</v>
      </c>
      <c r="I22" s="2453">
        <f t="shared" si="3"/>
        <v>0</v>
      </c>
      <c r="J22" s="2460">
        <f t="shared" si="4"/>
        <v>0.24</v>
      </c>
      <c r="K22" s="2455">
        <f t="shared" si="0"/>
        <v>0</v>
      </c>
      <c r="L22" s="2455">
        <f t="shared" si="1"/>
        <v>0</v>
      </c>
      <c r="M22" s="2456">
        <f t="shared" si="2"/>
        <v>0</v>
      </c>
      <c r="N22" s="2488" t="s">
        <v>1308</v>
      </c>
      <c r="O22" s="2489"/>
      <c r="P22" s="2490">
        <v>0</v>
      </c>
      <c r="Q22" s="2491"/>
    </row>
    <row r="23" spans="1:18">
      <c r="A23" s="2446">
        <v>1</v>
      </c>
      <c r="B23" s="2447" t="s">
        <v>410</v>
      </c>
      <c r="C23" s="2448" t="s">
        <v>1303</v>
      </c>
      <c r="D23" s="2449">
        <v>0</v>
      </c>
      <c r="E23" s="2450" t="s">
        <v>150</v>
      </c>
      <c r="F23" s="2451">
        <v>0</v>
      </c>
      <c r="G23" s="2452">
        <v>1</v>
      </c>
      <c r="H23" s="1663">
        <f t="shared" si="6"/>
        <v>0</v>
      </c>
      <c r="I23" s="2453">
        <f t="shared" si="3"/>
        <v>0</v>
      </c>
      <c r="J23" s="2460">
        <f t="shared" si="4"/>
        <v>0.24</v>
      </c>
      <c r="K23" s="2455">
        <f t="shared" si="0"/>
        <v>0</v>
      </c>
      <c r="L23" s="2455">
        <f t="shared" si="1"/>
        <v>0</v>
      </c>
      <c r="M23" s="2456">
        <f t="shared" si="2"/>
        <v>0</v>
      </c>
    </row>
    <row r="24" spans="1:18">
      <c r="A24" s="2446">
        <v>1</v>
      </c>
      <c r="B24" s="2447" t="s">
        <v>410</v>
      </c>
      <c r="C24" s="2448" t="s">
        <v>1305</v>
      </c>
      <c r="D24" s="2449">
        <v>0</v>
      </c>
      <c r="E24" s="2450" t="s">
        <v>150</v>
      </c>
      <c r="F24" s="2451">
        <v>0</v>
      </c>
      <c r="G24" s="2452">
        <v>1</v>
      </c>
      <c r="H24" s="1663">
        <f t="shared" si="6"/>
        <v>0</v>
      </c>
      <c r="I24" s="2453">
        <f t="shared" si="3"/>
        <v>0</v>
      </c>
      <c r="J24" s="2460">
        <f t="shared" si="4"/>
        <v>0.24</v>
      </c>
      <c r="K24" s="2455">
        <f t="shared" si="0"/>
        <v>0</v>
      </c>
      <c r="L24" s="2455">
        <f t="shared" si="1"/>
        <v>0</v>
      </c>
      <c r="M24" s="2456">
        <f t="shared" si="2"/>
        <v>0</v>
      </c>
    </row>
    <row r="25" spans="1:18">
      <c r="A25" s="2446">
        <v>1</v>
      </c>
      <c r="B25" s="2447" t="s">
        <v>410</v>
      </c>
      <c r="C25" s="2448" t="s">
        <v>1307</v>
      </c>
      <c r="D25" s="2449">
        <v>0</v>
      </c>
      <c r="E25" s="2450" t="s">
        <v>150</v>
      </c>
      <c r="F25" s="2451">
        <v>0</v>
      </c>
      <c r="G25" s="2452">
        <v>1</v>
      </c>
      <c r="H25" s="1663">
        <f t="shared" si="6"/>
        <v>0</v>
      </c>
      <c r="I25" s="2453">
        <f t="shared" si="3"/>
        <v>0</v>
      </c>
      <c r="J25" s="2460">
        <f t="shared" si="4"/>
        <v>0.24</v>
      </c>
      <c r="K25" s="2455">
        <f t="shared" si="0"/>
        <v>0</v>
      </c>
      <c r="L25" s="2455">
        <f t="shared" si="1"/>
        <v>0</v>
      </c>
      <c r="M25" s="2456">
        <f t="shared" si="2"/>
        <v>0</v>
      </c>
    </row>
    <row r="26" spans="1:18">
      <c r="A26" s="2446">
        <v>1</v>
      </c>
      <c r="B26" s="2447" t="s">
        <v>410</v>
      </c>
      <c r="C26" s="2448" t="s">
        <v>1309</v>
      </c>
      <c r="D26" s="2449">
        <v>0</v>
      </c>
      <c r="E26" s="2450" t="s">
        <v>150</v>
      </c>
      <c r="F26" s="2451">
        <v>0</v>
      </c>
      <c r="G26" s="2452">
        <v>1</v>
      </c>
      <c r="H26" s="1663">
        <f t="shared" si="6"/>
        <v>0</v>
      </c>
      <c r="I26" s="2453">
        <f t="shared" si="3"/>
        <v>0</v>
      </c>
      <c r="J26" s="2460">
        <f t="shared" si="4"/>
        <v>0.24</v>
      </c>
      <c r="K26" s="2455">
        <f t="shared" si="0"/>
        <v>0</v>
      </c>
      <c r="L26" s="2455">
        <f t="shared" si="1"/>
        <v>0</v>
      </c>
      <c r="M26" s="2456">
        <f t="shared" si="2"/>
        <v>0</v>
      </c>
    </row>
    <row r="27" spans="1:18">
      <c r="A27" s="2446">
        <v>1</v>
      </c>
      <c r="B27" s="2447" t="s">
        <v>410</v>
      </c>
      <c r="C27" s="2448" t="s">
        <v>1310</v>
      </c>
      <c r="D27" s="2449">
        <v>0</v>
      </c>
      <c r="E27" s="2450" t="s">
        <v>150</v>
      </c>
      <c r="F27" s="2451">
        <v>0</v>
      </c>
      <c r="G27" s="2452">
        <v>1</v>
      </c>
      <c r="H27" s="1663">
        <f t="shared" si="6"/>
        <v>0</v>
      </c>
      <c r="I27" s="2453">
        <f t="shared" si="3"/>
        <v>0</v>
      </c>
      <c r="J27" s="2460">
        <f t="shared" si="4"/>
        <v>0.24</v>
      </c>
      <c r="K27" s="2455">
        <f t="shared" si="0"/>
        <v>0</v>
      </c>
      <c r="L27" s="2455">
        <f t="shared" si="1"/>
        <v>0</v>
      </c>
      <c r="M27" s="2456">
        <f t="shared" si="2"/>
        <v>0</v>
      </c>
    </row>
    <row r="28" spans="1:18">
      <c r="A28" s="2446">
        <v>1</v>
      </c>
      <c r="B28" s="2447" t="s">
        <v>410</v>
      </c>
      <c r="C28" s="2448" t="s">
        <v>1311</v>
      </c>
      <c r="D28" s="2449">
        <v>0</v>
      </c>
      <c r="E28" s="2450" t="s">
        <v>150</v>
      </c>
      <c r="F28" s="2451">
        <v>0</v>
      </c>
      <c r="G28" s="2452">
        <v>1</v>
      </c>
      <c r="H28" s="1663">
        <f t="shared" si="6"/>
        <v>0</v>
      </c>
      <c r="I28" s="2453">
        <f t="shared" si="3"/>
        <v>0</v>
      </c>
      <c r="J28" s="2460">
        <f t="shared" si="4"/>
        <v>0.24</v>
      </c>
      <c r="K28" s="2455">
        <f t="shared" si="0"/>
        <v>0</v>
      </c>
      <c r="L28" s="2455">
        <f t="shared" si="1"/>
        <v>0</v>
      </c>
      <c r="M28" s="2456">
        <f t="shared" si="2"/>
        <v>0</v>
      </c>
    </row>
    <row r="29" spans="1:18">
      <c r="A29" s="2446">
        <v>1</v>
      </c>
      <c r="B29" s="2447" t="s">
        <v>410</v>
      </c>
      <c r="C29" s="2448" t="s">
        <v>1312</v>
      </c>
      <c r="D29" s="2449">
        <v>0</v>
      </c>
      <c r="E29" s="2450" t="s">
        <v>150</v>
      </c>
      <c r="F29" s="2451">
        <v>0</v>
      </c>
      <c r="G29" s="2452">
        <v>1</v>
      </c>
      <c r="H29" s="1663">
        <f t="shared" si="6"/>
        <v>0</v>
      </c>
      <c r="I29" s="2453">
        <f t="shared" si="3"/>
        <v>0</v>
      </c>
      <c r="J29" s="2460">
        <f t="shared" si="4"/>
        <v>0.24</v>
      </c>
      <c r="K29" s="2455">
        <f t="shared" si="0"/>
        <v>0</v>
      </c>
      <c r="L29" s="2455">
        <f t="shared" si="1"/>
        <v>0</v>
      </c>
      <c r="M29" s="2456">
        <f t="shared" si="2"/>
        <v>0</v>
      </c>
    </row>
    <row r="30" spans="1:18">
      <c r="A30" s="2446">
        <v>1</v>
      </c>
      <c r="B30" s="2447" t="s">
        <v>410</v>
      </c>
      <c r="C30" s="2448" t="s">
        <v>1313</v>
      </c>
      <c r="D30" s="2449">
        <v>0</v>
      </c>
      <c r="E30" s="2450" t="s">
        <v>150</v>
      </c>
      <c r="F30" s="2451">
        <v>0</v>
      </c>
      <c r="G30" s="2452">
        <v>1</v>
      </c>
      <c r="H30" s="1663">
        <f t="shared" si="6"/>
        <v>0</v>
      </c>
      <c r="I30" s="2453">
        <f t="shared" si="3"/>
        <v>0</v>
      </c>
      <c r="J30" s="2460">
        <f t="shared" si="4"/>
        <v>0.24</v>
      </c>
      <c r="K30" s="2455">
        <f t="shared" si="0"/>
        <v>0</v>
      </c>
      <c r="L30" s="2455">
        <f t="shared" si="1"/>
        <v>0</v>
      </c>
      <c r="M30" s="2456">
        <f t="shared" si="2"/>
        <v>0</v>
      </c>
    </row>
    <row r="31" spans="1:18">
      <c r="A31" s="2446">
        <v>1</v>
      </c>
      <c r="B31" s="2447" t="s">
        <v>410</v>
      </c>
      <c r="C31" s="2448" t="s">
        <v>1314</v>
      </c>
      <c r="D31" s="2449">
        <v>0</v>
      </c>
      <c r="E31" s="2450" t="s">
        <v>150</v>
      </c>
      <c r="F31" s="2451">
        <v>0</v>
      </c>
      <c r="G31" s="2452">
        <v>1</v>
      </c>
      <c r="H31" s="1663">
        <f t="shared" si="6"/>
        <v>0</v>
      </c>
      <c r="I31" s="2453">
        <f t="shared" si="3"/>
        <v>0</v>
      </c>
      <c r="J31" s="2460">
        <f t="shared" si="4"/>
        <v>0.24</v>
      </c>
      <c r="K31" s="2455">
        <f t="shared" si="0"/>
        <v>0</v>
      </c>
      <c r="L31" s="2455">
        <f t="shared" si="1"/>
        <v>0</v>
      </c>
      <c r="M31" s="2456">
        <f t="shared" si="2"/>
        <v>0</v>
      </c>
    </row>
    <row r="32" spans="1:18">
      <c r="A32" s="2446">
        <v>1</v>
      </c>
      <c r="B32" s="2447" t="s">
        <v>410</v>
      </c>
      <c r="C32" s="2448" t="s">
        <v>1315</v>
      </c>
      <c r="D32" s="2449">
        <v>0</v>
      </c>
      <c r="E32" s="2450" t="s">
        <v>150</v>
      </c>
      <c r="F32" s="2451">
        <v>0</v>
      </c>
      <c r="G32" s="2452">
        <v>1</v>
      </c>
      <c r="H32" s="1663">
        <f t="shared" si="6"/>
        <v>0</v>
      </c>
      <c r="I32" s="2453">
        <f t="shared" si="3"/>
        <v>0</v>
      </c>
      <c r="J32" s="2460">
        <f t="shared" si="4"/>
        <v>0.24</v>
      </c>
      <c r="K32" s="2455">
        <f t="shared" si="0"/>
        <v>0</v>
      </c>
      <c r="L32" s="2455">
        <f t="shared" si="1"/>
        <v>0</v>
      </c>
      <c r="M32" s="2456">
        <f t="shared" si="2"/>
        <v>0</v>
      </c>
    </row>
    <row r="33" spans="1:13">
      <c r="A33" s="2446">
        <v>1</v>
      </c>
      <c r="B33" s="2447" t="s">
        <v>410</v>
      </c>
      <c r="C33" s="2448" t="s">
        <v>1316</v>
      </c>
      <c r="D33" s="2449">
        <v>0</v>
      </c>
      <c r="E33" s="2450" t="s">
        <v>150</v>
      </c>
      <c r="F33" s="2451">
        <v>0</v>
      </c>
      <c r="G33" s="2452">
        <v>1</v>
      </c>
      <c r="H33" s="1663">
        <f t="shared" si="6"/>
        <v>0</v>
      </c>
      <c r="I33" s="2453">
        <f t="shared" si="3"/>
        <v>0</v>
      </c>
      <c r="J33" s="2460">
        <f t="shared" si="4"/>
        <v>0.24</v>
      </c>
      <c r="K33" s="2455">
        <f>IF(I33&gt;0,I33*J33,0)</f>
        <v>0</v>
      </c>
      <c r="L33" s="2455">
        <f>I33+K33</f>
        <v>0</v>
      </c>
      <c r="M33" s="2456">
        <f t="shared" si="2"/>
        <v>0</v>
      </c>
    </row>
    <row r="34" spans="1:13">
      <c r="A34" s="2446">
        <v>1</v>
      </c>
      <c r="B34" s="2447" t="s">
        <v>410</v>
      </c>
      <c r="C34" s="2448" t="s">
        <v>1317</v>
      </c>
      <c r="D34" s="2449">
        <v>0</v>
      </c>
      <c r="E34" s="2450" t="s">
        <v>150</v>
      </c>
      <c r="F34" s="2451">
        <v>0</v>
      </c>
      <c r="G34" s="2452">
        <v>1</v>
      </c>
      <c r="H34" s="1663">
        <f t="shared" si="6"/>
        <v>0</v>
      </c>
      <c r="I34" s="2453">
        <f t="shared" si="3"/>
        <v>0</v>
      </c>
      <c r="J34" s="2460">
        <f t="shared" si="4"/>
        <v>0.24</v>
      </c>
      <c r="K34" s="2455">
        <f t="shared" ref="K34:K44" si="9">IF(I34&gt;0.1,I34*J34,0)</f>
        <v>0</v>
      </c>
      <c r="L34" s="2455">
        <f t="shared" ref="L34:L44" si="10">I34+K34</f>
        <v>0</v>
      </c>
      <c r="M34" s="2456">
        <f t="shared" si="2"/>
        <v>0</v>
      </c>
    </row>
    <row r="35" spans="1:13">
      <c r="A35" s="2446">
        <v>1</v>
      </c>
      <c r="B35" s="2447" t="s">
        <v>410</v>
      </c>
      <c r="C35" s="2448" t="s">
        <v>1318</v>
      </c>
      <c r="D35" s="2449">
        <v>0</v>
      </c>
      <c r="E35" s="2450" t="s">
        <v>150</v>
      </c>
      <c r="F35" s="2451">
        <v>0</v>
      </c>
      <c r="G35" s="2452">
        <v>1</v>
      </c>
      <c r="H35" s="1663">
        <f t="shared" si="6"/>
        <v>0</v>
      </c>
      <c r="I35" s="2453">
        <f t="shared" si="3"/>
        <v>0</v>
      </c>
      <c r="J35" s="2460">
        <f t="shared" si="4"/>
        <v>0.24</v>
      </c>
      <c r="K35" s="2455">
        <f t="shared" si="9"/>
        <v>0</v>
      </c>
      <c r="L35" s="2455">
        <f t="shared" si="10"/>
        <v>0</v>
      </c>
      <c r="M35" s="2456">
        <f t="shared" si="2"/>
        <v>0</v>
      </c>
    </row>
    <row r="36" spans="1:13">
      <c r="A36" s="2446">
        <v>1</v>
      </c>
      <c r="B36" s="2447" t="s">
        <v>410</v>
      </c>
      <c r="C36" s="2448" t="s">
        <v>1319</v>
      </c>
      <c r="D36" s="2449">
        <v>0</v>
      </c>
      <c r="E36" s="2450" t="s">
        <v>150</v>
      </c>
      <c r="F36" s="2451">
        <v>0</v>
      </c>
      <c r="G36" s="2452">
        <v>1</v>
      </c>
      <c r="H36" s="1663">
        <f t="shared" si="6"/>
        <v>0</v>
      </c>
      <c r="I36" s="2453">
        <f t="shared" si="3"/>
        <v>0</v>
      </c>
      <c r="J36" s="2460">
        <f t="shared" si="4"/>
        <v>0.24</v>
      </c>
      <c r="K36" s="2455">
        <f t="shared" si="9"/>
        <v>0</v>
      </c>
      <c r="L36" s="2455">
        <f t="shared" si="10"/>
        <v>0</v>
      </c>
      <c r="M36" s="2456">
        <f t="shared" si="2"/>
        <v>0</v>
      </c>
    </row>
    <row r="37" spans="1:13">
      <c r="A37" s="2446">
        <v>1</v>
      </c>
      <c r="B37" s="2447" t="s">
        <v>410</v>
      </c>
      <c r="C37" s="2448" t="s">
        <v>1320</v>
      </c>
      <c r="D37" s="2449">
        <v>0</v>
      </c>
      <c r="E37" s="2450" t="s">
        <v>150</v>
      </c>
      <c r="F37" s="2451">
        <v>0</v>
      </c>
      <c r="G37" s="2452">
        <v>1</v>
      </c>
      <c r="H37" s="1663">
        <f t="shared" si="6"/>
        <v>0</v>
      </c>
      <c r="I37" s="2453">
        <f t="shared" si="3"/>
        <v>0</v>
      </c>
      <c r="J37" s="2460">
        <f t="shared" si="4"/>
        <v>0.24</v>
      </c>
      <c r="K37" s="2455">
        <f t="shared" si="9"/>
        <v>0</v>
      </c>
      <c r="L37" s="2455">
        <f t="shared" si="10"/>
        <v>0</v>
      </c>
      <c r="M37" s="2456">
        <f t="shared" si="2"/>
        <v>0</v>
      </c>
    </row>
    <row r="38" spans="1:13">
      <c r="A38" s="2446">
        <v>1</v>
      </c>
      <c r="B38" s="2447" t="s">
        <v>410</v>
      </c>
      <c r="C38" s="2448" t="s">
        <v>1321</v>
      </c>
      <c r="D38" s="2449">
        <v>0</v>
      </c>
      <c r="E38" s="2450" t="s">
        <v>150</v>
      </c>
      <c r="F38" s="2451">
        <v>0</v>
      </c>
      <c r="G38" s="2452">
        <v>1</v>
      </c>
      <c r="H38" s="1663">
        <f t="shared" si="6"/>
        <v>0</v>
      </c>
      <c r="I38" s="2453">
        <f t="shared" si="3"/>
        <v>0</v>
      </c>
      <c r="J38" s="2460">
        <f t="shared" si="4"/>
        <v>0.24</v>
      </c>
      <c r="K38" s="2455">
        <f t="shared" si="9"/>
        <v>0</v>
      </c>
      <c r="L38" s="2455">
        <f t="shared" si="10"/>
        <v>0</v>
      </c>
      <c r="M38" s="2456">
        <f t="shared" si="2"/>
        <v>0</v>
      </c>
    </row>
    <row r="39" spans="1:13">
      <c r="A39" s="2446">
        <v>1</v>
      </c>
      <c r="B39" s="2447" t="s">
        <v>410</v>
      </c>
      <c r="C39" s="2448" t="s">
        <v>1322</v>
      </c>
      <c r="D39" s="2449">
        <v>0</v>
      </c>
      <c r="E39" s="2450" t="s">
        <v>150</v>
      </c>
      <c r="F39" s="2451">
        <v>0</v>
      </c>
      <c r="G39" s="2452">
        <v>1</v>
      </c>
      <c r="H39" s="1663">
        <f t="shared" si="6"/>
        <v>0</v>
      </c>
      <c r="I39" s="2453">
        <f t="shared" si="3"/>
        <v>0</v>
      </c>
      <c r="J39" s="2460">
        <f t="shared" si="4"/>
        <v>0.24</v>
      </c>
      <c r="K39" s="2455">
        <f t="shared" si="9"/>
        <v>0</v>
      </c>
      <c r="L39" s="2455">
        <f t="shared" si="10"/>
        <v>0</v>
      </c>
      <c r="M39" s="2456">
        <f t="shared" si="2"/>
        <v>0</v>
      </c>
    </row>
    <row r="40" spans="1:13">
      <c r="A40" s="2446">
        <v>1</v>
      </c>
      <c r="B40" s="2447" t="s">
        <v>410</v>
      </c>
      <c r="C40" s="2448" t="s">
        <v>1323</v>
      </c>
      <c r="D40" s="2449">
        <v>0</v>
      </c>
      <c r="E40" s="2450" t="s">
        <v>150</v>
      </c>
      <c r="F40" s="2451">
        <v>0</v>
      </c>
      <c r="G40" s="2452">
        <v>1</v>
      </c>
      <c r="H40" s="1663">
        <f t="shared" si="6"/>
        <v>0</v>
      </c>
      <c r="I40" s="2453">
        <f t="shared" si="3"/>
        <v>0</v>
      </c>
      <c r="J40" s="2460">
        <f t="shared" si="4"/>
        <v>0.24</v>
      </c>
      <c r="K40" s="2455">
        <f t="shared" si="9"/>
        <v>0</v>
      </c>
      <c r="L40" s="2455">
        <f t="shared" si="10"/>
        <v>0</v>
      </c>
      <c r="M40" s="2456">
        <f t="shared" si="2"/>
        <v>0</v>
      </c>
    </row>
    <row r="41" spans="1:13">
      <c r="A41" s="2446">
        <v>1</v>
      </c>
      <c r="B41" s="2447" t="s">
        <v>410</v>
      </c>
      <c r="C41" s="2448" t="s">
        <v>1324</v>
      </c>
      <c r="D41" s="2449">
        <v>0</v>
      </c>
      <c r="E41" s="2450" t="s">
        <v>150</v>
      </c>
      <c r="F41" s="2451">
        <v>0</v>
      </c>
      <c r="G41" s="2452">
        <v>1</v>
      </c>
      <c r="H41" s="1663">
        <f t="shared" si="6"/>
        <v>0</v>
      </c>
      <c r="I41" s="2453">
        <f t="shared" si="3"/>
        <v>0</v>
      </c>
      <c r="J41" s="2460">
        <f t="shared" si="4"/>
        <v>0.24</v>
      </c>
      <c r="K41" s="2455">
        <f t="shared" si="9"/>
        <v>0</v>
      </c>
      <c r="L41" s="2455">
        <f t="shared" si="10"/>
        <v>0</v>
      </c>
      <c r="M41" s="2456">
        <f t="shared" si="2"/>
        <v>0</v>
      </c>
    </row>
    <row r="42" spans="1:13">
      <c r="A42" s="2446">
        <v>1</v>
      </c>
      <c r="B42" s="2447" t="s">
        <v>410</v>
      </c>
      <c r="C42" s="2448" t="s">
        <v>1325</v>
      </c>
      <c r="D42" s="2449">
        <v>0</v>
      </c>
      <c r="E42" s="2450" t="s">
        <v>150</v>
      </c>
      <c r="F42" s="2451">
        <v>0</v>
      </c>
      <c r="G42" s="2452">
        <v>1</v>
      </c>
      <c r="H42" s="1663">
        <f t="shared" si="6"/>
        <v>0</v>
      </c>
      <c r="I42" s="2453">
        <f t="shared" si="3"/>
        <v>0</v>
      </c>
      <c r="J42" s="2460">
        <f t="shared" si="4"/>
        <v>0.24</v>
      </c>
      <c r="K42" s="2455">
        <f t="shared" si="9"/>
        <v>0</v>
      </c>
      <c r="L42" s="2455">
        <f t="shared" si="10"/>
        <v>0</v>
      </c>
      <c r="M42" s="2456">
        <f t="shared" si="2"/>
        <v>0</v>
      </c>
    </row>
    <row r="43" spans="1:13">
      <c r="A43" s="2446">
        <v>1</v>
      </c>
      <c r="B43" s="2447" t="s">
        <v>410</v>
      </c>
      <c r="C43" s="2448" t="s">
        <v>1326</v>
      </c>
      <c r="D43" s="2449">
        <v>0</v>
      </c>
      <c r="E43" s="2450" t="s">
        <v>150</v>
      </c>
      <c r="F43" s="2451">
        <v>0</v>
      </c>
      <c r="G43" s="2452">
        <v>1</v>
      </c>
      <c r="H43" s="1663">
        <f t="shared" si="6"/>
        <v>0</v>
      </c>
      <c r="I43" s="2453">
        <f t="shared" si="3"/>
        <v>0</v>
      </c>
      <c r="J43" s="2460">
        <f t="shared" si="4"/>
        <v>0.24</v>
      </c>
      <c r="K43" s="2455">
        <f t="shared" si="9"/>
        <v>0</v>
      </c>
      <c r="L43" s="2455">
        <f t="shared" si="10"/>
        <v>0</v>
      </c>
      <c r="M43" s="2456">
        <f t="shared" si="2"/>
        <v>0</v>
      </c>
    </row>
    <row r="44" spans="1:13">
      <c r="A44" s="2446">
        <v>1</v>
      </c>
      <c r="B44" s="2447" t="s">
        <v>410</v>
      </c>
      <c r="C44" s="2448" t="s">
        <v>1327</v>
      </c>
      <c r="D44" s="2449">
        <v>0</v>
      </c>
      <c r="E44" s="2450" t="s">
        <v>150</v>
      </c>
      <c r="F44" s="2451">
        <v>0</v>
      </c>
      <c r="G44" s="2452">
        <v>1</v>
      </c>
      <c r="H44" s="1663">
        <f t="shared" si="6"/>
        <v>0</v>
      </c>
      <c r="I44" s="2453">
        <f t="shared" si="3"/>
        <v>0</v>
      </c>
      <c r="J44" s="2460">
        <f t="shared" si="4"/>
        <v>0.24</v>
      </c>
      <c r="K44" s="2455">
        <f t="shared" si="9"/>
        <v>0</v>
      </c>
      <c r="L44" s="2455">
        <f t="shared" si="10"/>
        <v>0</v>
      </c>
      <c r="M44" s="2456">
        <f t="shared" si="2"/>
        <v>0</v>
      </c>
    </row>
    <row r="45" spans="1:13" ht="13.5" thickBot="1">
      <c r="C45" s="2478"/>
      <c r="D45" s="2492">
        <f>SUM(D5:D44)</f>
        <v>1</v>
      </c>
      <c r="E45" s="2493" t="str">
        <f>C4&amp;" yhteensä"</f>
        <v>Palvelut / materiaalit yms. Ostot yhteensä</v>
      </c>
      <c r="F45" s="2483"/>
      <c r="G45" s="2483"/>
      <c r="H45" s="2483"/>
      <c r="I45" s="2494">
        <f>SUM(I5:I44)</f>
        <v>1</v>
      </c>
      <c r="J45" s="2495"/>
      <c r="K45" s="2494">
        <f>SUM(K5:K44)</f>
        <v>0.24</v>
      </c>
      <c r="L45" s="2494">
        <f>SUM(L5:L44)</f>
        <v>1.24</v>
      </c>
      <c r="M45" s="2496">
        <f>SUM(M5:M44)</f>
        <v>2.7777777777777776E-2</v>
      </c>
    </row>
    <row r="46" spans="1:13" ht="18.75" customHeight="1" thickBot="1">
      <c r="M46" s="2497"/>
    </row>
    <row r="47" spans="1:13" ht="46.5" customHeight="1">
      <c r="A47" s="2435"/>
      <c r="B47" s="2498" t="s">
        <v>410</v>
      </c>
      <c r="C47" s="2499" t="s">
        <v>1940</v>
      </c>
      <c r="D47" s="2438" t="s">
        <v>147</v>
      </c>
      <c r="E47" s="2438" t="s">
        <v>146</v>
      </c>
      <c r="F47" s="2438" t="s">
        <v>1941</v>
      </c>
      <c r="G47" s="2500" t="s">
        <v>1924</v>
      </c>
      <c r="H47" s="2501" t="s">
        <v>1942</v>
      </c>
      <c r="I47" s="2438" t="s">
        <v>1286</v>
      </c>
      <c r="J47" s="2438"/>
      <c r="K47" s="2438"/>
      <c r="L47" s="2438"/>
      <c r="M47" s="2445"/>
    </row>
    <row r="48" spans="1:13">
      <c r="A48" s="2446">
        <v>1</v>
      </c>
      <c r="B48" s="2447" t="s">
        <v>410</v>
      </c>
      <c r="C48" s="2448" t="s">
        <v>1328</v>
      </c>
      <c r="D48" s="2502">
        <v>1</v>
      </c>
      <c r="E48" s="2450" t="s">
        <v>15</v>
      </c>
      <c r="F48" s="2451">
        <v>35</v>
      </c>
      <c r="G48" s="2503">
        <v>1</v>
      </c>
      <c r="H48" s="2504">
        <v>1</v>
      </c>
      <c r="I48" s="2453">
        <f t="shared" ref="I48:I49" si="11">IF(A48="",G48*D48*F48*H48,(G48*D48*F48*H48)/A48)</f>
        <v>35</v>
      </c>
      <c r="J48" s="2454">
        <v>0.24</v>
      </c>
      <c r="K48" s="2455">
        <f>IF(I48&gt;0,I48*J48,0)</f>
        <v>8.4</v>
      </c>
      <c r="L48" s="2455">
        <f>I48+K48</f>
        <v>43.4</v>
      </c>
      <c r="M48" s="2505">
        <f t="shared" ref="M48:M59" si="12">L48/$L$62</f>
        <v>0.97222222222222221</v>
      </c>
    </row>
    <row r="49" spans="1:13">
      <c r="A49" s="2446">
        <v>1</v>
      </c>
      <c r="B49" s="2447"/>
      <c r="C49" s="2448" t="s">
        <v>1329</v>
      </c>
      <c r="D49" s="2502">
        <v>0</v>
      </c>
      <c r="E49" s="2450" t="str">
        <f>IF(E48&lt;&gt;"",E48,"")</f>
        <v>h</v>
      </c>
      <c r="F49" s="2451">
        <v>0</v>
      </c>
      <c r="G49" s="2503">
        <v>1</v>
      </c>
      <c r="H49" s="2504">
        <v>1</v>
      </c>
      <c r="I49" s="2453">
        <f t="shared" si="11"/>
        <v>0</v>
      </c>
      <c r="J49" s="2460">
        <f t="shared" ref="J49:J59" si="13">IF(D49&gt;0,J48,J48)</f>
        <v>0.24</v>
      </c>
      <c r="K49" s="2455">
        <f t="shared" ref="K49:K59" si="14">IF(I49&gt;0,I49*J49,0)</f>
        <v>0</v>
      </c>
      <c r="L49" s="2455">
        <f t="shared" ref="L49:L59" si="15">I49+K49</f>
        <v>0</v>
      </c>
      <c r="M49" s="2505">
        <f t="shared" si="12"/>
        <v>0</v>
      </c>
    </row>
    <row r="50" spans="1:13">
      <c r="A50" s="2446">
        <v>1</v>
      </c>
      <c r="B50" s="2447"/>
      <c r="C50" s="2448" t="s">
        <v>1330</v>
      </c>
      <c r="D50" s="2502">
        <v>0</v>
      </c>
      <c r="E50" s="2450" t="str">
        <f t="shared" ref="E50:E59" si="16">IF(E49&lt;&gt;"",E49,"")</f>
        <v>h</v>
      </c>
      <c r="F50" s="2451">
        <v>0</v>
      </c>
      <c r="G50" s="2503">
        <v>1</v>
      </c>
      <c r="H50" s="2504">
        <v>1</v>
      </c>
      <c r="I50" s="2453">
        <f>IF(A50="",G50*D50*F50*H50,(G50*D50*F50*H50)/A50)</f>
        <v>0</v>
      </c>
      <c r="J50" s="2460">
        <f t="shared" si="13"/>
        <v>0.24</v>
      </c>
      <c r="K50" s="2455">
        <f t="shared" si="14"/>
        <v>0</v>
      </c>
      <c r="L50" s="2455">
        <f t="shared" si="15"/>
        <v>0</v>
      </c>
      <c r="M50" s="2505">
        <f t="shared" si="12"/>
        <v>0</v>
      </c>
    </row>
    <row r="51" spans="1:13">
      <c r="A51" s="2446">
        <v>1</v>
      </c>
      <c r="B51" s="2447" t="s">
        <v>410</v>
      </c>
      <c r="C51" s="2448" t="s">
        <v>1331</v>
      </c>
      <c r="D51" s="2502">
        <v>0</v>
      </c>
      <c r="E51" s="2450" t="str">
        <f t="shared" si="16"/>
        <v>h</v>
      </c>
      <c r="F51" s="2451">
        <v>0</v>
      </c>
      <c r="G51" s="2503">
        <v>1</v>
      </c>
      <c r="H51" s="2504">
        <v>1</v>
      </c>
      <c r="I51" s="2453">
        <f t="shared" ref="I51:I59" si="17">IF(A51="",G51*D51*F51*H51,(G51*D51*F51*H51)/A51)</f>
        <v>0</v>
      </c>
      <c r="J51" s="2460">
        <f t="shared" si="13"/>
        <v>0.24</v>
      </c>
      <c r="K51" s="2455">
        <f t="shared" si="14"/>
        <v>0</v>
      </c>
      <c r="L51" s="2455">
        <f t="shared" si="15"/>
        <v>0</v>
      </c>
      <c r="M51" s="2505">
        <f t="shared" si="12"/>
        <v>0</v>
      </c>
    </row>
    <row r="52" spans="1:13">
      <c r="A52" s="2446">
        <v>1</v>
      </c>
      <c r="B52" s="2447" t="s">
        <v>410</v>
      </c>
      <c r="C52" s="2448" t="s">
        <v>1332</v>
      </c>
      <c r="D52" s="2502">
        <v>0</v>
      </c>
      <c r="E52" s="2450" t="str">
        <f t="shared" si="16"/>
        <v>h</v>
      </c>
      <c r="F52" s="2451">
        <v>0</v>
      </c>
      <c r="G52" s="2503">
        <v>1</v>
      </c>
      <c r="H52" s="2504">
        <v>1</v>
      </c>
      <c r="I52" s="2453">
        <f t="shared" si="17"/>
        <v>0</v>
      </c>
      <c r="J52" s="2460">
        <f t="shared" si="13"/>
        <v>0.24</v>
      </c>
      <c r="K52" s="2455">
        <f t="shared" si="14"/>
        <v>0</v>
      </c>
      <c r="L52" s="2455">
        <f t="shared" si="15"/>
        <v>0</v>
      </c>
      <c r="M52" s="2505">
        <f t="shared" si="12"/>
        <v>0</v>
      </c>
    </row>
    <row r="53" spans="1:13">
      <c r="A53" s="2446">
        <v>1</v>
      </c>
      <c r="B53" s="2447" t="s">
        <v>410</v>
      </c>
      <c r="C53" s="2448" t="s">
        <v>1333</v>
      </c>
      <c r="D53" s="2502">
        <v>0</v>
      </c>
      <c r="E53" s="2450" t="str">
        <f t="shared" si="16"/>
        <v>h</v>
      </c>
      <c r="F53" s="2451">
        <v>0</v>
      </c>
      <c r="G53" s="2503">
        <v>1</v>
      </c>
      <c r="H53" s="2504">
        <v>1</v>
      </c>
      <c r="I53" s="2453">
        <f t="shared" si="17"/>
        <v>0</v>
      </c>
      <c r="J53" s="2460">
        <f t="shared" si="13"/>
        <v>0.24</v>
      </c>
      <c r="K53" s="2455">
        <f t="shared" si="14"/>
        <v>0</v>
      </c>
      <c r="L53" s="2455">
        <f t="shared" si="15"/>
        <v>0</v>
      </c>
      <c r="M53" s="2505">
        <f t="shared" si="12"/>
        <v>0</v>
      </c>
    </row>
    <row r="54" spans="1:13">
      <c r="A54" s="2446">
        <v>1</v>
      </c>
      <c r="B54" s="2447" t="s">
        <v>410</v>
      </c>
      <c r="C54" s="2448" t="s">
        <v>1334</v>
      </c>
      <c r="D54" s="2502">
        <v>0</v>
      </c>
      <c r="E54" s="2450" t="str">
        <f t="shared" si="16"/>
        <v>h</v>
      </c>
      <c r="F54" s="2451">
        <v>0</v>
      </c>
      <c r="G54" s="2503">
        <v>1</v>
      </c>
      <c r="H54" s="2504">
        <v>1</v>
      </c>
      <c r="I54" s="2453">
        <f t="shared" si="17"/>
        <v>0</v>
      </c>
      <c r="J54" s="2460">
        <f t="shared" si="13"/>
        <v>0.24</v>
      </c>
      <c r="K54" s="2455">
        <f t="shared" si="14"/>
        <v>0</v>
      </c>
      <c r="L54" s="2455">
        <f t="shared" si="15"/>
        <v>0</v>
      </c>
      <c r="M54" s="2505">
        <f t="shared" si="12"/>
        <v>0</v>
      </c>
    </row>
    <row r="55" spans="1:13">
      <c r="A55" s="2446">
        <v>1</v>
      </c>
      <c r="B55" s="2447" t="s">
        <v>410</v>
      </c>
      <c r="C55" s="2448" t="s">
        <v>1335</v>
      </c>
      <c r="D55" s="2502">
        <v>0</v>
      </c>
      <c r="E55" s="2450" t="str">
        <f t="shared" si="16"/>
        <v>h</v>
      </c>
      <c r="F55" s="2451">
        <v>0</v>
      </c>
      <c r="G55" s="2503">
        <v>1</v>
      </c>
      <c r="H55" s="2504">
        <v>1</v>
      </c>
      <c r="I55" s="2453">
        <f t="shared" si="17"/>
        <v>0</v>
      </c>
      <c r="J55" s="2460">
        <f t="shared" si="13"/>
        <v>0.24</v>
      </c>
      <c r="K55" s="2455">
        <f t="shared" si="14"/>
        <v>0</v>
      </c>
      <c r="L55" s="2455">
        <f t="shared" si="15"/>
        <v>0</v>
      </c>
      <c r="M55" s="2505">
        <f t="shared" si="12"/>
        <v>0</v>
      </c>
    </row>
    <row r="56" spans="1:13">
      <c r="A56" s="2446">
        <v>1</v>
      </c>
      <c r="B56" s="2447" t="s">
        <v>410</v>
      </c>
      <c r="C56" s="2448" t="s">
        <v>1336</v>
      </c>
      <c r="D56" s="2502">
        <v>0</v>
      </c>
      <c r="E56" s="2450" t="str">
        <f t="shared" si="16"/>
        <v>h</v>
      </c>
      <c r="F56" s="2451">
        <v>0</v>
      </c>
      <c r="G56" s="2503">
        <v>1</v>
      </c>
      <c r="H56" s="2504">
        <v>1</v>
      </c>
      <c r="I56" s="2453">
        <f t="shared" si="17"/>
        <v>0</v>
      </c>
      <c r="J56" s="2460">
        <f t="shared" si="13"/>
        <v>0.24</v>
      </c>
      <c r="K56" s="2455">
        <f t="shared" si="14"/>
        <v>0</v>
      </c>
      <c r="L56" s="2455">
        <f t="shared" si="15"/>
        <v>0</v>
      </c>
      <c r="M56" s="2505">
        <f t="shared" si="12"/>
        <v>0</v>
      </c>
    </row>
    <row r="57" spans="1:13">
      <c r="A57" s="2446">
        <v>1</v>
      </c>
      <c r="B57" s="2447" t="s">
        <v>410</v>
      </c>
      <c r="C57" s="2448" t="s">
        <v>1337</v>
      </c>
      <c r="D57" s="2502">
        <v>0</v>
      </c>
      <c r="E57" s="2450" t="str">
        <f t="shared" si="16"/>
        <v>h</v>
      </c>
      <c r="F57" s="2451">
        <v>0</v>
      </c>
      <c r="G57" s="2503">
        <v>1</v>
      </c>
      <c r="H57" s="2504">
        <v>1</v>
      </c>
      <c r="I57" s="2453">
        <f t="shared" si="17"/>
        <v>0</v>
      </c>
      <c r="J57" s="2460">
        <f t="shared" si="13"/>
        <v>0.24</v>
      </c>
      <c r="K57" s="2455">
        <f t="shared" si="14"/>
        <v>0</v>
      </c>
      <c r="L57" s="2455">
        <f t="shared" si="15"/>
        <v>0</v>
      </c>
      <c r="M57" s="2505">
        <f t="shared" si="12"/>
        <v>0</v>
      </c>
    </row>
    <row r="58" spans="1:13">
      <c r="A58" s="2446">
        <v>1</v>
      </c>
      <c r="B58" s="2447" t="s">
        <v>410</v>
      </c>
      <c r="C58" s="2448" t="s">
        <v>1338</v>
      </c>
      <c r="D58" s="2502">
        <v>0</v>
      </c>
      <c r="E58" s="2450" t="str">
        <f t="shared" si="16"/>
        <v>h</v>
      </c>
      <c r="F58" s="2451">
        <v>0</v>
      </c>
      <c r="G58" s="2503">
        <v>1</v>
      </c>
      <c r="H58" s="2504">
        <v>1</v>
      </c>
      <c r="I58" s="2453">
        <f t="shared" si="17"/>
        <v>0</v>
      </c>
      <c r="J58" s="2460">
        <f t="shared" si="13"/>
        <v>0.24</v>
      </c>
      <c r="K58" s="2455">
        <f t="shared" si="14"/>
        <v>0</v>
      </c>
      <c r="L58" s="2455">
        <f t="shared" si="15"/>
        <v>0</v>
      </c>
      <c r="M58" s="2505">
        <f t="shared" si="12"/>
        <v>0</v>
      </c>
    </row>
    <row r="59" spans="1:13">
      <c r="A59" s="2446">
        <v>1</v>
      </c>
      <c r="B59" s="2447" t="s">
        <v>410</v>
      </c>
      <c r="C59" s="2448" t="s">
        <v>1339</v>
      </c>
      <c r="D59" s="2502">
        <v>0</v>
      </c>
      <c r="E59" s="2450" t="str">
        <f t="shared" si="16"/>
        <v>h</v>
      </c>
      <c r="F59" s="2451">
        <v>0</v>
      </c>
      <c r="G59" s="2503">
        <v>1</v>
      </c>
      <c r="H59" s="2504">
        <v>1</v>
      </c>
      <c r="I59" s="2453">
        <f t="shared" si="17"/>
        <v>0</v>
      </c>
      <c r="J59" s="2460">
        <f t="shared" si="13"/>
        <v>0.24</v>
      </c>
      <c r="K59" s="2455">
        <f t="shared" si="14"/>
        <v>0</v>
      </c>
      <c r="L59" s="2455">
        <f t="shared" si="15"/>
        <v>0</v>
      </c>
      <c r="M59" s="2505">
        <f t="shared" si="12"/>
        <v>0</v>
      </c>
    </row>
    <row r="60" spans="1:13" ht="13.5" thickBot="1">
      <c r="C60" s="2478"/>
      <c r="D60" s="2506">
        <f>SUM(D48:D59)</f>
        <v>1</v>
      </c>
      <c r="E60" s="2483" t="str">
        <f>C47&amp;" yhteensä"</f>
        <v>TYÖKUSTANNUS yhteensä</v>
      </c>
      <c r="F60" s="2483"/>
      <c r="G60" s="2483"/>
      <c r="H60" s="2483"/>
      <c r="I60" s="2507">
        <f>SUM(I48:I59)</f>
        <v>35</v>
      </c>
      <c r="J60" s="2483"/>
      <c r="K60" s="2507">
        <f>SUM(K48:K59)</f>
        <v>8.4</v>
      </c>
      <c r="L60" s="2507">
        <f>SUM(L48:L59)</f>
        <v>43.4</v>
      </c>
      <c r="M60" s="2508">
        <f>SUM(M48:M59)</f>
        <v>0.97222222222222221</v>
      </c>
    </row>
    <row r="61" spans="1:13">
      <c r="M61" s="2497"/>
    </row>
    <row r="62" spans="1:13" ht="13.5" thickBot="1">
      <c r="C62" s="2509" t="s">
        <v>1943</v>
      </c>
      <c r="I62" s="2510">
        <f>SUM(I45,I60)</f>
        <v>36</v>
      </c>
      <c r="J62" s="2510">
        <f t="shared" ref="J62:K62" si="18">SUM(J45,J60)</f>
        <v>0</v>
      </c>
      <c r="K62" s="2510">
        <f t="shared" si="18"/>
        <v>8.64</v>
      </c>
      <c r="L62" s="2510">
        <f>SUM(L45,L60)</f>
        <v>44.64</v>
      </c>
      <c r="M62" s="2511">
        <f>L62/$L$62</f>
        <v>1</v>
      </c>
    </row>
    <row r="63" spans="1:13">
      <c r="I63" s="2864" t="s">
        <v>1944</v>
      </c>
      <c r="J63" s="2865"/>
      <c r="K63" s="2865"/>
      <c r="L63" s="2438"/>
      <c r="M63" s="2512" t="s">
        <v>1945</v>
      </c>
    </row>
    <row r="64" spans="1:13">
      <c r="I64" s="2513" t="s">
        <v>1946</v>
      </c>
      <c r="J64" s="2514">
        <v>0.24</v>
      </c>
      <c r="K64" s="2515">
        <f>SUMIFS($K$5:$K$44,$J$5:$J$44,J64)</f>
        <v>0.24</v>
      </c>
      <c r="L64" s="1676"/>
      <c r="M64" s="2516">
        <f>K64*(100%/(100%-$P$6))</f>
        <v>0.24</v>
      </c>
    </row>
    <row r="65" spans="3:13">
      <c r="I65" s="2513" t="s">
        <v>1946</v>
      </c>
      <c r="J65" s="2514">
        <v>0.14000000000000001</v>
      </c>
      <c r="K65" s="2515">
        <f t="shared" ref="K65:K67" si="19">SUMIFS($K$5:$K$44,$J$5:$J$44,J65)</f>
        <v>0</v>
      </c>
      <c r="L65" s="1676"/>
      <c r="M65" s="2516">
        <f t="shared" ref="M65:M71" si="20">K65*(100%/(100%-$P$6))</f>
        <v>0</v>
      </c>
    </row>
    <row r="66" spans="3:13">
      <c r="I66" s="2513" t="s">
        <v>1946</v>
      </c>
      <c r="J66" s="2514">
        <v>0.1</v>
      </c>
      <c r="K66" s="2515">
        <f t="shared" si="19"/>
        <v>0</v>
      </c>
      <c r="L66" s="1676"/>
      <c r="M66" s="2516">
        <f t="shared" si="20"/>
        <v>0</v>
      </c>
    </row>
    <row r="67" spans="3:13">
      <c r="I67" s="2513" t="s">
        <v>1946</v>
      </c>
      <c r="J67" s="2514">
        <v>0</v>
      </c>
      <c r="K67" s="2515">
        <f t="shared" si="19"/>
        <v>0</v>
      </c>
      <c r="L67" s="1676"/>
      <c r="M67" s="2516">
        <f t="shared" si="20"/>
        <v>0</v>
      </c>
    </row>
    <row r="68" spans="3:13">
      <c r="I68" s="2513" t="s">
        <v>1947</v>
      </c>
      <c r="J68" s="2514">
        <f>J64</f>
        <v>0.24</v>
      </c>
      <c r="K68" s="2515">
        <f>SUMIFS($K$48:$K$59,$J$48:$J$59,J68)</f>
        <v>8.4</v>
      </c>
      <c r="L68" s="1676"/>
      <c r="M68" s="2516">
        <f t="shared" si="20"/>
        <v>8.4</v>
      </c>
    </row>
    <row r="69" spans="3:13">
      <c r="I69" s="2513" t="s">
        <v>1947</v>
      </c>
      <c r="J69" s="2514">
        <f t="shared" ref="J69:J71" si="21">J65</f>
        <v>0.14000000000000001</v>
      </c>
      <c r="K69" s="2515">
        <f t="shared" ref="K69:K70" si="22">SUMIFS($K$48:$K$59,$J$48:$J$59,J69)</f>
        <v>0</v>
      </c>
      <c r="L69" s="1676"/>
      <c r="M69" s="2516">
        <f t="shared" si="20"/>
        <v>0</v>
      </c>
    </row>
    <row r="70" spans="3:13">
      <c r="I70" s="2513" t="s">
        <v>1947</v>
      </c>
      <c r="J70" s="2514">
        <f t="shared" si="21"/>
        <v>0.1</v>
      </c>
      <c r="K70" s="2515">
        <f t="shared" si="22"/>
        <v>0</v>
      </c>
      <c r="L70" s="1676"/>
      <c r="M70" s="2516">
        <f t="shared" si="20"/>
        <v>0</v>
      </c>
    </row>
    <row r="71" spans="3:13">
      <c r="I71" s="2513" t="s">
        <v>1947</v>
      </c>
      <c r="J71" s="2514">
        <f t="shared" si="21"/>
        <v>0</v>
      </c>
      <c r="K71" s="2515">
        <f>SUMIFS($K$48:$K$59,$J$48:$J$59,J71)</f>
        <v>0</v>
      </c>
      <c r="L71" s="1676"/>
      <c r="M71" s="2516">
        <f t="shared" si="20"/>
        <v>0</v>
      </c>
    </row>
    <row r="72" spans="3:13" ht="13.5" thickBot="1">
      <c r="I72" s="2478"/>
      <c r="J72" s="2483"/>
      <c r="K72" s="2507">
        <f>SUM(K64:K71)</f>
        <v>8.64</v>
      </c>
      <c r="L72" s="2483"/>
      <c r="M72" s="2517">
        <f>SUM(M64:M71)</f>
        <v>8.64</v>
      </c>
    </row>
    <row r="73" spans="3:13" ht="15">
      <c r="C73" s="2518" t="s">
        <v>1948</v>
      </c>
      <c r="F73" s="2519">
        <v>1</v>
      </c>
    </row>
    <row r="74" spans="3:13" ht="15">
      <c r="C74" s="2518" t="s">
        <v>1949</v>
      </c>
      <c r="F74" s="2519">
        <v>12</v>
      </c>
      <c r="G74" s="2520" t="s">
        <v>957</v>
      </c>
    </row>
    <row r="75" spans="3:13" ht="15">
      <c r="C75" s="2518"/>
    </row>
    <row r="76" spans="3:13" ht="15.75">
      <c r="C76" s="2521" t="s">
        <v>1340</v>
      </c>
    </row>
    <row r="77" spans="3:13" ht="15">
      <c r="C77" s="2518" t="s">
        <v>1341</v>
      </c>
      <c r="D77" s="2518"/>
      <c r="E77" s="2518"/>
      <c r="F77" s="2853">
        <f>P11*$F$73</f>
        <v>36</v>
      </c>
      <c r="G77" s="2853"/>
      <c r="H77" s="2853"/>
    </row>
    <row r="78" spans="3:13" ht="15">
      <c r="C78" s="2518" t="s">
        <v>1221</v>
      </c>
      <c r="D78" s="2518"/>
      <c r="E78" s="2518"/>
      <c r="F78" s="2853">
        <f>I45*F73</f>
        <v>1</v>
      </c>
      <c r="G78" s="2853"/>
      <c r="H78" s="2853"/>
    </row>
    <row r="79" spans="3:13" ht="15">
      <c r="C79" s="2518" t="s">
        <v>1169</v>
      </c>
      <c r="D79" s="2518"/>
      <c r="E79" s="2518"/>
      <c r="F79" s="2867">
        <v>0</v>
      </c>
      <c r="G79" s="2867"/>
      <c r="H79" s="2867"/>
    </row>
    <row r="80" spans="3:13" ht="15">
      <c r="C80" s="2518" t="s">
        <v>759</v>
      </c>
      <c r="D80" s="2518"/>
      <c r="E80" s="2518"/>
      <c r="F80" s="2853">
        <f>F77-F78-F79</f>
        <v>35</v>
      </c>
      <c r="G80" s="2853"/>
      <c r="H80" s="2853"/>
      <c r="I80" s="2522">
        <f>IF(F77&gt;0,F80/$F$77,0)</f>
        <v>0.97222222222222221</v>
      </c>
    </row>
    <row r="81" spans="3:9" ht="15">
      <c r="C81" s="2518" t="s">
        <v>1950</v>
      </c>
      <c r="D81" s="2518"/>
      <c r="E81" s="2518"/>
      <c r="F81" s="2868">
        <f>I60*F73</f>
        <v>35</v>
      </c>
      <c r="G81" s="2869"/>
      <c r="H81" s="2870"/>
    </row>
    <row r="82" spans="3:9" ht="15">
      <c r="C82" s="2518" t="s">
        <v>769</v>
      </c>
      <c r="D82" s="2518"/>
      <c r="E82" s="2518"/>
      <c r="F82" s="2871">
        <v>0</v>
      </c>
      <c r="G82" s="2872"/>
      <c r="H82" s="2873"/>
    </row>
    <row r="83" spans="3:9" ht="15.75">
      <c r="C83" s="2521" t="s">
        <v>1951</v>
      </c>
      <c r="D83" s="2518"/>
      <c r="E83" s="2518"/>
      <c r="F83" s="2874">
        <f>F78+F79+F81+F82</f>
        <v>36</v>
      </c>
      <c r="G83" s="2875"/>
      <c r="H83" s="2875"/>
    </row>
    <row r="84" spans="3:9" ht="15.75">
      <c r="C84" s="2521" t="s">
        <v>1952</v>
      </c>
      <c r="D84" s="2518"/>
      <c r="E84" s="2518"/>
      <c r="F84" s="2866">
        <f>F77-F83</f>
        <v>0</v>
      </c>
      <c r="G84" s="2866"/>
      <c r="H84" s="2866"/>
      <c r="I84" s="2523">
        <f>IF(F77&gt;0,F84/$F$77,0)</f>
        <v>0</v>
      </c>
    </row>
  </sheetData>
  <sheetProtection algorithmName="SHA-512" hashValue="g5e2nZ6YLT0NXKeS6sDfmfVE+ytlfoVvb5ReccsHQkv/ebZvNbm9cfPACctpYNPsMQeTMm5ry0VnDnqEWuI8eg==" saltValue="TffqIaU3DCbpob3LrZESKA==" spinCount="100000" sheet="1" scenarios="1" formatCells="0" formatColumns="0" formatRows="0"/>
  <mergeCells count="13">
    <mergeCell ref="F84:H84"/>
    <mergeCell ref="F78:H78"/>
    <mergeCell ref="F79:H79"/>
    <mergeCell ref="F80:H80"/>
    <mergeCell ref="F81:H81"/>
    <mergeCell ref="F82:H82"/>
    <mergeCell ref="F83:H83"/>
    <mergeCell ref="F77:H77"/>
    <mergeCell ref="E2:I2"/>
    <mergeCell ref="C3:K3"/>
    <mergeCell ref="Q14:Q17"/>
    <mergeCell ref="R14:R17"/>
    <mergeCell ref="I63:K63"/>
  </mergeCells>
  <conditionalFormatting sqref="A5:A44">
    <cfRule type="cellIs" dxfId="41" priority="1" operator="greaterThan">
      <formula>1</formula>
    </cfRule>
  </conditionalFormatting>
  <pageMargins left="0.7" right="0.7" top="0.75" bottom="0.75" header="0.3" footer="0.3"/>
  <pageSetup paperSize="9" scale="46" orientation="landscape" horizontalDpi="4294967293" verticalDpi="4294967293" r:id="rId1"/>
  <headerFooter>
    <oddHeader>&amp;CTarjous</oddHeader>
  </headerFooter>
  <rowBreaks count="1" manualBreakCount="1">
    <brk id="45" max="16"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ul4"/>
  <dimension ref="A1:O37"/>
  <sheetViews>
    <sheetView workbookViewId="0">
      <selection activeCell="B14" sqref="B14"/>
    </sheetView>
  </sheetViews>
  <sheetFormatPr defaultColWidth="8.85546875" defaultRowHeight="12.75"/>
  <cols>
    <col min="1" max="1" width="9.42578125" customWidth="1"/>
    <col min="12" max="12" width="10.42578125" customWidth="1"/>
  </cols>
  <sheetData>
    <row r="1" spans="1:15">
      <c r="A1" t="s">
        <v>1271</v>
      </c>
      <c r="B1" s="3" t="s">
        <v>1342</v>
      </c>
      <c r="E1" s="82"/>
    </row>
    <row r="3" spans="1:15">
      <c r="C3" s="3" t="s">
        <v>251</v>
      </c>
    </row>
    <row r="4" spans="1:15">
      <c r="B4" s="42"/>
      <c r="C4" s="83">
        <v>0.01</v>
      </c>
      <c r="D4" s="83">
        <v>0.02</v>
      </c>
      <c r="E4" s="83">
        <v>0.03</v>
      </c>
      <c r="F4" s="83">
        <v>0.04</v>
      </c>
      <c r="G4" s="83">
        <v>0.05</v>
      </c>
      <c r="H4" s="83">
        <v>0.06</v>
      </c>
      <c r="I4" s="83">
        <v>7.0000000000000007E-2</v>
      </c>
      <c r="J4" s="83">
        <v>0.08</v>
      </c>
      <c r="K4" s="83">
        <v>0.09</v>
      </c>
      <c r="L4" s="83">
        <v>0.1</v>
      </c>
      <c r="M4" s="83">
        <v>0.11</v>
      </c>
      <c r="N4" s="83">
        <v>0.12</v>
      </c>
      <c r="O4" s="83">
        <v>0.13</v>
      </c>
    </row>
    <row r="5" spans="1:15">
      <c r="A5" s="3" t="s">
        <v>1275</v>
      </c>
      <c r="B5" s="84">
        <v>1</v>
      </c>
      <c r="C5" s="85">
        <f t="shared" ref="C5:O14" si="0">(C$4*(1+C$4)^$B5)/(((1+C$4)^$B5)-1)</f>
        <v>1.0099999999999991</v>
      </c>
      <c r="D5" s="85">
        <f t="shared" si="0"/>
        <v>1.0199999999999991</v>
      </c>
      <c r="E5" s="85">
        <f t="shared" si="0"/>
        <v>1.0299999999999991</v>
      </c>
      <c r="F5" s="85">
        <f t="shared" si="0"/>
        <v>1.0399999999999991</v>
      </c>
      <c r="G5" s="85">
        <f t="shared" si="0"/>
        <v>1.0499999999999992</v>
      </c>
      <c r="H5" s="85">
        <f t="shared" si="0"/>
        <v>1.0599999999999992</v>
      </c>
      <c r="I5" s="85">
        <f t="shared" si="0"/>
        <v>1.0699999999999992</v>
      </c>
      <c r="J5" s="85">
        <f t="shared" si="0"/>
        <v>1.0799999999999992</v>
      </c>
      <c r="K5" s="85">
        <f t="shared" si="0"/>
        <v>1.0899999999999992</v>
      </c>
      <c r="L5" s="85">
        <f t="shared" si="0"/>
        <v>1.0999999999999992</v>
      </c>
      <c r="M5" s="85">
        <f t="shared" si="0"/>
        <v>1.1099999999999992</v>
      </c>
      <c r="N5" s="85">
        <f t="shared" si="0"/>
        <v>1.1199999999999992</v>
      </c>
      <c r="O5" s="85">
        <f t="shared" si="0"/>
        <v>1.130000000000001</v>
      </c>
    </row>
    <row r="6" spans="1:15">
      <c r="B6" s="84">
        <v>2</v>
      </c>
      <c r="C6" s="85">
        <f t="shared" si="0"/>
        <v>0.50751243781094513</v>
      </c>
      <c r="D6" s="85">
        <f t="shared" si="0"/>
        <v>0.51504950495049517</v>
      </c>
      <c r="E6" s="85">
        <f t="shared" si="0"/>
        <v>0.52261083743842396</v>
      </c>
      <c r="F6" s="85">
        <f t="shared" si="0"/>
        <v>0.53019607843137184</v>
      </c>
      <c r="G6" s="85">
        <f t="shared" si="0"/>
        <v>0.53780487804878041</v>
      </c>
      <c r="H6" s="85">
        <f t="shared" si="0"/>
        <v>0.54543689320388289</v>
      </c>
      <c r="I6" s="85">
        <f t="shared" si="0"/>
        <v>0.5530917874396134</v>
      </c>
      <c r="J6" s="85">
        <f t="shared" si="0"/>
        <v>0.56076923076923046</v>
      </c>
      <c r="K6" s="85">
        <f t="shared" si="0"/>
        <v>0.56846889952153068</v>
      </c>
      <c r="L6" s="85">
        <f t="shared" si="0"/>
        <v>0.57619047619047581</v>
      </c>
      <c r="M6" s="85">
        <f t="shared" si="0"/>
        <v>0.58393364928909908</v>
      </c>
      <c r="N6" s="85">
        <f t="shared" si="0"/>
        <v>0.59169811320754684</v>
      </c>
      <c r="O6" s="85">
        <f t="shared" si="0"/>
        <v>0.59948356807511793</v>
      </c>
    </row>
    <row r="7" spans="1:15">
      <c r="B7" s="84">
        <v>3</v>
      </c>
      <c r="C7" s="85">
        <f t="shared" si="0"/>
        <v>0.34002211148147021</v>
      </c>
      <c r="D7" s="85">
        <f t="shared" si="0"/>
        <v>0.34675467259181847</v>
      </c>
      <c r="E7" s="85">
        <f t="shared" si="0"/>
        <v>0.35353036332459803</v>
      </c>
      <c r="F7" s="85">
        <f t="shared" si="0"/>
        <v>0.36034853921066096</v>
      </c>
      <c r="G7" s="85">
        <f t="shared" si="0"/>
        <v>0.36720856463124479</v>
      </c>
      <c r="H7" s="85">
        <f t="shared" si="0"/>
        <v>0.37410981279055111</v>
      </c>
      <c r="I7" s="85">
        <f t="shared" si="0"/>
        <v>0.38105166568166965</v>
      </c>
      <c r="J7" s="85">
        <f t="shared" si="0"/>
        <v>0.38803351404632802</v>
      </c>
      <c r="K7" s="85">
        <f t="shared" si="0"/>
        <v>0.3950547573289403</v>
      </c>
      <c r="L7" s="85">
        <f t="shared" si="0"/>
        <v>0.40211480362537733</v>
      </c>
      <c r="M7" s="85">
        <f t="shared" si="0"/>
        <v>0.40921306962688109</v>
      </c>
      <c r="N7" s="85">
        <f t="shared" si="0"/>
        <v>0.41634898055950659</v>
      </c>
      <c r="O7" s="85">
        <f t="shared" si="0"/>
        <v>0.4235219701194638</v>
      </c>
    </row>
    <row r="8" spans="1:15">
      <c r="B8" s="84">
        <v>4</v>
      </c>
      <c r="C8" s="85">
        <f t="shared" si="0"/>
        <v>0.25628109391166032</v>
      </c>
      <c r="D8" s="85">
        <f t="shared" si="0"/>
        <v>0.26262375267128762</v>
      </c>
      <c r="E8" s="85">
        <f t="shared" si="0"/>
        <v>0.26902704519308257</v>
      </c>
      <c r="F8" s="85">
        <f t="shared" si="0"/>
        <v>0.27549004536480204</v>
      </c>
      <c r="G8" s="85">
        <f t="shared" si="0"/>
        <v>0.2820118326034628</v>
      </c>
      <c r="H8" s="85">
        <f t="shared" si="0"/>
        <v>0.28859149237327314</v>
      </c>
      <c r="I8" s="85">
        <f t="shared" si="0"/>
        <v>0.29522811666726356</v>
      </c>
      <c r="J8" s="85">
        <f t="shared" si="0"/>
        <v>0.30192080445403913</v>
      </c>
      <c r="K8" s="85">
        <f t="shared" si="0"/>
        <v>0.30866866209109767</v>
      </c>
      <c r="L8" s="85">
        <f t="shared" si="0"/>
        <v>0.31547080370609765</v>
      </c>
      <c r="M8" s="85">
        <f t="shared" si="0"/>
        <v>0.32232635154746614</v>
      </c>
      <c r="N8" s="85">
        <f t="shared" si="0"/>
        <v>0.32923443630568966</v>
      </c>
      <c r="O8" s="85">
        <f t="shared" si="0"/>
        <v>0.33619419740661333</v>
      </c>
    </row>
    <row r="9" spans="1:15">
      <c r="B9" s="84">
        <v>5</v>
      </c>
      <c r="C9" s="85">
        <f t="shared" si="0"/>
        <v>0.20603979961588031</v>
      </c>
      <c r="D9" s="85">
        <f t="shared" si="0"/>
        <v>0.21215839410432219</v>
      </c>
      <c r="E9" s="85">
        <f t="shared" si="0"/>
        <v>0.21835457140057621</v>
      </c>
      <c r="F9" s="85">
        <f t="shared" si="0"/>
        <v>0.22462711349303363</v>
      </c>
      <c r="G9" s="85">
        <f t="shared" si="0"/>
        <v>0.23097479812826807</v>
      </c>
      <c r="H9" s="85">
        <f t="shared" si="0"/>
        <v>0.23739640043118937</v>
      </c>
      <c r="I9" s="85">
        <f t="shared" si="0"/>
        <v>0.24389069444137401</v>
      </c>
      <c r="J9" s="85">
        <f t="shared" si="0"/>
        <v>0.25045645456683646</v>
      </c>
      <c r="K9" s="85">
        <f t="shared" si="0"/>
        <v>0.25709245695674482</v>
      </c>
      <c r="L9" s="85">
        <f t="shared" si="0"/>
        <v>0.26379748079474524</v>
      </c>
      <c r="M9" s="85">
        <f t="shared" si="0"/>
        <v>0.27057030951473438</v>
      </c>
      <c r="N9" s="85">
        <f t="shared" si="0"/>
        <v>0.27740973194104873</v>
      </c>
      <c r="O9" s="85">
        <f t="shared" si="0"/>
        <v>0.28431454335515804</v>
      </c>
    </row>
    <row r="10" spans="1:15">
      <c r="B10" s="84">
        <v>6</v>
      </c>
      <c r="C10" s="85">
        <f t="shared" si="0"/>
        <v>0.17254836671088106</v>
      </c>
      <c r="D10" s="85">
        <f t="shared" si="0"/>
        <v>0.1785258123352024</v>
      </c>
      <c r="E10" s="85">
        <f t="shared" si="0"/>
        <v>0.18459750045017728</v>
      </c>
      <c r="F10" s="85">
        <f t="shared" si="0"/>
        <v>0.1907619025079538</v>
      </c>
      <c r="G10" s="85">
        <f t="shared" si="0"/>
        <v>0.19701746811018833</v>
      </c>
      <c r="H10" s="85">
        <f t="shared" si="0"/>
        <v>0.20336262847489528</v>
      </c>
      <c r="I10" s="85">
        <f t="shared" si="0"/>
        <v>0.20979579975832816</v>
      </c>
      <c r="J10" s="85">
        <f t="shared" si="0"/>
        <v>0.2163153862290097</v>
      </c>
      <c r="K10" s="85">
        <f t="shared" si="0"/>
        <v>0.22291978329203693</v>
      </c>
      <c r="L10" s="85">
        <f t="shared" si="0"/>
        <v>0.22960738036266726</v>
      </c>
      <c r="M10" s="85">
        <f t="shared" si="0"/>
        <v>0.23637656358903947</v>
      </c>
      <c r="N10" s="85">
        <f t="shared" si="0"/>
        <v>0.24322571842462917</v>
      </c>
      <c r="O10" s="85">
        <f t="shared" si="0"/>
        <v>0.25015323205172546</v>
      </c>
    </row>
    <row r="11" spans="1:15">
      <c r="B11" s="84">
        <v>7</v>
      </c>
      <c r="C11" s="85">
        <f t="shared" si="0"/>
        <v>0.14862828291411692</v>
      </c>
      <c r="D11" s="85">
        <f t="shared" si="0"/>
        <v>0.1545119561030997</v>
      </c>
      <c r="E11" s="85">
        <f t="shared" si="0"/>
        <v>0.16050635375427202</v>
      </c>
      <c r="F11" s="85">
        <f t="shared" si="0"/>
        <v>0.16660961203950414</v>
      </c>
      <c r="G11" s="85">
        <f t="shared" si="0"/>
        <v>0.17281981844617067</v>
      </c>
      <c r="H11" s="85">
        <f t="shared" si="0"/>
        <v>0.17913501805901069</v>
      </c>
      <c r="I11" s="85">
        <f t="shared" si="0"/>
        <v>0.18555321963115931</v>
      </c>
      <c r="J11" s="85">
        <f t="shared" si="0"/>
        <v>0.19207240142841048</v>
      </c>
      <c r="K11" s="85">
        <f t="shared" si="0"/>
        <v>0.1986905168335929</v>
      </c>
      <c r="L11" s="85">
        <f t="shared" si="0"/>
        <v>0.20540549970059557</v>
      </c>
      <c r="M11" s="85">
        <f t="shared" si="0"/>
        <v>0.21221526945009764</v>
      </c>
      <c r="N11" s="85">
        <f t="shared" si="0"/>
        <v>0.21911773590139078</v>
      </c>
      <c r="O11" s="85">
        <f t="shared" si="0"/>
        <v>0.22611080383684842</v>
      </c>
    </row>
    <row r="12" spans="1:15">
      <c r="B12" s="84">
        <v>8</v>
      </c>
      <c r="C12" s="85">
        <f t="shared" si="0"/>
        <v>0.13069029204331517</v>
      </c>
      <c r="D12" s="85">
        <f t="shared" si="0"/>
        <v>0.13650979913376274</v>
      </c>
      <c r="E12" s="85">
        <f t="shared" si="0"/>
        <v>0.14245638882723924</v>
      </c>
      <c r="F12" s="85">
        <f t="shared" si="0"/>
        <v>0.14852783204671277</v>
      </c>
      <c r="G12" s="85">
        <f t="shared" si="0"/>
        <v>0.15472181362768117</v>
      </c>
      <c r="H12" s="85">
        <f t="shared" si="0"/>
        <v>0.16103594264812895</v>
      </c>
      <c r="I12" s="85">
        <f t="shared" si="0"/>
        <v>0.16746776249075465</v>
      </c>
      <c r="J12" s="85">
        <f t="shared" si="0"/>
        <v>0.17401476059182211</v>
      </c>
      <c r="K12" s="85">
        <f t="shared" si="0"/>
        <v>0.18067437783749629</v>
      </c>
      <c r="L12" s="85">
        <f t="shared" si="0"/>
        <v>0.18744401757481335</v>
      </c>
      <c r="M12" s="85">
        <f t="shared" si="0"/>
        <v>0.19432105421050003</v>
      </c>
      <c r="N12" s="85">
        <f t="shared" si="0"/>
        <v>0.20130284137660018</v>
      </c>
      <c r="O12" s="85">
        <f t="shared" si="0"/>
        <v>0.20838671964727043</v>
      </c>
    </row>
    <row r="13" spans="1:15">
      <c r="B13" s="84">
        <v>9</v>
      </c>
      <c r="C13" s="85">
        <f t="shared" si="0"/>
        <v>0.11674036284968087</v>
      </c>
      <c r="D13" s="85">
        <f t="shared" si="0"/>
        <v>0.12251543737024126</v>
      </c>
      <c r="E13" s="85">
        <f t="shared" si="0"/>
        <v>0.12843385701810342</v>
      </c>
      <c r="F13" s="85">
        <f t="shared" si="0"/>
        <v>0.13449299269771522</v>
      </c>
      <c r="G13" s="85">
        <f t="shared" si="0"/>
        <v>0.14069007997578778</v>
      </c>
      <c r="H13" s="85">
        <f t="shared" si="0"/>
        <v>0.14702223500306361</v>
      </c>
      <c r="I13" s="85">
        <f t="shared" si="0"/>
        <v>0.15348647013842193</v>
      </c>
      <c r="J13" s="85">
        <f t="shared" si="0"/>
        <v>0.16007970917199468</v>
      </c>
      <c r="K13" s="85">
        <f t="shared" si="0"/>
        <v>0.1667988020571548</v>
      </c>
      <c r="L13" s="85">
        <f t="shared" si="0"/>
        <v>0.1736405390743434</v>
      </c>
      <c r="M13" s="85">
        <f t="shared" si="0"/>
        <v>0.18060166436255287</v>
      </c>
      <c r="N13" s="85">
        <f t="shared" si="0"/>
        <v>0.18767888876666056</v>
      </c>
      <c r="O13" s="85">
        <f t="shared" si="0"/>
        <v>0.19486890196058398</v>
      </c>
    </row>
    <row r="14" spans="1:15">
      <c r="B14" s="84">
        <v>10</v>
      </c>
      <c r="C14" s="85">
        <f t="shared" si="0"/>
        <v>0.10558207655117115</v>
      </c>
      <c r="D14" s="85">
        <f t="shared" si="0"/>
        <v>0.11132652786531647</v>
      </c>
      <c r="E14" s="85">
        <f t="shared" si="0"/>
        <v>0.11723050660515963</v>
      </c>
      <c r="F14" s="85">
        <f t="shared" si="0"/>
        <v>0.1232909443301364</v>
      </c>
      <c r="G14" s="85">
        <f t="shared" si="0"/>
        <v>0.1295045749654567</v>
      </c>
      <c r="H14" s="85">
        <f t="shared" si="0"/>
        <v>0.13586795822038372</v>
      </c>
      <c r="I14" s="85">
        <f t="shared" si="0"/>
        <v>0.14237750272736471</v>
      </c>
      <c r="J14" s="85">
        <f t="shared" si="0"/>
        <v>0.14902948869707539</v>
      </c>
      <c r="K14" s="85">
        <f t="shared" si="0"/>
        <v>0.15582008990903373</v>
      </c>
      <c r="L14" s="85">
        <f t="shared" si="0"/>
        <v>0.16274539488251155</v>
      </c>
      <c r="M14" s="85">
        <f t="shared" si="0"/>
        <v>0.16980142709749024</v>
      </c>
      <c r="N14" s="85">
        <f t="shared" si="0"/>
        <v>0.17698416415984405</v>
      </c>
      <c r="O14" s="85">
        <f t="shared" si="0"/>
        <v>0.1842895558283798</v>
      </c>
    </row>
    <row r="15" spans="1:15">
      <c r="B15" s="84">
        <v>11</v>
      </c>
      <c r="C15" s="85">
        <f t="shared" ref="C15:O24" si="1">(C$4*(1+C$4)^$B15)/(((1+C$4)^$B15)-1)</f>
        <v>9.6454075711263937E-2</v>
      </c>
      <c r="D15" s="85">
        <f t="shared" si="1"/>
        <v>0.10217794282364558</v>
      </c>
      <c r="E15" s="85">
        <f t="shared" si="1"/>
        <v>0.10807744784039247</v>
      </c>
      <c r="F15" s="85">
        <f t="shared" si="1"/>
        <v>0.11414903925875247</v>
      </c>
      <c r="G15" s="85">
        <f t="shared" si="1"/>
        <v>0.12038889149066806</v>
      </c>
      <c r="H15" s="85">
        <f t="shared" si="1"/>
        <v>0.12679293809753162</v>
      </c>
      <c r="I15" s="85">
        <f t="shared" si="1"/>
        <v>0.13335690483624488</v>
      </c>
      <c r="J15" s="85">
        <f t="shared" si="1"/>
        <v>0.14007634214449127</v>
      </c>
      <c r="K15" s="85">
        <f t="shared" si="1"/>
        <v>0.14694665673635587</v>
      </c>
      <c r="L15" s="85">
        <f t="shared" si="1"/>
        <v>0.15396314202461459</v>
      </c>
      <c r="M15" s="85">
        <f t="shared" si="1"/>
        <v>0.16112100713184244</v>
      </c>
      <c r="N15" s="85">
        <f t="shared" si="1"/>
        <v>0.16841540429774643</v>
      </c>
      <c r="O15" s="85">
        <f t="shared" si="1"/>
        <v>0.175841454533816</v>
      </c>
    </row>
    <row r="16" spans="1:15">
      <c r="B16" s="84">
        <v>12</v>
      </c>
      <c r="C16" s="85">
        <f t="shared" si="1"/>
        <v>8.8848788678341672E-2</v>
      </c>
      <c r="D16" s="85">
        <f t="shared" si="1"/>
        <v>9.4559596622951506E-2</v>
      </c>
      <c r="E16" s="85">
        <f t="shared" si="1"/>
        <v>0.10046208547296308</v>
      </c>
      <c r="F16" s="85">
        <f t="shared" si="1"/>
        <v>0.10655217268605649</v>
      </c>
      <c r="G16" s="85">
        <f t="shared" si="1"/>
        <v>0.11282541002081541</v>
      </c>
      <c r="H16" s="85">
        <f t="shared" si="1"/>
        <v>0.11927702938066355</v>
      </c>
      <c r="I16" s="85">
        <f t="shared" si="1"/>
        <v>0.12590198865502047</v>
      </c>
      <c r="J16" s="85">
        <f t="shared" si="1"/>
        <v>0.13269501692446953</v>
      </c>
      <c r="K16" s="85">
        <f t="shared" si="1"/>
        <v>0.13965065846950367</v>
      </c>
      <c r="L16" s="85">
        <f t="shared" si="1"/>
        <v>0.14676331510028726</v>
      </c>
      <c r="M16" s="85">
        <f t="shared" si="1"/>
        <v>0.15402728640498858</v>
      </c>
      <c r="N16" s="85">
        <f t="shared" si="1"/>
        <v>0.16143680759399573</v>
      </c>
      <c r="O16" s="85">
        <f t="shared" si="1"/>
        <v>0.16898608469454812</v>
      </c>
    </row>
    <row r="17" spans="2:15">
      <c r="B17" s="84">
        <v>13</v>
      </c>
      <c r="C17" s="85">
        <f t="shared" si="1"/>
        <v>8.2414819668440192E-2</v>
      </c>
      <c r="D17" s="85">
        <f t="shared" si="1"/>
        <v>8.8118352671695988E-2</v>
      </c>
      <c r="E17" s="85">
        <f t="shared" si="1"/>
        <v>9.4029543955328074E-2</v>
      </c>
      <c r="F17" s="85">
        <f t="shared" si="1"/>
        <v>0.10014372781403251</v>
      </c>
      <c r="G17" s="85">
        <f t="shared" si="1"/>
        <v>0.10645576516772763</v>
      </c>
      <c r="H17" s="85">
        <f t="shared" si="1"/>
        <v>0.11296010534001906</v>
      </c>
      <c r="I17" s="85">
        <f t="shared" si="1"/>
        <v>0.11965084813625726</v>
      </c>
      <c r="J17" s="85">
        <f t="shared" si="1"/>
        <v>0.12652180519655568</v>
      </c>
      <c r="K17" s="85">
        <f t="shared" si="1"/>
        <v>0.13356655971767886</v>
      </c>
      <c r="L17" s="85">
        <f t="shared" si="1"/>
        <v>0.14077852376730216</v>
      </c>
      <c r="M17" s="85">
        <f t="shared" si="1"/>
        <v>0.14815099254900796</v>
      </c>
      <c r="N17" s="85">
        <f t="shared" si="1"/>
        <v>0.15567719511131664</v>
      </c>
      <c r="O17" s="85">
        <f t="shared" si="1"/>
        <v>0.16335034112466362</v>
      </c>
    </row>
    <row r="18" spans="2:15">
      <c r="B18" s="84">
        <v>14</v>
      </c>
      <c r="C18" s="85">
        <f t="shared" si="1"/>
        <v>7.6901171669676374E-2</v>
      </c>
      <c r="D18" s="85">
        <f t="shared" si="1"/>
        <v>8.2601970184991866E-2</v>
      </c>
      <c r="E18" s="85">
        <f t="shared" si="1"/>
        <v>8.852633899066123E-2</v>
      </c>
      <c r="F18" s="85">
        <f t="shared" si="1"/>
        <v>9.4668973056399736E-2</v>
      </c>
      <c r="G18" s="85">
        <f t="shared" si="1"/>
        <v>0.10102396945726025</v>
      </c>
      <c r="H18" s="85">
        <f t="shared" si="1"/>
        <v>0.10758490900609533</v>
      </c>
      <c r="I18" s="85">
        <f t="shared" si="1"/>
        <v>0.11434493861984281</v>
      </c>
      <c r="J18" s="85">
        <f t="shared" si="1"/>
        <v>0.12129685282784076</v>
      </c>
      <c r="K18" s="85">
        <f t="shared" si="1"/>
        <v>0.128433173018556</v>
      </c>
      <c r="L18" s="85">
        <f t="shared" si="1"/>
        <v>0.13574622323063668</v>
      </c>
      <c r="M18" s="85">
        <f t="shared" si="1"/>
        <v>0.14322820151407875</v>
      </c>
      <c r="N18" s="85">
        <f t="shared" si="1"/>
        <v>0.1508712461076816</v>
      </c>
      <c r="O18" s="85">
        <f t="shared" si="1"/>
        <v>0.15866749589158358</v>
      </c>
    </row>
    <row r="19" spans="2:15">
      <c r="B19" s="84">
        <v>15</v>
      </c>
      <c r="C19" s="85">
        <f t="shared" si="1"/>
        <v>7.2123780184907699E-2</v>
      </c>
      <c r="D19" s="85">
        <f t="shared" si="1"/>
        <v>7.7825472250244179E-2</v>
      </c>
      <c r="E19" s="85">
        <f t="shared" si="1"/>
        <v>8.3766580462288048E-2</v>
      </c>
      <c r="F19" s="85">
        <f t="shared" si="1"/>
        <v>8.9941100370973137E-2</v>
      </c>
      <c r="G19" s="85">
        <f t="shared" si="1"/>
        <v>9.6342287609244348E-2</v>
      </c>
      <c r="H19" s="85">
        <f t="shared" si="1"/>
        <v>0.10296276395531262</v>
      </c>
      <c r="I19" s="85">
        <f t="shared" si="1"/>
        <v>0.10979462470100652</v>
      </c>
      <c r="J19" s="85">
        <f t="shared" si="1"/>
        <v>0.11682954493601999</v>
      </c>
      <c r="K19" s="85">
        <f t="shared" si="1"/>
        <v>0.12405888265031004</v>
      </c>
      <c r="L19" s="85">
        <f t="shared" si="1"/>
        <v>0.13147377688737219</v>
      </c>
      <c r="M19" s="85">
        <f t="shared" si="1"/>
        <v>0.13906523952966843</v>
      </c>
      <c r="N19" s="85">
        <f t="shared" si="1"/>
        <v>0.14682423964634631</v>
      </c>
      <c r="O19" s="85">
        <f t="shared" si="1"/>
        <v>0.15474177966779348</v>
      </c>
    </row>
    <row r="20" spans="2:15">
      <c r="B20" s="84">
        <v>16</v>
      </c>
      <c r="C20" s="85">
        <f t="shared" si="1"/>
        <v>6.7944596820894279E-2</v>
      </c>
      <c r="D20" s="85">
        <f t="shared" si="1"/>
        <v>7.365012586826164E-2</v>
      </c>
      <c r="E20" s="85">
        <f t="shared" si="1"/>
        <v>7.9610849265488115E-2</v>
      </c>
      <c r="F20" s="85">
        <f t="shared" si="1"/>
        <v>8.5819999221953491E-2</v>
      </c>
      <c r="G20" s="85">
        <f t="shared" si="1"/>
        <v>9.2269907977645726E-2</v>
      </c>
      <c r="H20" s="85">
        <f t="shared" si="1"/>
        <v>9.89521435893672E-2</v>
      </c>
      <c r="I20" s="85">
        <f t="shared" si="1"/>
        <v>0.1058576477262428</v>
      </c>
      <c r="J20" s="85">
        <f t="shared" si="1"/>
        <v>0.11297687198822257</v>
      </c>
      <c r="K20" s="85">
        <f t="shared" si="1"/>
        <v>0.12029990970758211</v>
      </c>
      <c r="L20" s="85">
        <f t="shared" si="1"/>
        <v>0.12781662070326982</v>
      </c>
      <c r="M20" s="85">
        <f t="shared" si="1"/>
        <v>0.13551674699657215</v>
      </c>
      <c r="N20" s="85">
        <f t="shared" si="1"/>
        <v>0.14339001803329363</v>
      </c>
      <c r="O20" s="85">
        <f t="shared" si="1"/>
        <v>0.15142624446732275</v>
      </c>
    </row>
    <row r="21" spans="2:15">
      <c r="B21" s="84">
        <v>17</v>
      </c>
      <c r="C21" s="85">
        <f t="shared" si="1"/>
        <v>6.4258055140113415E-2</v>
      </c>
      <c r="D21" s="85">
        <f t="shared" si="1"/>
        <v>6.996984080346913E-2</v>
      </c>
      <c r="E21" s="85">
        <f t="shared" si="1"/>
        <v>7.5952529375969871E-2</v>
      </c>
      <c r="F21" s="85">
        <f t="shared" si="1"/>
        <v>8.2198522089099377E-2</v>
      </c>
      <c r="G21" s="85">
        <f t="shared" si="1"/>
        <v>8.8699141731286082E-2</v>
      </c>
      <c r="H21" s="85">
        <f t="shared" si="1"/>
        <v>9.5444804231549843E-2</v>
      </c>
      <c r="I21" s="85">
        <f t="shared" si="1"/>
        <v>0.1024251930616656</v>
      </c>
      <c r="J21" s="85">
        <f t="shared" si="1"/>
        <v>0.1096294314987091</v>
      </c>
      <c r="K21" s="85">
        <f t="shared" si="1"/>
        <v>0.1170462484599244</v>
      </c>
      <c r="L21" s="85">
        <f t="shared" si="1"/>
        <v>0.12466413439263227</v>
      </c>
      <c r="M21" s="85">
        <f t="shared" si="1"/>
        <v>0.1324714845149256</v>
      </c>
      <c r="N21" s="85">
        <f t="shared" si="1"/>
        <v>0.1404567275071423</v>
      </c>
      <c r="O21" s="85">
        <f t="shared" si="1"/>
        <v>0.14860843850856903</v>
      </c>
    </row>
    <row r="22" spans="2:15">
      <c r="B22" s="84">
        <v>18</v>
      </c>
      <c r="C22" s="85">
        <f t="shared" si="1"/>
        <v>6.0982047895301227E-2</v>
      </c>
      <c r="D22" s="85">
        <f t="shared" si="1"/>
        <v>6.6702102150790948E-2</v>
      </c>
      <c r="E22" s="85">
        <f t="shared" si="1"/>
        <v>7.2708695896296999E-2</v>
      </c>
      <c r="F22" s="85">
        <f t="shared" si="1"/>
        <v>7.8993328144302433E-2</v>
      </c>
      <c r="G22" s="85">
        <f t="shared" si="1"/>
        <v>8.5546222319736021E-2</v>
      </c>
      <c r="H22" s="85">
        <f t="shared" si="1"/>
        <v>9.2356540552870889E-2</v>
      </c>
      <c r="I22" s="85">
        <f t="shared" si="1"/>
        <v>9.9412601658362007E-2</v>
      </c>
      <c r="J22" s="85">
        <f t="shared" si="1"/>
        <v>0.10670209590483774</v>
      </c>
      <c r="K22" s="85">
        <f t="shared" si="1"/>
        <v>0.11421229067033986</v>
      </c>
      <c r="L22" s="85">
        <f t="shared" si="1"/>
        <v>0.12193022222225659</v>
      </c>
      <c r="M22" s="85">
        <f t="shared" si="1"/>
        <v>0.12984287006091891</v>
      </c>
      <c r="N22" s="85">
        <f t="shared" si="1"/>
        <v>0.13793731144175672</v>
      </c>
      <c r="O22" s="85">
        <f t="shared" si="1"/>
        <v>0.14620085477757025</v>
      </c>
    </row>
    <row r="23" spans="2:15">
      <c r="B23" s="84">
        <v>19</v>
      </c>
      <c r="C23" s="85">
        <f t="shared" si="1"/>
        <v>5.8051753558352626E-2</v>
      </c>
      <c r="D23" s="85">
        <f t="shared" si="1"/>
        <v>6.3781766302537068E-2</v>
      </c>
      <c r="E23" s="85">
        <f t="shared" si="1"/>
        <v>6.9813880562058783E-2</v>
      </c>
      <c r="F23" s="85">
        <f t="shared" si="1"/>
        <v>7.6138618402177505E-2</v>
      </c>
      <c r="G23" s="85">
        <f t="shared" si="1"/>
        <v>8.2745010381756232E-2</v>
      </c>
      <c r="H23" s="85">
        <f t="shared" si="1"/>
        <v>8.9620860361667595E-2</v>
      </c>
      <c r="I23" s="85">
        <f t="shared" si="1"/>
        <v>9.6753014849926045E-2</v>
      </c>
      <c r="J23" s="85">
        <f t="shared" si="1"/>
        <v>0.10412762748317211</v>
      </c>
      <c r="K23" s="85">
        <f t="shared" si="1"/>
        <v>0.11173041068840939</v>
      </c>
      <c r="L23" s="85">
        <f t="shared" si="1"/>
        <v>0.11954686823465582</v>
      </c>
      <c r="M23" s="85">
        <f t="shared" si="1"/>
        <v>0.12756250412046147</v>
      </c>
      <c r="N23" s="85">
        <f t="shared" si="1"/>
        <v>0.13576300492250343</v>
      </c>
      <c r="O23" s="85">
        <f t="shared" si="1"/>
        <v>0.14413439425563346</v>
      </c>
    </row>
    <row r="24" spans="2:15">
      <c r="B24" s="84">
        <v>20</v>
      </c>
      <c r="C24" s="85">
        <f t="shared" si="1"/>
        <v>5.5415314890551334E-2</v>
      </c>
      <c r="D24" s="85">
        <f t="shared" si="1"/>
        <v>6.1156718125290395E-2</v>
      </c>
      <c r="E24" s="85">
        <f t="shared" si="1"/>
        <v>6.7215707596859159E-2</v>
      </c>
      <c r="F24" s="85">
        <f t="shared" si="1"/>
        <v>7.3581750328628834E-2</v>
      </c>
      <c r="G24" s="85">
        <f t="shared" si="1"/>
        <v>8.0242587190691314E-2</v>
      </c>
      <c r="H24" s="85">
        <f t="shared" si="1"/>
        <v>8.7184556976851402E-2</v>
      </c>
      <c r="I24" s="85">
        <f t="shared" si="1"/>
        <v>9.4392925743255696E-2</v>
      </c>
      <c r="J24" s="85">
        <f t="shared" si="1"/>
        <v>0.10185220882315059</v>
      </c>
      <c r="K24" s="85">
        <f t="shared" si="1"/>
        <v>0.10954647500822921</v>
      </c>
      <c r="L24" s="85">
        <f t="shared" si="1"/>
        <v>0.11745962477254576</v>
      </c>
      <c r="M24" s="85">
        <f t="shared" si="1"/>
        <v>0.12557563687714221</v>
      </c>
      <c r="N24" s="85">
        <f t="shared" si="1"/>
        <v>0.13387878003966064</v>
      </c>
      <c r="O24" s="85">
        <f t="shared" si="1"/>
        <v>0.14235378844181082</v>
      </c>
    </row>
    <row r="25" spans="2:15">
      <c r="B25" s="84">
        <v>21</v>
      </c>
      <c r="C25" s="85">
        <f t="shared" ref="C25:O37" si="2">(C$4*(1+C$4)^$B25)/(((1+C$4)^$B25)-1)</f>
        <v>5.3030752207021949E-2</v>
      </c>
      <c r="D25" s="85">
        <f t="shared" si="2"/>
        <v>5.8784768943460665E-2</v>
      </c>
      <c r="E25" s="85">
        <f t="shared" si="2"/>
        <v>6.487177646650362E-2</v>
      </c>
      <c r="F25" s="85">
        <f t="shared" si="2"/>
        <v>7.1280105421267892E-2</v>
      </c>
      <c r="G25" s="85">
        <f t="shared" si="2"/>
        <v>7.7996107123809139E-2</v>
      </c>
      <c r="H25" s="85">
        <f t="shared" si="2"/>
        <v>8.500454665438209E-2</v>
      </c>
      <c r="I25" s="85">
        <f t="shared" si="2"/>
        <v>9.2289001664269052E-2</v>
      </c>
      <c r="J25" s="85">
        <f t="shared" si="2"/>
        <v>9.9832250321928537E-2</v>
      </c>
      <c r="K25" s="85">
        <f t="shared" si="2"/>
        <v>0.1076166347678985</v>
      </c>
      <c r="L25" s="85">
        <f t="shared" si="2"/>
        <v>0.11562438980835625</v>
      </c>
      <c r="M25" s="85">
        <f t="shared" si="2"/>
        <v>0.12383793000384771</v>
      </c>
      <c r="N25" s="85">
        <f t="shared" si="2"/>
        <v>0.13224009151946137</v>
      </c>
      <c r="O25" s="85">
        <f t="shared" si="2"/>
        <v>0.14081432789631798</v>
      </c>
    </row>
    <row r="26" spans="2:15">
      <c r="B26" s="84">
        <v>22</v>
      </c>
      <c r="C26" s="85">
        <f t="shared" si="2"/>
        <v>5.086371847814964E-2</v>
      </c>
      <c r="D26" s="85">
        <f t="shared" si="2"/>
        <v>5.663140052738308E-2</v>
      </c>
      <c r="E26" s="85">
        <f t="shared" si="2"/>
        <v>6.2747394791715136E-2</v>
      </c>
      <c r="F26" s="85">
        <f t="shared" si="2"/>
        <v>6.9198811088690373E-2</v>
      </c>
      <c r="G26" s="85">
        <f t="shared" si="2"/>
        <v>7.5970508556385485E-2</v>
      </c>
      <c r="H26" s="85">
        <f t="shared" si="2"/>
        <v>8.3045568547600784E-2</v>
      </c>
      <c r="I26" s="85">
        <f t="shared" si="2"/>
        <v>9.0405773225133962E-2</v>
      </c>
      <c r="J26" s="85">
        <f t="shared" si="2"/>
        <v>9.8032068359628022E-2</v>
      </c>
      <c r="K26" s="85">
        <f t="shared" si="2"/>
        <v>0.10590499295055286</v>
      </c>
      <c r="L26" s="85">
        <f t="shared" si="2"/>
        <v>0.11400506295047944</v>
      </c>
      <c r="M26" s="85">
        <f t="shared" si="2"/>
        <v>0.12231310105701836</v>
      </c>
      <c r="N26" s="85">
        <f t="shared" si="2"/>
        <v>0.13081050884096077</v>
      </c>
      <c r="O26" s="85">
        <f t="shared" si="2"/>
        <v>0.13947948113192074</v>
      </c>
    </row>
    <row r="27" spans="2:15">
      <c r="B27" s="84">
        <v>23</v>
      </c>
      <c r="C27" s="85">
        <f t="shared" si="2"/>
        <v>4.8885840056718394E-2</v>
      </c>
      <c r="D27" s="85">
        <f t="shared" si="2"/>
        <v>5.4668097606317322E-2</v>
      </c>
      <c r="E27" s="85">
        <f t="shared" si="2"/>
        <v>6.0813902675464278E-2</v>
      </c>
      <c r="F27" s="85">
        <f t="shared" si="2"/>
        <v>6.7309056824482683E-2</v>
      </c>
      <c r="G27" s="85">
        <f t="shared" si="2"/>
        <v>7.4136821920174886E-2</v>
      </c>
      <c r="H27" s="85">
        <f t="shared" si="2"/>
        <v>8.1278484688788899E-2</v>
      </c>
      <c r="I27" s="85">
        <f t="shared" si="2"/>
        <v>8.871392625222356E-2</v>
      </c>
      <c r="J27" s="85">
        <f t="shared" si="2"/>
        <v>9.642216915082133E-2</v>
      </c>
      <c r="K27" s="85">
        <f t="shared" si="2"/>
        <v>0.10438188004569758</v>
      </c>
      <c r="L27" s="85">
        <f t="shared" si="2"/>
        <v>0.1125718126571046</v>
      </c>
      <c r="M27" s="85">
        <f t="shared" si="2"/>
        <v>0.12097118179002064</v>
      </c>
      <c r="N27" s="85">
        <f t="shared" si="2"/>
        <v>0.12955996496003661</v>
      </c>
      <c r="O27" s="85">
        <f t="shared" si="2"/>
        <v>0.13831913280483482</v>
      </c>
    </row>
    <row r="28" spans="2:15">
      <c r="B28" s="84">
        <v>24</v>
      </c>
      <c r="C28" s="85">
        <f t="shared" si="2"/>
        <v>4.7073472223264641E-2</v>
      </c>
      <c r="D28" s="85">
        <f t="shared" si="2"/>
        <v>5.2871097253249906E-2</v>
      </c>
      <c r="E28" s="85">
        <f t="shared" si="2"/>
        <v>5.9047415948969902E-2</v>
      </c>
      <c r="F28" s="85">
        <f t="shared" si="2"/>
        <v>6.5586831339868978E-2</v>
      </c>
      <c r="G28" s="85">
        <f t="shared" si="2"/>
        <v>7.2470900752687001E-2</v>
      </c>
      <c r="H28" s="85">
        <f t="shared" si="2"/>
        <v>7.9679004983543369E-2</v>
      </c>
      <c r="I28" s="85">
        <f t="shared" si="2"/>
        <v>8.7189020734440473E-2</v>
      </c>
      <c r="J28" s="85">
        <f t="shared" si="2"/>
        <v>9.4977961603549391E-2</v>
      </c>
      <c r="K28" s="85">
        <f t="shared" si="2"/>
        <v>0.10302256067901301</v>
      </c>
      <c r="L28" s="85">
        <f t="shared" si="2"/>
        <v>0.11129977635068779</v>
      </c>
      <c r="M28" s="85">
        <f t="shared" si="2"/>
        <v>0.11978721127558456</v>
      </c>
      <c r="N28" s="85">
        <f t="shared" si="2"/>
        <v>0.12846344174421481</v>
      </c>
      <c r="O28" s="85">
        <f t="shared" si="2"/>
        <v>0.13730826054406761</v>
      </c>
    </row>
    <row r="29" spans="2:15">
      <c r="B29" s="84">
        <v>25</v>
      </c>
      <c r="C29" s="85">
        <f t="shared" si="2"/>
        <v>4.540675340054795E-2</v>
      </c>
      <c r="D29" s="85">
        <f t="shared" si="2"/>
        <v>5.122043841739473E-2</v>
      </c>
      <c r="E29" s="85">
        <f t="shared" si="2"/>
        <v>5.7427871039127817E-2</v>
      </c>
      <c r="F29" s="85">
        <f t="shared" si="2"/>
        <v>6.4011962786454574E-2</v>
      </c>
      <c r="G29" s="85">
        <f t="shared" si="2"/>
        <v>7.0952457299229624E-2</v>
      </c>
      <c r="H29" s="85">
        <f t="shared" si="2"/>
        <v>7.8226718212273949E-2</v>
      </c>
      <c r="I29" s="85">
        <f t="shared" si="2"/>
        <v>8.5810517220665614E-2</v>
      </c>
      <c r="J29" s="85">
        <f t="shared" si="2"/>
        <v>9.3678779051968114E-2</v>
      </c>
      <c r="K29" s="85">
        <f t="shared" si="2"/>
        <v>0.10180625051857181</v>
      </c>
      <c r="L29" s="85">
        <f t="shared" si="2"/>
        <v>0.11016807219002084</v>
      </c>
      <c r="M29" s="85">
        <f t="shared" si="2"/>
        <v>0.11874024205405564</v>
      </c>
      <c r="N29" s="85">
        <f t="shared" si="2"/>
        <v>0.12749996980950773</v>
      </c>
      <c r="O29" s="85">
        <f t="shared" si="2"/>
        <v>0.13642592760257582</v>
      </c>
    </row>
    <row r="30" spans="2:15">
      <c r="B30" s="84">
        <v>26</v>
      </c>
      <c r="C30" s="85">
        <f t="shared" si="2"/>
        <v>4.3868877626220805E-2</v>
      </c>
      <c r="D30" s="85">
        <f t="shared" si="2"/>
        <v>4.9699230795395191E-2</v>
      </c>
      <c r="E30" s="85">
        <f t="shared" si="2"/>
        <v>5.5938290251584366E-2</v>
      </c>
      <c r="F30" s="85">
        <f t="shared" si="2"/>
        <v>6.2567380467764278E-2</v>
      </c>
      <c r="G30" s="85">
        <f t="shared" si="2"/>
        <v>6.9564320672150431E-2</v>
      </c>
      <c r="H30" s="85">
        <f t="shared" si="2"/>
        <v>7.6904346650298452E-2</v>
      </c>
      <c r="I30" s="85">
        <f t="shared" si="2"/>
        <v>8.4561027886463649E-2</v>
      </c>
      <c r="J30" s="85">
        <f t="shared" si="2"/>
        <v>9.2507126693840827E-2</v>
      </c>
      <c r="K30" s="85">
        <f t="shared" si="2"/>
        <v>0.10071535990380806</v>
      </c>
      <c r="L30" s="85">
        <f t="shared" si="2"/>
        <v>0.1091590385678831</v>
      </c>
      <c r="M30" s="85">
        <f t="shared" si="2"/>
        <v>0.1178125750066952</v>
      </c>
      <c r="N30" s="85">
        <f t="shared" si="2"/>
        <v>0.12665185810228879</v>
      </c>
      <c r="O30" s="85">
        <f t="shared" si="2"/>
        <v>0.13565450633120635</v>
      </c>
    </row>
    <row r="31" spans="2:15">
      <c r="B31" s="84">
        <v>27</v>
      </c>
      <c r="C31" s="85">
        <f t="shared" si="2"/>
        <v>4.244552869823974E-2</v>
      </c>
      <c r="D31" s="85">
        <f t="shared" si="2"/>
        <v>4.8293086175638163E-2</v>
      </c>
      <c r="E31" s="85">
        <f t="shared" si="2"/>
        <v>5.4564210324643488E-2</v>
      </c>
      <c r="F31" s="85">
        <f t="shared" si="2"/>
        <v>6.1238540616435688E-2</v>
      </c>
      <c r="G31" s="85">
        <f t="shared" si="2"/>
        <v>6.8291859866693713E-2</v>
      </c>
      <c r="H31" s="85">
        <f t="shared" si="2"/>
        <v>7.5697166329469531E-2</v>
      </c>
      <c r="I31" s="85">
        <f t="shared" si="2"/>
        <v>8.3425734017789133E-2</v>
      </c>
      <c r="J31" s="85">
        <f t="shared" si="2"/>
        <v>9.1448096207564403E-2</v>
      </c>
      <c r="K31" s="85">
        <f t="shared" si="2"/>
        <v>9.9734905402559734E-2</v>
      </c>
      <c r="L31" s="85">
        <f t="shared" si="2"/>
        <v>0.108257642276178</v>
      </c>
      <c r="M31" s="85">
        <f t="shared" si="2"/>
        <v>0.1169891636410052</v>
      </c>
      <c r="N31" s="85">
        <f t="shared" si="2"/>
        <v>0.12590409366873373</v>
      </c>
      <c r="O31" s="85">
        <f t="shared" si="2"/>
        <v>0.13497907268423875</v>
      </c>
    </row>
    <row r="32" spans="2:15">
      <c r="B32" s="84">
        <v>28</v>
      </c>
      <c r="C32" s="85">
        <f t="shared" si="2"/>
        <v>4.1124435574831704E-2</v>
      </c>
      <c r="D32" s="85">
        <f t="shared" si="2"/>
        <v>4.6989671637400962E-2</v>
      </c>
      <c r="E32" s="85">
        <f t="shared" si="2"/>
        <v>5.329323343628501E-2</v>
      </c>
      <c r="F32" s="85">
        <f t="shared" si="2"/>
        <v>6.0012975220537092E-2</v>
      </c>
      <c r="G32" s="85">
        <f t="shared" si="2"/>
        <v>6.7122530418771753E-2</v>
      </c>
      <c r="H32" s="85">
        <f t="shared" si="2"/>
        <v>7.4592551529192863E-2</v>
      </c>
      <c r="I32" s="85">
        <f t="shared" si="2"/>
        <v>8.2391928303198941E-2</v>
      </c>
      <c r="J32" s="85">
        <f t="shared" si="2"/>
        <v>9.048890574580952E-2</v>
      </c>
      <c r="K32" s="85">
        <f t="shared" si="2"/>
        <v>9.8852047302250778E-2</v>
      </c>
      <c r="L32" s="85">
        <f t="shared" si="2"/>
        <v>0.10745101315901434</v>
      </c>
      <c r="M32" s="85">
        <f t="shared" si="2"/>
        <v>0.11625714543033068</v>
      </c>
      <c r="N32" s="85">
        <f t="shared" si="2"/>
        <v>0.12524386908435101</v>
      </c>
      <c r="O32" s="85">
        <f t="shared" si="2"/>
        <v>0.13438692906686217</v>
      </c>
    </row>
    <row r="33" spans="2:15">
      <c r="B33" s="84">
        <v>29</v>
      </c>
      <c r="C33" s="85">
        <f t="shared" si="2"/>
        <v>3.9895019760675471E-2</v>
      </c>
      <c r="D33" s="85">
        <f t="shared" si="2"/>
        <v>4.5778355191595607E-2</v>
      </c>
      <c r="E33" s="85">
        <f t="shared" si="2"/>
        <v>5.2114671106632586E-2</v>
      </c>
      <c r="F33" s="85">
        <f t="shared" si="2"/>
        <v>5.8879934197384111E-2</v>
      </c>
      <c r="G33" s="85">
        <f t="shared" si="2"/>
        <v>6.6045514859528212E-2</v>
      </c>
      <c r="H33" s="85">
        <f t="shared" si="2"/>
        <v>7.3579613508791789E-2</v>
      </c>
      <c r="I33" s="85">
        <f t="shared" si="2"/>
        <v>8.144865180455016E-2</v>
      </c>
      <c r="J33" s="85">
        <f t="shared" si="2"/>
        <v>8.9618535035563648E-2</v>
      </c>
      <c r="K33" s="85">
        <f t="shared" si="2"/>
        <v>9.8055722627976252E-2</v>
      </c>
      <c r="L33" s="85">
        <f t="shared" si="2"/>
        <v>0.10672807471434809</v>
      </c>
      <c r="M33" s="85">
        <f t="shared" si="2"/>
        <v>0.11560546954252057</v>
      </c>
      <c r="N33" s="85">
        <f t="shared" si="2"/>
        <v>0.12466020675910736</v>
      </c>
      <c r="O33" s="85">
        <f t="shared" si="2"/>
        <v>0.13386722462543782</v>
      </c>
    </row>
    <row r="34" spans="2:15">
      <c r="B34" s="84">
        <v>30</v>
      </c>
      <c r="C34" s="85">
        <f t="shared" si="2"/>
        <v>3.8748113215847091E-2</v>
      </c>
      <c r="D34" s="85">
        <f t="shared" si="2"/>
        <v>4.464992229340297E-2</v>
      </c>
      <c r="E34" s="85">
        <f t="shared" si="2"/>
        <v>5.10192593202526E-2</v>
      </c>
      <c r="F34" s="85">
        <f t="shared" si="2"/>
        <v>5.78300991336613E-2</v>
      </c>
      <c r="G34" s="85">
        <f t="shared" si="2"/>
        <v>6.5051435080276582E-2</v>
      </c>
      <c r="H34" s="85">
        <f t="shared" si="2"/>
        <v>7.2648911490047194E-2</v>
      </c>
      <c r="I34" s="85">
        <f t="shared" si="2"/>
        <v>8.0586403511111196E-2</v>
      </c>
      <c r="J34" s="85">
        <f t="shared" si="2"/>
        <v>8.8827433387272267E-2</v>
      </c>
      <c r="K34" s="85">
        <f t="shared" si="2"/>
        <v>9.7336351390889794E-2</v>
      </c>
      <c r="L34" s="85">
        <f t="shared" si="2"/>
        <v>0.1060792482526339</v>
      </c>
      <c r="M34" s="85">
        <f t="shared" si="2"/>
        <v>0.11502459847639437</v>
      </c>
      <c r="N34" s="85">
        <f t="shared" si="2"/>
        <v>0.12414365755194319</v>
      </c>
      <c r="O34" s="85">
        <f t="shared" si="2"/>
        <v>0.13341065033140484</v>
      </c>
    </row>
    <row r="35" spans="2:15">
      <c r="B35" s="84">
        <v>35</v>
      </c>
      <c r="C35" s="85">
        <f t="shared" si="2"/>
        <v>3.4003681817336442E-2</v>
      </c>
      <c r="D35" s="85">
        <f t="shared" si="2"/>
        <v>4.0002209190750142E-2</v>
      </c>
      <c r="E35" s="85">
        <f t="shared" si="2"/>
        <v>4.6539291569599503E-2</v>
      </c>
      <c r="F35" s="85">
        <f t="shared" si="2"/>
        <v>5.3577322368260537E-2</v>
      </c>
      <c r="G35" s="85">
        <f t="shared" si="2"/>
        <v>6.1071707230849821E-2</v>
      </c>
      <c r="H35" s="85">
        <f t="shared" si="2"/>
        <v>6.8973858979663238E-2</v>
      </c>
      <c r="I35" s="85">
        <f t="shared" si="2"/>
        <v>7.7233959649003259E-2</v>
      </c>
      <c r="J35" s="85">
        <f t="shared" si="2"/>
        <v>8.5803264560679798E-2</v>
      </c>
      <c r="K35" s="85">
        <f t="shared" si="2"/>
        <v>9.4635837474221912E-2</v>
      </c>
      <c r="L35" s="85">
        <f t="shared" si="2"/>
        <v>0.10368970511989745</v>
      </c>
      <c r="M35" s="85">
        <f t="shared" si="2"/>
        <v>0.11292748998311637</v>
      </c>
      <c r="N35" s="85">
        <f t="shared" si="2"/>
        <v>0.12231661932993036</v>
      </c>
      <c r="O35" s="85">
        <f t="shared" si="2"/>
        <v>0.13182922093714255</v>
      </c>
    </row>
    <row r="36" spans="2:15">
      <c r="B36" s="84">
        <v>40</v>
      </c>
      <c r="C36" s="85">
        <f t="shared" si="2"/>
        <v>3.0455597977376604E-2</v>
      </c>
      <c r="D36" s="85">
        <f t="shared" si="2"/>
        <v>3.65557477973475E-2</v>
      </c>
      <c r="E36" s="85">
        <f t="shared" si="2"/>
        <v>4.3262377890462896E-2</v>
      </c>
      <c r="F36" s="85">
        <f t="shared" si="2"/>
        <v>5.0523489324422195E-2</v>
      </c>
      <c r="G36" s="85">
        <f t="shared" si="2"/>
        <v>5.8278161166035E-2</v>
      </c>
      <c r="H36" s="85">
        <f t="shared" si="2"/>
        <v>6.6461535920675496E-2</v>
      </c>
      <c r="I36" s="85">
        <f t="shared" si="2"/>
        <v>7.5009138873610326E-2</v>
      </c>
      <c r="J36" s="85">
        <f t="shared" si="2"/>
        <v>8.3860161500585326E-2</v>
      </c>
      <c r="K36" s="85">
        <f t="shared" si="2"/>
        <v>9.2959609221097042E-2</v>
      </c>
      <c r="L36" s="85">
        <f t="shared" si="2"/>
        <v>0.10225941441436948</v>
      </c>
      <c r="M36" s="85">
        <f t="shared" si="2"/>
        <v>0.11171872670841716</v>
      </c>
      <c r="N36" s="85">
        <f t="shared" si="2"/>
        <v>0.12130362558292027</v>
      </c>
      <c r="O36" s="85">
        <f t="shared" si="2"/>
        <v>0.13098648102400198</v>
      </c>
    </row>
    <row r="37" spans="2:15">
      <c r="B37" s="84">
        <v>45</v>
      </c>
      <c r="C37" s="85">
        <f t="shared" si="2"/>
        <v>2.7705045537875873E-2</v>
      </c>
      <c r="D37" s="85">
        <f t="shared" si="2"/>
        <v>3.3909616097557285E-2</v>
      </c>
      <c r="E37" s="85">
        <f t="shared" si="2"/>
        <v>4.078517574364434E-2</v>
      </c>
      <c r="F37" s="85">
        <f t="shared" si="2"/>
        <v>4.8262455781799926E-2</v>
      </c>
      <c r="G37" s="85">
        <f t="shared" si="2"/>
        <v>5.626173465237521E-2</v>
      </c>
      <c r="H37" s="85">
        <f t="shared" si="2"/>
        <v>6.4700495832666793E-2</v>
      </c>
      <c r="I37" s="85">
        <f t="shared" si="2"/>
        <v>7.3499570994822933E-2</v>
      </c>
      <c r="J37" s="85">
        <f t="shared" si="2"/>
        <v>8.2587284518093523E-2</v>
      </c>
      <c r="K37" s="85">
        <f t="shared" si="2"/>
        <v>9.1901651402557002E-2</v>
      </c>
      <c r="L37" s="85">
        <f t="shared" si="2"/>
        <v>0.10139100469038466</v>
      </c>
      <c r="M37" s="85">
        <f t="shared" si="2"/>
        <v>0.1110135423863178</v>
      </c>
      <c r="N37" s="85">
        <f t="shared" si="2"/>
        <v>0.12073625231091167</v>
      </c>
      <c r="O37" s="85">
        <f t="shared" si="2"/>
        <v>0.1305335710556198</v>
      </c>
    </row>
  </sheetData>
  <sheetProtection sheet="1" formatCells="0" formatColumns="0" formatRows="0"/>
  <pageMargins left="0.75" right="0.75" top="1" bottom="1"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3"/>
  <sheetViews>
    <sheetView view="pageBreakPreview" zoomScale="115" zoomScaleNormal="100" zoomScaleSheetLayoutView="115" workbookViewId="0">
      <selection activeCell="A5" sqref="A5"/>
    </sheetView>
  </sheetViews>
  <sheetFormatPr defaultColWidth="8.85546875" defaultRowHeight="12.75"/>
  <cols>
    <col min="1" max="1" width="47" customWidth="1"/>
    <col min="2" max="2" width="20.2851562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11" ht="18.75" thickBot="1">
      <c r="A1" s="1197" t="s">
        <v>1343</v>
      </c>
      <c r="B1" s="813"/>
      <c r="C1" s="813"/>
      <c r="D1" s="813"/>
      <c r="E1" s="813"/>
      <c r="F1" s="839"/>
    </row>
    <row r="2" spans="1:11" ht="18.75" thickBot="1">
      <c r="A2" s="1198" t="s">
        <v>1344</v>
      </c>
      <c r="B2" s="1220"/>
      <c r="C2" s="1221"/>
      <c r="D2" s="1222"/>
      <c r="E2" s="1225"/>
      <c r="F2" s="841"/>
    </row>
    <row r="3" spans="1:11" ht="18.75" thickBot="1">
      <c r="A3" s="1199"/>
      <c r="B3" s="247" t="s">
        <v>188</v>
      </c>
      <c r="C3" s="1223"/>
      <c r="D3" s="1224"/>
      <c r="F3" s="1200"/>
    </row>
    <row r="4" spans="1:11" ht="18">
      <c r="A4" s="814"/>
      <c r="B4" s="249"/>
      <c r="F4" s="1200"/>
    </row>
    <row r="5" spans="1:11" ht="18">
      <c r="A5" s="1201" t="s">
        <v>1345</v>
      </c>
      <c r="B5" s="249"/>
      <c r="D5" s="250"/>
      <c r="E5" s="247"/>
      <c r="F5" s="1200"/>
    </row>
    <row r="6" spans="1:11" ht="16.5" thickBot="1">
      <c r="A6" s="1201" t="s">
        <v>417</v>
      </c>
      <c r="B6" s="1" t="s">
        <v>418</v>
      </c>
      <c r="C6" s="252" t="s">
        <v>146</v>
      </c>
      <c r="D6" s="252" t="s">
        <v>147</v>
      </c>
      <c r="E6" s="252" t="s">
        <v>419</v>
      </c>
      <c r="F6" s="1202" t="s">
        <v>235</v>
      </c>
      <c r="G6" s="521" t="s">
        <v>159</v>
      </c>
      <c r="H6" s="252" t="s">
        <v>420</v>
      </c>
    </row>
    <row r="7" spans="1:11" ht="21.75" customHeight="1" thickBot="1">
      <c r="A7" s="1203" t="s">
        <v>892</v>
      </c>
      <c r="B7" s="254"/>
      <c r="C7" s="255"/>
      <c r="D7" s="256"/>
      <c r="E7" s="257"/>
      <c r="F7" s="1204"/>
      <c r="G7" s="1032"/>
      <c r="H7" s="1031"/>
    </row>
    <row r="8" spans="1:11" ht="21.75" customHeight="1">
      <c r="A8" s="1205" t="s">
        <v>424</v>
      </c>
      <c r="B8" s="261"/>
      <c r="C8" s="262"/>
      <c r="D8" s="261"/>
      <c r="E8" s="263"/>
      <c r="F8" s="1204"/>
      <c r="G8" s="1032"/>
      <c r="H8" s="1031"/>
    </row>
    <row r="9" spans="1:11" ht="21.75" customHeight="1">
      <c r="A9" s="1206" t="s">
        <v>424</v>
      </c>
      <c r="B9" s="265"/>
      <c r="C9" s="266"/>
      <c r="D9" s="265"/>
      <c r="E9" s="267"/>
      <c r="F9" s="1204"/>
      <c r="G9" s="1032"/>
      <c r="H9" s="1031"/>
    </row>
    <row r="10" spans="1:11" ht="21.75" customHeight="1">
      <c r="A10" s="1206"/>
      <c r="B10" s="265"/>
      <c r="C10" s="266"/>
      <c r="D10" s="265"/>
      <c r="E10" s="267"/>
      <c r="F10" s="1204"/>
      <c r="G10" s="1032"/>
      <c r="H10" s="1031"/>
    </row>
    <row r="11" spans="1:11" ht="21.75" customHeight="1" thickBot="1">
      <c r="A11" s="1207" t="s">
        <v>425</v>
      </c>
      <c r="B11" s="273"/>
      <c r="C11" s="274"/>
      <c r="D11" s="273"/>
      <c r="E11" s="275"/>
      <c r="F11" s="1204"/>
      <c r="G11" s="1032"/>
      <c r="H11" s="1031"/>
    </row>
    <row r="12" spans="1:11" ht="16.5" thickBot="1">
      <c r="A12" s="1201" t="s">
        <v>426</v>
      </c>
      <c r="B12" s="1"/>
      <c r="C12" s="14"/>
      <c r="D12" s="14"/>
      <c r="E12" s="14"/>
      <c r="F12" s="1033"/>
      <c r="G12" s="1032"/>
      <c r="H12" s="1031"/>
    </row>
    <row r="13" spans="1:11">
      <c r="A13" s="814"/>
      <c r="F13" s="841"/>
      <c r="G13" s="52"/>
      <c r="H13" s="52"/>
    </row>
    <row r="14" spans="1:11">
      <c r="A14" s="814"/>
      <c r="F14" s="841"/>
      <c r="G14" s="52"/>
      <c r="H14" s="52"/>
    </row>
    <row r="15" spans="1:11" s="247" customFormat="1" ht="18">
      <c r="A15" s="842" t="s">
        <v>1346</v>
      </c>
      <c r="B15" s="86" t="s">
        <v>427</v>
      </c>
      <c r="C15" s="252" t="s">
        <v>146</v>
      </c>
      <c r="D15" s="252" t="s">
        <v>147</v>
      </c>
      <c r="E15" s="252" t="s">
        <v>428</v>
      </c>
      <c r="F15" s="1202" t="s">
        <v>235</v>
      </c>
      <c r="G15" s="521" t="s">
        <v>159</v>
      </c>
      <c r="H15" s="252" t="s">
        <v>420</v>
      </c>
    </row>
    <row r="16" spans="1:11" s="14" customFormat="1" ht="25.5" customHeight="1">
      <c r="A16" s="1208"/>
      <c r="B16" s="277"/>
      <c r="C16" s="165"/>
      <c r="D16" s="282"/>
      <c r="E16" s="176"/>
      <c r="F16" s="1209"/>
      <c r="G16" s="189"/>
      <c r="H16" s="259"/>
      <c r="I16" t="s">
        <v>430</v>
      </c>
      <c r="J16" s="283">
        <v>1</v>
      </c>
      <c r="K16" s="14" t="s">
        <v>431</v>
      </c>
    </row>
    <row r="17" spans="1:11" s="14" customFormat="1" ht="25.5" customHeight="1">
      <c r="A17" s="1208"/>
      <c r="B17" s="277"/>
      <c r="C17" s="165"/>
      <c r="D17" s="282"/>
      <c r="E17" s="176"/>
      <c r="F17" s="1209"/>
      <c r="G17" s="189"/>
      <c r="H17" s="259"/>
      <c r="I17"/>
    </row>
    <row r="18" spans="1:11" s="14" customFormat="1" ht="25.5" customHeight="1">
      <c r="A18" s="1208"/>
      <c r="B18" s="277"/>
      <c r="C18" s="165"/>
      <c r="D18" s="282"/>
      <c r="E18" s="176"/>
      <c r="F18" s="1209"/>
      <c r="G18" s="189"/>
      <c r="H18" s="259"/>
      <c r="I18"/>
    </row>
    <row r="19" spans="1:11" s="14" customFormat="1" ht="25.5" customHeight="1">
      <c r="A19" s="1208"/>
      <c r="B19" s="277"/>
      <c r="C19" s="165"/>
      <c r="D19" s="282"/>
      <c r="E19" s="176"/>
      <c r="F19" s="1209"/>
      <c r="G19" s="189"/>
      <c r="H19" s="259"/>
      <c r="I19"/>
    </row>
    <row r="20" spans="1:11" s="14" customFormat="1" ht="25.5" customHeight="1">
      <c r="A20" s="1208"/>
      <c r="B20" s="277"/>
      <c r="C20" s="165"/>
      <c r="D20" s="282"/>
      <c r="E20" s="176"/>
      <c r="F20" s="1209"/>
      <c r="G20" s="189"/>
      <c r="H20" s="259"/>
      <c r="I20"/>
    </row>
    <row r="21" spans="1:11" ht="25.5" customHeight="1">
      <c r="A21" s="1208"/>
      <c r="B21" s="277"/>
      <c r="C21" s="165"/>
      <c r="D21" s="282"/>
      <c r="E21" s="176"/>
      <c r="F21" s="1209"/>
      <c r="G21" s="189"/>
      <c r="H21" s="259"/>
      <c r="J21" s="14"/>
      <c r="K21" s="14"/>
    </row>
    <row r="22" spans="1:11" ht="25.5" customHeight="1">
      <c r="A22" s="1208"/>
      <c r="B22" s="277"/>
      <c r="C22" s="165"/>
      <c r="D22" s="282"/>
      <c r="E22" s="176"/>
      <c r="F22" s="1209"/>
      <c r="G22" s="189"/>
      <c r="H22" s="259"/>
    </row>
    <row r="23" spans="1:11" ht="25.5" customHeight="1">
      <c r="A23" s="1208"/>
      <c r="B23" s="277"/>
      <c r="C23" s="165"/>
      <c r="D23" s="282"/>
      <c r="E23" s="176"/>
      <c r="F23" s="1209"/>
      <c r="G23" s="189"/>
      <c r="H23" s="259"/>
    </row>
    <row r="24" spans="1:11" ht="25.5" customHeight="1">
      <c r="A24" s="1208"/>
      <c r="B24" s="277"/>
      <c r="C24" s="165"/>
      <c r="D24" s="282"/>
      <c r="E24" s="176"/>
      <c r="F24" s="1209"/>
      <c r="G24" s="189"/>
      <c r="H24" s="259"/>
    </row>
    <row r="25" spans="1:11" ht="25.5" customHeight="1">
      <c r="A25" s="1208" t="s">
        <v>445</v>
      </c>
      <c r="C25" s="165" t="s">
        <v>15</v>
      </c>
      <c r="D25" s="282"/>
      <c r="E25" s="176"/>
      <c r="F25" s="1209"/>
      <c r="G25" s="189"/>
      <c r="H25" s="259"/>
    </row>
    <row r="26" spans="1:11" ht="15.75" thickBot="1">
      <c r="A26" s="1210" t="s">
        <v>447</v>
      </c>
      <c r="B26" s="279"/>
      <c r="C26" s="285" t="s">
        <v>159</v>
      </c>
      <c r="D26" s="286"/>
      <c r="E26" s="287"/>
      <c r="F26" s="1211"/>
      <c r="G26" s="189"/>
      <c r="H26" s="1035"/>
    </row>
    <row r="27" spans="1:11" ht="21.75" customHeight="1" thickTop="1" thickBot="1">
      <c r="A27" s="1201" t="s">
        <v>448</v>
      </c>
      <c r="B27" s="1"/>
      <c r="D27" s="14"/>
      <c r="E27" s="14"/>
      <c r="F27" s="1034"/>
      <c r="G27" s="189"/>
      <c r="H27" s="1036"/>
    </row>
    <row r="28" spans="1:11" ht="21.75" customHeight="1" thickBot="1">
      <c r="A28" s="1201" t="s">
        <v>1347</v>
      </c>
      <c r="B28" s="52" t="s">
        <v>450</v>
      </c>
      <c r="D28" s="14"/>
      <c r="E28" s="14"/>
      <c r="F28" s="1037"/>
      <c r="G28" s="189"/>
      <c r="H28" s="1038"/>
    </row>
    <row r="29" spans="1:11" ht="13.5" thickBot="1">
      <c r="A29" s="814"/>
      <c r="C29" s="292" t="s">
        <v>451</v>
      </c>
      <c r="D29" s="293" t="s">
        <v>452</v>
      </c>
      <c r="F29" s="841"/>
      <c r="G29" s="52"/>
      <c r="H29" s="52"/>
    </row>
    <row r="30" spans="1:11" ht="13.5" hidden="1" thickBot="1">
      <c r="A30" s="1212" t="s">
        <v>453</v>
      </c>
      <c r="B30" s="295" t="s">
        <v>454</v>
      </c>
      <c r="C30" s="296">
        <f>SUM(F16:F25)+F31</f>
        <v>0</v>
      </c>
      <c r="D30" s="297">
        <v>0.5</v>
      </c>
      <c r="F30" s="841"/>
      <c r="G30" s="52"/>
      <c r="H30" s="52"/>
    </row>
    <row r="31" spans="1:11" ht="22.5" customHeight="1" thickBot="1">
      <c r="A31" s="1213" t="s">
        <v>458</v>
      </c>
      <c r="C31" s="165" t="s">
        <v>15</v>
      </c>
      <c r="D31" s="90"/>
      <c r="E31" s="1040"/>
      <c r="F31" s="1034"/>
      <c r="G31" s="189"/>
      <c r="H31" s="1039"/>
    </row>
    <row r="32" spans="1:11" ht="22.5" customHeight="1" thickBot="1">
      <c r="A32" s="1201" t="s">
        <v>460</v>
      </c>
      <c r="B32" s="52" t="s">
        <v>461</v>
      </c>
      <c r="C32" s="301"/>
      <c r="D32" s="301"/>
      <c r="E32" s="301"/>
      <c r="F32" s="1037"/>
      <c r="G32" s="189"/>
      <c r="H32" s="1041"/>
    </row>
    <row r="33" spans="1:9" ht="15">
      <c r="A33" s="1214"/>
      <c r="B33" s="187"/>
      <c r="C33" s="301"/>
      <c r="D33" s="301"/>
      <c r="E33" s="301"/>
      <c r="F33" s="1215"/>
      <c r="G33" s="52"/>
      <c r="H33" s="52"/>
    </row>
    <row r="34" spans="1:9" ht="15.75">
      <c r="A34" s="1201" t="s">
        <v>462</v>
      </c>
      <c r="B34" s="303" t="s">
        <v>463</v>
      </c>
      <c r="D34" s="304"/>
      <c r="E34" t="s">
        <v>99</v>
      </c>
      <c r="F34" s="841"/>
      <c r="G34" s="52"/>
      <c r="H34" s="52"/>
    </row>
    <row r="35" spans="1:9" ht="16.5" thickBot="1">
      <c r="A35" s="1213"/>
      <c r="B35" s="168"/>
      <c r="C35" s="169"/>
      <c r="D35" s="170" t="s">
        <v>465</v>
      </c>
      <c r="E35" s="169"/>
      <c r="F35" s="1216" t="s">
        <v>1348</v>
      </c>
      <c r="G35" s="52"/>
      <c r="H35" s="252" t="s">
        <v>420</v>
      </c>
    </row>
    <row r="36" spans="1:9" ht="27" customHeight="1" thickBot="1">
      <c r="A36" s="2677" t="s">
        <v>467</v>
      </c>
      <c r="B36" s="878" t="s">
        <v>231</v>
      </c>
      <c r="C36" s="305"/>
      <c r="D36" s="306"/>
      <c r="E36" s="305"/>
      <c r="F36" s="1209"/>
      <c r="G36" s="189"/>
      <c r="H36" s="259"/>
    </row>
    <row r="37" spans="1:9" ht="27" customHeight="1" thickBot="1">
      <c r="A37" s="2678"/>
      <c r="B37" s="878" t="s">
        <v>232</v>
      </c>
      <c r="C37" s="305"/>
      <c r="D37" s="306"/>
      <c r="E37" s="305"/>
      <c r="F37" s="1209"/>
      <c r="G37" s="189"/>
      <c r="H37" s="259"/>
    </row>
    <row r="38" spans="1:9" ht="27" customHeight="1" thickBot="1">
      <c r="A38" s="2679"/>
      <c r="B38" s="874" t="s">
        <v>769</v>
      </c>
      <c r="C38" s="307"/>
      <c r="D38" s="306"/>
      <c r="E38" s="305"/>
      <c r="F38" s="1209"/>
      <c r="G38" s="189"/>
      <c r="H38" s="259"/>
    </row>
    <row r="39" spans="1:9" ht="27" customHeight="1" thickBot="1">
      <c r="A39" s="1217"/>
      <c r="B39" s="174"/>
      <c r="C39" s="175"/>
      <c r="D39" s="306"/>
      <c r="E39" s="305"/>
      <c r="F39" s="1209"/>
      <c r="G39" s="189"/>
      <c r="H39" s="259"/>
    </row>
    <row r="40" spans="1:9" ht="16.5" thickTop="1">
      <c r="A40" s="1201" t="s">
        <v>470</v>
      </c>
      <c r="B40" s="1"/>
      <c r="C40" s="14"/>
      <c r="D40" s="14"/>
      <c r="E40" s="14"/>
      <c r="F40" s="1218"/>
      <c r="H40" s="259"/>
      <c r="I40" s="10"/>
    </row>
    <row r="41" spans="1:9" ht="15.75">
      <c r="A41" s="1201"/>
      <c r="B41" s="1"/>
      <c r="C41" s="14"/>
      <c r="D41" s="14"/>
      <c r="E41" s="14"/>
      <c r="F41" s="1215"/>
    </row>
    <row r="42" spans="1:9" ht="18">
      <c r="A42" s="1201" t="s">
        <v>471</v>
      </c>
      <c r="B42" s="52" t="s">
        <v>472</v>
      </c>
      <c r="C42" s="14"/>
      <c r="D42" s="14"/>
      <c r="E42" s="14"/>
      <c r="F42" s="1219"/>
      <c r="H42" s="290"/>
      <c r="I42" s="10"/>
    </row>
    <row r="43" spans="1:9" ht="15">
      <c r="A43" s="814"/>
      <c r="D43" s="14"/>
      <c r="E43" s="14"/>
      <c r="F43" s="1215"/>
    </row>
    <row r="44" spans="1:9">
      <c r="A44" s="814"/>
      <c r="F44" s="841"/>
    </row>
    <row r="45" spans="1:9">
      <c r="A45" s="842" t="s">
        <v>97</v>
      </c>
      <c r="F45" s="841"/>
    </row>
    <row r="46" spans="1:9" ht="13.5" thickBot="1">
      <c r="A46" s="814" t="s">
        <v>492</v>
      </c>
      <c r="F46" s="841"/>
    </row>
    <row r="47" spans="1:9" ht="21" customHeight="1" thickBot="1">
      <c r="A47" s="814"/>
      <c r="B47" s="180" t="s">
        <v>493</v>
      </c>
      <c r="C47" s="193"/>
      <c r="D47" s="2630"/>
      <c r="E47" s="2632"/>
      <c r="F47" s="841"/>
    </row>
    <row r="48" spans="1:9" ht="21" customHeight="1" thickBot="1">
      <c r="A48" s="814"/>
      <c r="B48" s="183" t="str">
        <f>A31</f>
        <v>Työkustannus (ihmistyö)</v>
      </c>
      <c r="D48" s="2630"/>
      <c r="E48" s="2632"/>
      <c r="F48" s="841"/>
    </row>
    <row r="49" spans="1:13" ht="21" customHeight="1" thickBot="1">
      <c r="A49" s="814"/>
      <c r="B49" s="183" t="s">
        <v>470</v>
      </c>
      <c r="D49" s="2630"/>
      <c r="E49" s="2632"/>
      <c r="F49" s="841"/>
    </row>
    <row r="50" spans="1:13" ht="21" customHeight="1" thickBot="1">
      <c r="A50" s="814"/>
      <c r="B50" s="323" t="s">
        <v>494</v>
      </c>
      <c r="D50" s="2630"/>
      <c r="E50" s="2632"/>
      <c r="F50" s="841"/>
    </row>
    <row r="51" spans="1:13" ht="21" customHeight="1" thickBot="1">
      <c r="A51" s="814"/>
      <c r="B51" s="183" t="s">
        <v>495</v>
      </c>
      <c r="D51" s="2630"/>
      <c r="E51" s="2632"/>
      <c r="F51" s="841"/>
    </row>
    <row r="52" spans="1:13" ht="21" customHeight="1" thickBot="1">
      <c r="A52" s="814"/>
      <c r="B52" s="326" t="s">
        <v>496</v>
      </c>
      <c r="C52" s="163" t="s">
        <v>497</v>
      </c>
      <c r="D52" s="2630"/>
      <c r="E52" s="2632"/>
      <c r="F52" s="841"/>
    </row>
    <row r="53" spans="1:13" ht="13.5" thickBot="1">
      <c r="A53" s="815" t="s">
        <v>1349</v>
      </c>
      <c r="B53" s="818"/>
      <c r="C53" s="818"/>
      <c r="D53" s="818"/>
      <c r="E53" s="818"/>
      <c r="F53" s="843"/>
    </row>
    <row r="54" spans="1:13">
      <c r="A54" s="3" t="s">
        <v>498</v>
      </c>
    </row>
    <row r="55" spans="1:13">
      <c r="A55" t="s">
        <v>499</v>
      </c>
      <c r="B55" s="8">
        <v>500</v>
      </c>
    </row>
    <row r="56" spans="1:13">
      <c r="A56" t="s">
        <v>500</v>
      </c>
      <c r="B56" s="37">
        <v>0.05</v>
      </c>
    </row>
    <row r="58" spans="1:13">
      <c r="A58" t="s">
        <v>501</v>
      </c>
      <c r="B58" t="s">
        <v>502</v>
      </c>
    </row>
    <row r="59" spans="1:13">
      <c r="A59" t="s">
        <v>503</v>
      </c>
      <c r="B59" t="s">
        <v>434</v>
      </c>
      <c r="C59" t="s">
        <v>504</v>
      </c>
      <c r="D59" s="52" t="s">
        <v>505</v>
      </c>
      <c r="E59" t="s">
        <v>506</v>
      </c>
      <c r="F59" s="52" t="s">
        <v>507</v>
      </c>
      <c r="G59" s="52" t="s">
        <v>508</v>
      </c>
      <c r="H59" s="52" t="s">
        <v>509</v>
      </c>
      <c r="I59" t="s">
        <v>510</v>
      </c>
      <c r="J59" t="s">
        <v>511</v>
      </c>
      <c r="K59" t="s">
        <v>570</v>
      </c>
      <c r="L59" s="52" t="s">
        <v>513</v>
      </c>
      <c r="M59" s="52" t="s">
        <v>514</v>
      </c>
    </row>
    <row r="60" spans="1:13">
      <c r="A60" s="15">
        <f>A61-$B$55</f>
        <v>-1500</v>
      </c>
      <c r="B60" s="15">
        <f t="shared" ref="B60:B72" si="0">(A60*$E$7)+SUM($F$8:$F$11)</f>
        <v>0</v>
      </c>
      <c r="C60" s="11"/>
      <c r="D60" s="328">
        <f>$E$47</f>
        <v>0</v>
      </c>
      <c r="E60" s="329">
        <f t="shared" ref="E60:E72" si="1">$E$48</f>
        <v>0</v>
      </c>
      <c r="F60" s="330">
        <f t="shared" ref="F60:F72" si="2">$E$49</f>
        <v>0</v>
      </c>
      <c r="G60" s="805">
        <f t="shared" ref="G60:G72" si="3">SUM(D60:F60)</f>
        <v>0</v>
      </c>
      <c r="H60" s="331">
        <f t="shared" ref="H60:H72" si="4">G60/A60</f>
        <v>0</v>
      </c>
      <c r="I60" s="332">
        <f t="shared" ref="I60:I72" si="5">B60-G60</f>
        <v>0</v>
      </c>
      <c r="J60" s="333">
        <f t="shared" ref="J60:J72" si="6">I60/A60</f>
        <v>0</v>
      </c>
      <c r="K60" s="334"/>
      <c r="L60" s="11"/>
      <c r="M60" s="11"/>
    </row>
    <row r="61" spans="1:13">
      <c r="A61" s="15">
        <f>A62-$B$55</f>
        <v>-1000</v>
      </c>
      <c r="B61" s="15">
        <f t="shared" si="0"/>
        <v>0</v>
      </c>
      <c r="C61" s="328">
        <f>(B61-B60)/(A61-A60)</f>
        <v>0</v>
      </c>
      <c r="D61" s="328">
        <f>$E$47</f>
        <v>0</v>
      </c>
      <c r="E61" s="329">
        <f t="shared" si="1"/>
        <v>0</v>
      </c>
      <c r="F61" s="330">
        <f t="shared" si="2"/>
        <v>0</v>
      </c>
      <c r="G61" s="805">
        <f t="shared" si="3"/>
        <v>0</v>
      </c>
      <c r="H61" s="331">
        <f t="shared" si="4"/>
        <v>0</v>
      </c>
      <c r="I61" s="332">
        <f t="shared" si="5"/>
        <v>0</v>
      </c>
      <c r="J61" s="333">
        <f t="shared" si="6"/>
        <v>0</v>
      </c>
      <c r="K61" s="334">
        <f t="shared" ref="K61:K72" si="7">(G61-G60)/(A61-A60)</f>
        <v>0</v>
      </c>
      <c r="L61" s="335" t="e">
        <f>(B61-B62)/B62</f>
        <v>#DIV/0!</v>
      </c>
      <c r="M61" s="335">
        <v>0</v>
      </c>
    </row>
    <row r="62" spans="1:13">
      <c r="A62" s="15">
        <f>A63-$B$55</f>
        <v>-500</v>
      </c>
      <c r="B62" s="15">
        <f t="shared" si="0"/>
        <v>0</v>
      </c>
      <c r="C62" s="328">
        <f>(B62-B61)/(A62-A61)</f>
        <v>0</v>
      </c>
      <c r="D62" s="328">
        <f>$E$47</f>
        <v>0</v>
      </c>
      <c r="E62" s="329">
        <f t="shared" si="1"/>
        <v>0</v>
      </c>
      <c r="F62" s="330">
        <f t="shared" si="2"/>
        <v>0</v>
      </c>
      <c r="G62" s="805">
        <f t="shared" si="3"/>
        <v>0</v>
      </c>
      <c r="H62" s="331">
        <f t="shared" si="4"/>
        <v>0</v>
      </c>
      <c r="I62" s="332">
        <f t="shared" si="5"/>
        <v>0</v>
      </c>
      <c r="J62" s="333">
        <f t="shared" si="6"/>
        <v>0</v>
      </c>
      <c r="K62" s="334">
        <f t="shared" si="7"/>
        <v>0</v>
      </c>
      <c r="L62" s="335" t="e">
        <f>(B62-B63)/B63</f>
        <v>#DIV/0!</v>
      </c>
      <c r="M62" s="335">
        <v>0</v>
      </c>
    </row>
    <row r="63" spans="1:13">
      <c r="A63" s="336">
        <f>D7</f>
        <v>0</v>
      </c>
      <c r="B63" s="337">
        <f t="shared" si="0"/>
        <v>0</v>
      </c>
      <c r="C63" s="338">
        <f>(B63-B62)/(A63-A62)</f>
        <v>0</v>
      </c>
      <c r="D63" s="328">
        <f>$E$47</f>
        <v>0</v>
      </c>
      <c r="E63" s="329">
        <f t="shared" si="1"/>
        <v>0</v>
      </c>
      <c r="F63" s="330">
        <f t="shared" si="2"/>
        <v>0</v>
      </c>
      <c r="G63" s="805">
        <f t="shared" si="3"/>
        <v>0</v>
      </c>
      <c r="H63" s="331" t="e">
        <f t="shared" si="4"/>
        <v>#DIV/0!</v>
      </c>
      <c r="I63" s="332">
        <f t="shared" si="5"/>
        <v>0</v>
      </c>
      <c r="J63" s="333" t="e">
        <f t="shared" si="6"/>
        <v>#DIV/0!</v>
      </c>
      <c r="K63" s="334">
        <f t="shared" si="7"/>
        <v>0</v>
      </c>
      <c r="L63" s="335">
        <v>0</v>
      </c>
      <c r="M63" s="335" t="e">
        <f t="shared" ref="M63:M72" si="8">(G63-G62)/G62</f>
        <v>#DIV/0!</v>
      </c>
    </row>
    <row r="64" spans="1:13">
      <c r="A64" s="15">
        <f t="shared" ref="A64:A72" si="9">A63+$B$55</f>
        <v>500</v>
      </c>
      <c r="B64" s="15">
        <f t="shared" si="0"/>
        <v>0</v>
      </c>
      <c r="C64" s="328">
        <f t="shared" ref="C64:C72" si="10">(B64-B63)/(A64-A63)</f>
        <v>0</v>
      </c>
      <c r="D64" s="328">
        <f>($B$56*D63)+D63</f>
        <v>0</v>
      </c>
      <c r="E64" s="329">
        <f t="shared" si="1"/>
        <v>0</v>
      </c>
      <c r="F64" s="330">
        <f t="shared" si="2"/>
        <v>0</v>
      </c>
      <c r="G64" s="805">
        <f t="shared" si="3"/>
        <v>0</v>
      </c>
      <c r="H64" s="331">
        <f t="shared" si="4"/>
        <v>0</v>
      </c>
      <c r="I64" s="332">
        <f t="shared" si="5"/>
        <v>0</v>
      </c>
      <c r="J64" s="333">
        <f t="shared" si="6"/>
        <v>0</v>
      </c>
      <c r="K64" s="334">
        <f t="shared" si="7"/>
        <v>0</v>
      </c>
      <c r="L64" s="335" t="e">
        <f t="shared" ref="L64:L72" si="11">(B64-B63)/B63</f>
        <v>#DIV/0!</v>
      </c>
      <c r="M64" s="335" t="e">
        <f t="shared" si="8"/>
        <v>#DIV/0!</v>
      </c>
    </row>
    <row r="65" spans="1:13">
      <c r="A65" s="15">
        <f t="shared" si="9"/>
        <v>1000</v>
      </c>
      <c r="B65" s="15">
        <f t="shared" si="0"/>
        <v>0</v>
      </c>
      <c r="C65" s="328">
        <f t="shared" si="10"/>
        <v>0</v>
      </c>
      <c r="D65" s="328">
        <f t="shared" ref="D65:D72" si="12">($B$56*D64)+D64</f>
        <v>0</v>
      </c>
      <c r="E65" s="329">
        <f t="shared" si="1"/>
        <v>0</v>
      </c>
      <c r="F65" s="330">
        <f t="shared" si="2"/>
        <v>0</v>
      </c>
      <c r="G65" s="805">
        <f t="shared" si="3"/>
        <v>0</v>
      </c>
      <c r="H65" s="331">
        <f t="shared" si="4"/>
        <v>0</v>
      </c>
      <c r="I65" s="332">
        <f t="shared" si="5"/>
        <v>0</v>
      </c>
      <c r="J65" s="333">
        <f t="shared" si="6"/>
        <v>0</v>
      </c>
      <c r="K65" s="334">
        <f t="shared" si="7"/>
        <v>0</v>
      </c>
      <c r="L65" s="335" t="e">
        <f t="shared" si="11"/>
        <v>#DIV/0!</v>
      </c>
      <c r="M65" s="335" t="e">
        <f t="shared" si="8"/>
        <v>#DIV/0!</v>
      </c>
    </row>
    <row r="66" spans="1:13">
      <c r="A66" s="15">
        <f t="shared" si="9"/>
        <v>1500</v>
      </c>
      <c r="B66" s="15">
        <f t="shared" si="0"/>
        <v>0</v>
      </c>
      <c r="C66" s="328">
        <f t="shared" si="10"/>
        <v>0</v>
      </c>
      <c r="D66" s="328">
        <f>($B$56*D65)+D65</f>
        <v>0</v>
      </c>
      <c r="E66" s="329">
        <f t="shared" si="1"/>
        <v>0</v>
      </c>
      <c r="F66" s="330">
        <f t="shared" si="2"/>
        <v>0</v>
      </c>
      <c r="G66" s="805">
        <f t="shared" si="3"/>
        <v>0</v>
      </c>
      <c r="H66" s="331">
        <f t="shared" si="4"/>
        <v>0</v>
      </c>
      <c r="I66" s="332">
        <f t="shared" si="5"/>
        <v>0</v>
      </c>
      <c r="J66" s="333">
        <f t="shared" si="6"/>
        <v>0</v>
      </c>
      <c r="K66" s="334">
        <f t="shared" si="7"/>
        <v>0</v>
      </c>
      <c r="L66" s="335" t="e">
        <f t="shared" si="11"/>
        <v>#DIV/0!</v>
      </c>
      <c r="M66" s="335" t="e">
        <f t="shared" si="8"/>
        <v>#DIV/0!</v>
      </c>
    </row>
    <row r="67" spans="1:13">
      <c r="A67" s="15">
        <f t="shared" si="9"/>
        <v>2000</v>
      </c>
      <c r="B67" s="15">
        <f t="shared" si="0"/>
        <v>0</v>
      </c>
      <c r="C67" s="328">
        <f t="shared" si="10"/>
        <v>0</v>
      </c>
      <c r="D67" s="328">
        <f>($B$56*D66)+D66</f>
        <v>0</v>
      </c>
      <c r="E67" s="329">
        <f t="shared" si="1"/>
        <v>0</v>
      </c>
      <c r="F67" s="330">
        <f t="shared" si="2"/>
        <v>0</v>
      </c>
      <c r="G67" s="805">
        <f t="shared" si="3"/>
        <v>0</v>
      </c>
      <c r="H67" s="331">
        <f t="shared" si="4"/>
        <v>0</v>
      </c>
      <c r="I67" s="332">
        <f t="shared" si="5"/>
        <v>0</v>
      </c>
      <c r="J67" s="333">
        <f t="shared" si="6"/>
        <v>0</v>
      </c>
      <c r="K67" s="334">
        <f t="shared" si="7"/>
        <v>0</v>
      </c>
      <c r="L67" s="335" t="e">
        <f t="shared" si="11"/>
        <v>#DIV/0!</v>
      </c>
      <c r="M67" s="335" t="e">
        <f t="shared" si="8"/>
        <v>#DIV/0!</v>
      </c>
    </row>
    <row r="68" spans="1:13">
      <c r="A68" s="15">
        <f t="shared" si="9"/>
        <v>2500</v>
      </c>
      <c r="B68" s="15">
        <f t="shared" si="0"/>
        <v>0</v>
      </c>
      <c r="C68" s="328">
        <f t="shared" si="10"/>
        <v>0</v>
      </c>
      <c r="D68" s="328">
        <f t="shared" si="12"/>
        <v>0</v>
      </c>
      <c r="E68" s="329">
        <f t="shared" si="1"/>
        <v>0</v>
      </c>
      <c r="F68" s="330">
        <f t="shared" si="2"/>
        <v>0</v>
      </c>
      <c r="G68" s="805">
        <f t="shared" si="3"/>
        <v>0</v>
      </c>
      <c r="H68" s="331">
        <f t="shared" si="4"/>
        <v>0</v>
      </c>
      <c r="I68" s="332">
        <f t="shared" si="5"/>
        <v>0</v>
      </c>
      <c r="J68" s="333">
        <f t="shared" si="6"/>
        <v>0</v>
      </c>
      <c r="K68" s="334">
        <f t="shared" si="7"/>
        <v>0</v>
      </c>
      <c r="L68" s="335" t="e">
        <f t="shared" si="11"/>
        <v>#DIV/0!</v>
      </c>
      <c r="M68" s="335" t="e">
        <f t="shared" si="8"/>
        <v>#DIV/0!</v>
      </c>
    </row>
    <row r="69" spans="1:13">
      <c r="A69" s="15">
        <f t="shared" si="9"/>
        <v>3000</v>
      </c>
      <c r="B69" s="15">
        <f t="shared" si="0"/>
        <v>0</v>
      </c>
      <c r="C69" s="328">
        <f t="shared" si="10"/>
        <v>0</v>
      </c>
      <c r="D69" s="328">
        <f t="shared" si="12"/>
        <v>0</v>
      </c>
      <c r="E69" s="329">
        <f t="shared" si="1"/>
        <v>0</v>
      </c>
      <c r="F69" s="330">
        <f t="shared" si="2"/>
        <v>0</v>
      </c>
      <c r="G69" s="805">
        <f t="shared" si="3"/>
        <v>0</v>
      </c>
      <c r="H69" s="331">
        <f t="shared" si="4"/>
        <v>0</v>
      </c>
      <c r="I69" s="332">
        <f t="shared" si="5"/>
        <v>0</v>
      </c>
      <c r="J69" s="333">
        <f t="shared" si="6"/>
        <v>0</v>
      </c>
      <c r="K69" s="334">
        <f t="shared" si="7"/>
        <v>0</v>
      </c>
      <c r="L69" s="335" t="e">
        <f t="shared" si="11"/>
        <v>#DIV/0!</v>
      </c>
      <c r="M69" s="335" t="e">
        <f t="shared" si="8"/>
        <v>#DIV/0!</v>
      </c>
    </row>
    <row r="70" spans="1:13">
      <c r="A70" s="15">
        <f t="shared" si="9"/>
        <v>3500</v>
      </c>
      <c r="B70" s="15">
        <f t="shared" si="0"/>
        <v>0</v>
      </c>
      <c r="C70" s="328">
        <f t="shared" si="10"/>
        <v>0</v>
      </c>
      <c r="D70" s="328">
        <f t="shared" si="12"/>
        <v>0</v>
      </c>
      <c r="E70" s="329">
        <f t="shared" si="1"/>
        <v>0</v>
      </c>
      <c r="F70" s="330">
        <f t="shared" si="2"/>
        <v>0</v>
      </c>
      <c r="G70" s="805">
        <f t="shared" si="3"/>
        <v>0</v>
      </c>
      <c r="H70" s="331">
        <f t="shared" si="4"/>
        <v>0</v>
      </c>
      <c r="I70" s="332">
        <f t="shared" si="5"/>
        <v>0</v>
      </c>
      <c r="J70" s="333">
        <f t="shared" si="6"/>
        <v>0</v>
      </c>
      <c r="K70" s="334">
        <f t="shared" si="7"/>
        <v>0</v>
      </c>
      <c r="L70" s="335" t="e">
        <f t="shared" si="11"/>
        <v>#DIV/0!</v>
      </c>
      <c r="M70" s="335" t="e">
        <f t="shared" si="8"/>
        <v>#DIV/0!</v>
      </c>
    </row>
    <row r="71" spans="1:13">
      <c r="A71" s="15">
        <f t="shared" si="9"/>
        <v>4000</v>
      </c>
      <c r="B71" s="15">
        <f t="shared" si="0"/>
        <v>0</v>
      </c>
      <c r="C71" s="328">
        <f t="shared" si="10"/>
        <v>0</v>
      </c>
      <c r="D71" s="328">
        <f t="shared" si="12"/>
        <v>0</v>
      </c>
      <c r="E71" s="329">
        <f t="shared" si="1"/>
        <v>0</v>
      </c>
      <c r="F71" s="330">
        <f t="shared" si="2"/>
        <v>0</v>
      </c>
      <c r="G71" s="805">
        <f t="shared" si="3"/>
        <v>0</v>
      </c>
      <c r="H71" s="331">
        <f t="shared" si="4"/>
        <v>0</v>
      </c>
      <c r="I71" s="332">
        <f t="shared" si="5"/>
        <v>0</v>
      </c>
      <c r="J71" s="333">
        <f t="shared" si="6"/>
        <v>0</v>
      </c>
      <c r="K71" s="334">
        <f t="shared" si="7"/>
        <v>0</v>
      </c>
      <c r="L71" s="335" t="e">
        <f t="shared" si="11"/>
        <v>#DIV/0!</v>
      </c>
      <c r="M71" s="335" t="e">
        <f t="shared" si="8"/>
        <v>#DIV/0!</v>
      </c>
    </row>
    <row r="72" spans="1:13">
      <c r="A72" s="15">
        <f t="shared" si="9"/>
        <v>4500</v>
      </c>
      <c r="B72" s="15">
        <f t="shared" si="0"/>
        <v>0</v>
      </c>
      <c r="C72" s="328">
        <f t="shared" si="10"/>
        <v>0</v>
      </c>
      <c r="D72" s="328">
        <f t="shared" si="12"/>
        <v>0</v>
      </c>
      <c r="E72" s="329">
        <f t="shared" si="1"/>
        <v>0</v>
      </c>
      <c r="F72" s="330">
        <f t="shared" si="2"/>
        <v>0</v>
      </c>
      <c r="G72" s="805">
        <f t="shared" si="3"/>
        <v>0</v>
      </c>
      <c r="H72" s="331">
        <f t="shared" si="4"/>
        <v>0</v>
      </c>
      <c r="I72" s="332">
        <f t="shared" si="5"/>
        <v>0</v>
      </c>
      <c r="J72" s="333">
        <f t="shared" si="6"/>
        <v>0</v>
      </c>
      <c r="K72" s="334">
        <f t="shared" si="7"/>
        <v>0</v>
      </c>
      <c r="L72" s="335" t="e">
        <f t="shared" si="11"/>
        <v>#DIV/0!</v>
      </c>
      <c r="M72" s="335" t="e">
        <f t="shared" si="8"/>
        <v>#DIV/0!</v>
      </c>
    </row>
    <row r="77" spans="1:13">
      <c r="E77" s="15"/>
    </row>
    <row r="78" spans="1:13">
      <c r="C78" s="339"/>
    </row>
    <row r="83" ht="12.75" customHeight="1"/>
  </sheetData>
  <sheetProtection formatCells="0" formatColumns="0" formatRows="0"/>
  <mergeCells count="7">
    <mergeCell ref="D52:E52"/>
    <mergeCell ref="A36:A38"/>
    <mergeCell ref="D47:E47"/>
    <mergeCell ref="D48:E48"/>
    <mergeCell ref="D49:E49"/>
    <mergeCell ref="D50:E50"/>
    <mergeCell ref="D51:E51"/>
  </mergeCells>
  <pageMargins left="0.70866141732283472" right="0.70866141732283472" top="0.74803149606299213" bottom="0.74803149606299213" header="0.51181102362204722" footer="0.51181102362204722"/>
  <pageSetup paperSize="9" scale="65" firstPageNumber="0" fitToHeight="0" orientation="portrait" horizontalDpi="4294967293" verticalDpi="4294967293" r:id="rId1"/>
  <headerFooter alignWithMargins="0"/>
  <colBreaks count="1" manualBreakCount="1">
    <brk id="11"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ul10"/>
  <dimension ref="A1:AB86"/>
  <sheetViews>
    <sheetView topLeftCell="C16" workbookViewId="0">
      <selection activeCell="Q21" sqref="Q21"/>
    </sheetView>
  </sheetViews>
  <sheetFormatPr defaultRowHeight="12.75"/>
  <cols>
    <col min="1" max="1" width="13.5703125" customWidth="1"/>
    <col min="2" max="2" width="8.140625" customWidth="1"/>
    <col min="3" max="3" width="13.42578125" customWidth="1"/>
    <col min="4" max="4" width="11.85546875" customWidth="1"/>
    <col min="5" max="5" width="8.140625" customWidth="1"/>
    <col min="6" max="7" width="11.85546875" customWidth="1"/>
    <col min="8" max="8" width="8.140625" customWidth="1"/>
    <col min="9" max="9" width="7.85546875" customWidth="1"/>
    <col min="10" max="10" width="8.85546875" customWidth="1"/>
    <col min="11" max="12" width="10.28515625" customWidth="1"/>
    <col min="13" max="13" width="13" customWidth="1"/>
    <col min="14" max="14" width="14" customWidth="1"/>
    <col min="15" max="15" width="6.7109375" customWidth="1"/>
    <col min="16" max="16" width="5.28515625" customWidth="1"/>
    <col min="17" max="20" width="10" customWidth="1"/>
    <col min="21" max="22" width="8.42578125" customWidth="1"/>
    <col min="23" max="23" width="9.42578125" customWidth="1"/>
    <col min="24" max="24" width="8.28515625" customWidth="1"/>
    <col min="25" max="25" width="7.85546875" customWidth="1"/>
    <col min="26" max="26" width="8.28515625" customWidth="1"/>
    <col min="27" max="27" width="8.140625" customWidth="1"/>
    <col min="28" max="28" width="8.7109375" customWidth="1"/>
    <col min="29" max="29" width="11.42578125" customWidth="1"/>
    <col min="30" max="30" width="14.42578125" customWidth="1"/>
  </cols>
  <sheetData>
    <row r="1" spans="1:28">
      <c r="C1" t="s">
        <v>1350</v>
      </c>
      <c r="D1" s="190" t="s">
        <v>1351</v>
      </c>
      <c r="E1" s="191"/>
    </row>
    <row r="2" spans="1:28">
      <c r="A2" t="s">
        <v>1352</v>
      </c>
      <c r="C2" t="s">
        <v>1353</v>
      </c>
      <c r="D2" s="6">
        <v>-0.1</v>
      </c>
      <c r="E2" s="192" t="s">
        <v>1354</v>
      </c>
      <c r="O2" t="s">
        <v>1355</v>
      </c>
    </row>
    <row r="3" spans="1:28">
      <c r="A3" t="s">
        <v>1356</v>
      </c>
      <c r="D3" s="5">
        <v>16</v>
      </c>
      <c r="E3" s="191"/>
      <c r="O3" t="s">
        <v>1357</v>
      </c>
    </row>
    <row r="4" spans="1:28">
      <c r="A4" t="s">
        <v>1358</v>
      </c>
      <c r="D4" s="5">
        <v>340</v>
      </c>
      <c r="E4" s="191" t="s">
        <v>137</v>
      </c>
      <c r="O4" t="s">
        <v>1359</v>
      </c>
    </row>
    <row r="5" spans="1:28">
      <c r="A5" t="s">
        <v>1360</v>
      </c>
      <c r="D5" s="5">
        <v>360</v>
      </c>
      <c r="E5" s="191" t="s">
        <v>137</v>
      </c>
      <c r="O5" t="s">
        <v>1361</v>
      </c>
    </row>
    <row r="6" spans="1:28" ht="11.25" customHeight="1">
      <c r="A6" t="s">
        <v>1362</v>
      </c>
      <c r="D6" s="5">
        <v>680</v>
      </c>
      <c r="E6" s="191"/>
    </row>
    <row r="7" spans="1:28" ht="11.25" customHeight="1">
      <c r="A7" t="s">
        <v>1363</v>
      </c>
      <c r="D7" s="84">
        <v>50</v>
      </c>
      <c r="E7" s="191" t="s">
        <v>1364</v>
      </c>
    </row>
    <row r="8" spans="1:28">
      <c r="A8" s="52" t="s">
        <v>1365</v>
      </c>
      <c r="D8" s="19">
        <f>D4/(D6/1000)</f>
        <v>499.99999999999994</v>
      </c>
      <c r="E8" s="191"/>
    </row>
    <row r="9" spans="1:28">
      <c r="C9" t="s">
        <v>957</v>
      </c>
      <c r="D9" s="191">
        <f>D8/30</f>
        <v>16.666666666666664</v>
      </c>
      <c r="E9" s="191"/>
    </row>
    <row r="16" spans="1:28">
      <c r="D16" s="180"/>
      <c r="E16" s="193"/>
      <c r="F16" s="193" t="s">
        <v>1366</v>
      </c>
      <c r="G16" s="193" t="s">
        <v>1366</v>
      </c>
      <c r="H16" s="193"/>
      <c r="I16" s="193"/>
      <c r="J16" s="193"/>
      <c r="K16" s="193"/>
      <c r="L16" s="193"/>
      <c r="M16" s="194" t="s">
        <v>1367</v>
      </c>
      <c r="N16" s="194" t="s">
        <v>1367</v>
      </c>
      <c r="O16" s="193"/>
      <c r="P16" s="193"/>
      <c r="Q16" s="193"/>
      <c r="R16" s="193"/>
      <c r="S16" s="193"/>
      <c r="T16" s="193"/>
      <c r="U16" s="193"/>
      <c r="V16" s="193"/>
      <c r="W16" s="193"/>
      <c r="X16" s="193"/>
      <c r="Y16" s="193"/>
      <c r="Z16" s="75" t="s">
        <v>1368</v>
      </c>
      <c r="AA16" s="75" t="s">
        <v>1368</v>
      </c>
      <c r="AB16" s="75" t="s">
        <v>1368</v>
      </c>
    </row>
    <row r="17" spans="1:28">
      <c r="D17" s="183" t="s">
        <v>1369</v>
      </c>
      <c r="F17" s="59" t="s">
        <v>1370</v>
      </c>
      <c r="G17" s="59" t="s">
        <v>1370</v>
      </c>
      <c r="M17" s="195">
        <v>0.51</v>
      </c>
      <c r="N17" s="196">
        <v>0.6</v>
      </c>
      <c r="Q17" s="179"/>
      <c r="R17" s="179"/>
      <c r="S17" s="197" t="s">
        <v>1371</v>
      </c>
      <c r="T17" s="197" t="s">
        <v>1371</v>
      </c>
      <c r="Z17" s="198" t="s">
        <v>1372</v>
      </c>
      <c r="AA17" s="198" t="s">
        <v>1372</v>
      </c>
      <c r="AB17" s="198" t="s">
        <v>1372</v>
      </c>
    </row>
    <row r="18" spans="1:28">
      <c r="D18" s="199" t="s">
        <v>1373</v>
      </c>
      <c r="E18" s="200"/>
      <c r="F18" s="200" t="s">
        <v>137</v>
      </c>
      <c r="G18" s="200" t="s">
        <v>137</v>
      </c>
      <c r="H18" s="200" t="s">
        <v>1374</v>
      </c>
      <c r="I18" s="200" t="s">
        <v>1374</v>
      </c>
      <c r="J18" s="200" t="s">
        <v>1375</v>
      </c>
      <c r="K18" s="201" t="s">
        <v>1376</v>
      </c>
      <c r="L18" s="201" t="s">
        <v>1376</v>
      </c>
      <c r="M18" s="202" t="s">
        <v>1377</v>
      </c>
      <c r="N18" s="202" t="s">
        <v>1377</v>
      </c>
      <c r="O18" s="203" t="s">
        <v>1378</v>
      </c>
      <c r="P18" s="204" t="s">
        <v>957</v>
      </c>
      <c r="Q18" s="205" t="s">
        <v>1379</v>
      </c>
      <c r="R18" s="205" t="s">
        <v>1379</v>
      </c>
      <c r="S18" s="206" t="s">
        <v>1380</v>
      </c>
      <c r="T18" s="206" t="s">
        <v>1380</v>
      </c>
      <c r="U18" s="200"/>
      <c r="V18" s="200"/>
      <c r="W18" s="204" t="s">
        <v>1381</v>
      </c>
      <c r="X18" s="204" t="s">
        <v>1381</v>
      </c>
      <c r="Y18" s="204" t="s">
        <v>1382</v>
      </c>
      <c r="Z18" s="207" t="s">
        <v>71</v>
      </c>
      <c r="AA18" s="207" t="s">
        <v>71</v>
      </c>
      <c r="AB18" s="204" t="s">
        <v>1382</v>
      </c>
    </row>
    <row r="19" spans="1:28">
      <c r="A19" s="208" t="s">
        <v>1383</v>
      </c>
      <c r="B19" s="182"/>
      <c r="C19" s="209" t="s">
        <v>137</v>
      </c>
      <c r="D19" s="210">
        <v>50</v>
      </c>
      <c r="J19" s="3"/>
      <c r="M19" s="211"/>
      <c r="O19" s="58"/>
      <c r="P19" s="58"/>
      <c r="Q19" s="212" t="s">
        <v>1364</v>
      </c>
      <c r="R19" s="212" t="s">
        <v>1364</v>
      </c>
      <c r="S19" s="213" t="s">
        <v>1364</v>
      </c>
      <c r="T19" s="213" t="s">
        <v>1364</v>
      </c>
      <c r="U19" s="59"/>
      <c r="V19" s="59"/>
    </row>
    <row r="20" spans="1:28">
      <c r="A20" s="3"/>
      <c r="C20" s="25"/>
      <c r="D20" s="214" t="s">
        <v>1384</v>
      </c>
      <c r="E20" s="214" t="s">
        <v>1385</v>
      </c>
      <c r="F20" s="214" t="s">
        <v>1384</v>
      </c>
      <c r="G20" s="214" t="s">
        <v>1385</v>
      </c>
      <c r="H20" s="214" t="s">
        <v>1384</v>
      </c>
      <c r="I20" s="214" t="s">
        <v>1385</v>
      </c>
      <c r="J20" s="214"/>
      <c r="K20" s="214" t="s">
        <v>1384</v>
      </c>
      <c r="L20" s="214" t="s">
        <v>1385</v>
      </c>
      <c r="M20" s="214" t="s">
        <v>1384</v>
      </c>
      <c r="N20" s="214" t="s">
        <v>1385</v>
      </c>
      <c r="O20" s="215"/>
      <c r="P20" s="215"/>
      <c r="Q20" s="216" t="s">
        <v>1384</v>
      </c>
      <c r="R20" s="216" t="s">
        <v>1385</v>
      </c>
      <c r="S20" s="217" t="s">
        <v>1384</v>
      </c>
      <c r="T20" s="216" t="s">
        <v>1385</v>
      </c>
      <c r="U20" s="218" t="s">
        <v>1384</v>
      </c>
      <c r="V20" s="218" t="s">
        <v>1385</v>
      </c>
      <c r="W20" s="218" t="s">
        <v>1384</v>
      </c>
      <c r="X20" s="218" t="s">
        <v>1385</v>
      </c>
      <c r="Y20" s="218"/>
      <c r="Z20" s="218" t="s">
        <v>1384</v>
      </c>
      <c r="AA20" s="218" t="s">
        <v>1385</v>
      </c>
      <c r="AB20" s="219"/>
    </row>
    <row r="21" spans="1:28">
      <c r="A21" t="s">
        <v>1386</v>
      </c>
      <c r="C21" t="s">
        <v>1387</v>
      </c>
      <c r="D21" s="220">
        <v>550</v>
      </c>
      <c r="E21">
        <f>D21+$D$7</f>
        <v>600</v>
      </c>
      <c r="F21" s="221">
        <f>D21/1000*30</f>
        <v>16.5</v>
      </c>
      <c r="G21" s="221">
        <f>E21/1000*30</f>
        <v>18</v>
      </c>
      <c r="H21" s="222">
        <v>15</v>
      </c>
      <c r="I21" s="223">
        <f>H21*(100%+$D$2)</f>
        <v>13.5</v>
      </c>
      <c r="J21" s="222">
        <v>204</v>
      </c>
      <c r="K21" s="224">
        <f>D21/1000*30+D19</f>
        <v>66.5</v>
      </c>
      <c r="L21" s="224">
        <f>E21/1000*30+D19</f>
        <v>68</v>
      </c>
      <c r="M21" s="225">
        <f t="shared" ref="M21:M45" si="0">$M$17*K21</f>
        <v>33.914999999999999</v>
      </c>
      <c r="N21" s="225">
        <f>$N$17*L21</f>
        <v>40.799999999999997</v>
      </c>
      <c r="O21" s="58">
        <v>30</v>
      </c>
      <c r="P21" s="58">
        <f>O21/30</f>
        <v>1</v>
      </c>
      <c r="Q21" s="226">
        <f t="shared" ref="Q21:Q45" si="1">(K21-$D$19)*$M$17/O21*1000</f>
        <v>280.5</v>
      </c>
      <c r="R21" s="226">
        <f>(L21-$D$19)*$N$17/O21*1000</f>
        <v>360</v>
      </c>
      <c r="S21" s="226">
        <f>AVERAGE($Q$21:Q21)</f>
        <v>280.5</v>
      </c>
      <c r="T21" s="226">
        <f>AVERAGE($Q$21:R21)</f>
        <v>320.25</v>
      </c>
      <c r="U21" s="227" t="str">
        <f t="shared" ref="U21:U45" si="2">IF(M21&lt;$D$4,"Kasvaa",IF(M21=$D$4,"Teuraaksi?","Teuraaksi"))</f>
        <v>Kasvaa</v>
      </c>
      <c r="V21" s="227" t="str">
        <f>IF(N21&lt;$D$5,"Kasvaa",IF(N21=$D$5,"Teuraaksi?","Teuraaksi"))</f>
        <v>Kasvaa</v>
      </c>
      <c r="W21" s="4">
        <f>H21*30</f>
        <v>450</v>
      </c>
      <c r="X21" s="4">
        <f>I21*30</f>
        <v>405</v>
      </c>
      <c r="Y21" s="4">
        <f>J21*30</f>
        <v>6120</v>
      </c>
      <c r="Z21" s="4">
        <f>W21</f>
        <v>450</v>
      </c>
      <c r="AA21" s="4">
        <f>X21</f>
        <v>405</v>
      </c>
      <c r="AB21">
        <f>Y21</f>
        <v>6120</v>
      </c>
    </row>
    <row r="22" spans="1:28">
      <c r="A22" s="228" t="s">
        <v>1388</v>
      </c>
      <c r="C22" s="181" t="s">
        <v>1389</v>
      </c>
      <c r="D22" s="229">
        <v>800</v>
      </c>
      <c r="E22">
        <f t="shared" ref="E22:E45" si="3">D22+$D$7</f>
        <v>850</v>
      </c>
      <c r="F22" s="230">
        <f t="shared" ref="F22:F45" si="4">D22/1000*30</f>
        <v>24</v>
      </c>
      <c r="G22" s="221">
        <f t="shared" ref="G22:G45" si="5">E22/1000*30</f>
        <v>25.5</v>
      </c>
      <c r="H22" s="231">
        <v>26</v>
      </c>
      <c r="I22" s="223">
        <f t="shared" ref="I22:I45" si="6">H22*(100%+$D$2)</f>
        <v>23.400000000000002</v>
      </c>
      <c r="J22" s="231">
        <v>260</v>
      </c>
      <c r="K22" s="232">
        <f t="shared" ref="K22:K45" si="7">D22/1000*30+K21</f>
        <v>90.5</v>
      </c>
      <c r="L22" s="224">
        <f>E22/1000*30+L21</f>
        <v>93.5</v>
      </c>
      <c r="M22" s="225">
        <f t="shared" si="0"/>
        <v>46.155000000000001</v>
      </c>
      <c r="N22" s="225">
        <f t="shared" ref="N22:N45" si="8">$N$17*L22</f>
        <v>56.1</v>
      </c>
      <c r="O22" s="233">
        <v>60</v>
      </c>
      <c r="P22" s="58">
        <f t="shared" ref="P22:P45" si="9">O22/30</f>
        <v>2</v>
      </c>
      <c r="Q22" s="226">
        <f t="shared" si="1"/>
        <v>344.25</v>
      </c>
      <c r="R22" s="226">
        <f t="shared" ref="R22:R45" si="10">(L22-$D$19)*$N$17/O22*1000</f>
        <v>434.99999999999994</v>
      </c>
      <c r="S22" s="226">
        <f>AVERAGE($Q$21:Q22)</f>
        <v>312.375</v>
      </c>
      <c r="T22" s="226">
        <f>AVERAGE($Q$21:R22)</f>
        <v>354.9375</v>
      </c>
      <c r="U22" s="227" t="str">
        <f t="shared" si="2"/>
        <v>Kasvaa</v>
      </c>
      <c r="V22" s="227" t="str">
        <f t="shared" ref="V22:V45" si="11">IF(N22&lt;$D$5,"Kasvaa",IF(N22=$D$5,"Teuraaksi?","Teuraaksi"))</f>
        <v>Kasvaa</v>
      </c>
      <c r="W22" s="234">
        <f t="shared" ref="W22:W45" si="12">H22*30</f>
        <v>780</v>
      </c>
      <c r="X22" s="4">
        <f t="shared" ref="X22:X45" si="13">I22*30</f>
        <v>702.00000000000011</v>
      </c>
      <c r="Y22" s="234">
        <f t="shared" ref="Y22:Y45" si="14">J22*30</f>
        <v>7800</v>
      </c>
      <c r="Z22" s="235">
        <f t="shared" ref="Z22:Z45" si="15">W22+Z21</f>
        <v>1230</v>
      </c>
      <c r="AA22" s="235">
        <f t="shared" ref="AA22:AA45" si="16">X22+AA21</f>
        <v>1107</v>
      </c>
      <c r="AB22">
        <f t="shared" ref="AB22:AB45" si="17">AB21+Y22</f>
        <v>13920</v>
      </c>
    </row>
    <row r="23" spans="1:28">
      <c r="A23" t="s">
        <v>1390</v>
      </c>
      <c r="C23" t="s">
        <v>1391</v>
      </c>
      <c r="D23" s="184">
        <v>1000</v>
      </c>
      <c r="E23">
        <f t="shared" si="3"/>
        <v>1050</v>
      </c>
      <c r="F23" s="236">
        <f t="shared" si="4"/>
        <v>30</v>
      </c>
      <c r="G23" s="221">
        <f t="shared" si="5"/>
        <v>31.5</v>
      </c>
      <c r="H23" s="237">
        <v>39</v>
      </c>
      <c r="I23" s="223">
        <f t="shared" si="6"/>
        <v>35.1</v>
      </c>
      <c r="J23" s="237">
        <v>323</v>
      </c>
      <c r="K23" s="224">
        <f t="shared" si="7"/>
        <v>120.5</v>
      </c>
      <c r="L23" s="224">
        <f t="shared" ref="L23:L45" si="18">E23/1000*30+L22</f>
        <v>125</v>
      </c>
      <c r="M23" s="238">
        <f t="shared" si="0"/>
        <v>61.454999999999998</v>
      </c>
      <c r="N23" s="225">
        <f t="shared" si="8"/>
        <v>75</v>
      </c>
      <c r="O23" s="58">
        <v>90</v>
      </c>
      <c r="P23" s="58">
        <f t="shared" si="9"/>
        <v>3</v>
      </c>
      <c r="Q23" s="226">
        <f t="shared" si="1"/>
        <v>399.49999999999994</v>
      </c>
      <c r="R23" s="226">
        <f t="shared" si="10"/>
        <v>500</v>
      </c>
      <c r="S23" s="226">
        <f>AVERAGE($Q$21:Q23)</f>
        <v>341.41666666666669</v>
      </c>
      <c r="T23" s="226">
        <f>AVERAGE($Q$21:R23)</f>
        <v>386.54166666666669</v>
      </c>
      <c r="U23" s="227" t="str">
        <f t="shared" si="2"/>
        <v>Kasvaa</v>
      </c>
      <c r="V23" s="227" t="str">
        <f t="shared" si="11"/>
        <v>Kasvaa</v>
      </c>
      <c r="W23" s="4">
        <f t="shared" si="12"/>
        <v>1170</v>
      </c>
      <c r="X23" s="4">
        <f t="shared" si="13"/>
        <v>1053</v>
      </c>
      <c r="Y23" s="4">
        <f t="shared" si="14"/>
        <v>9690</v>
      </c>
      <c r="Z23" s="4">
        <f t="shared" si="15"/>
        <v>2400</v>
      </c>
      <c r="AA23" s="4">
        <f t="shared" si="16"/>
        <v>2160</v>
      </c>
      <c r="AB23">
        <f t="shared" si="17"/>
        <v>23610</v>
      </c>
    </row>
    <row r="24" spans="1:28">
      <c r="A24" t="s">
        <v>1390</v>
      </c>
      <c r="C24" t="s">
        <v>1392</v>
      </c>
      <c r="D24" s="5">
        <v>1300</v>
      </c>
      <c r="E24">
        <f t="shared" si="3"/>
        <v>1350</v>
      </c>
      <c r="F24" s="239">
        <f t="shared" si="4"/>
        <v>39</v>
      </c>
      <c r="G24" s="221">
        <f t="shared" si="5"/>
        <v>40.5</v>
      </c>
      <c r="H24" s="8">
        <v>49</v>
      </c>
      <c r="I24" s="223">
        <f t="shared" si="6"/>
        <v>44.1</v>
      </c>
      <c r="J24" s="8">
        <v>391</v>
      </c>
      <c r="K24" s="224">
        <f t="shared" si="7"/>
        <v>159.5</v>
      </c>
      <c r="L24" s="224">
        <f t="shared" si="18"/>
        <v>165.5</v>
      </c>
      <c r="M24" s="240">
        <f t="shared" si="0"/>
        <v>81.344999999999999</v>
      </c>
      <c r="N24" s="225">
        <f t="shared" si="8"/>
        <v>99.3</v>
      </c>
      <c r="O24" s="58">
        <v>120</v>
      </c>
      <c r="P24" s="58">
        <f t="shared" si="9"/>
        <v>4</v>
      </c>
      <c r="Q24" s="226">
        <f t="shared" si="1"/>
        <v>465.375</v>
      </c>
      <c r="R24" s="226">
        <f t="shared" si="10"/>
        <v>577.5</v>
      </c>
      <c r="S24" s="226">
        <f>AVERAGE($Q$21:Q24)</f>
        <v>372.40625</v>
      </c>
      <c r="T24" s="226">
        <f>AVERAGE($Q$21:R24)</f>
        <v>420.265625</v>
      </c>
      <c r="U24" s="227" t="str">
        <f t="shared" si="2"/>
        <v>Kasvaa</v>
      </c>
      <c r="V24" s="227" t="str">
        <f t="shared" si="11"/>
        <v>Kasvaa</v>
      </c>
      <c r="W24" s="4">
        <f t="shared" si="12"/>
        <v>1470</v>
      </c>
      <c r="X24" s="4">
        <f t="shared" si="13"/>
        <v>1323</v>
      </c>
      <c r="Y24" s="4">
        <f t="shared" si="14"/>
        <v>11730</v>
      </c>
      <c r="Z24" s="4">
        <f t="shared" si="15"/>
        <v>3870</v>
      </c>
      <c r="AA24" s="4">
        <f t="shared" si="16"/>
        <v>3483</v>
      </c>
      <c r="AB24">
        <f t="shared" si="17"/>
        <v>35340</v>
      </c>
    </row>
    <row r="25" spans="1:28">
      <c r="A25" t="s">
        <v>1390</v>
      </c>
      <c r="C25" t="s">
        <v>1393</v>
      </c>
      <c r="D25" s="5">
        <v>1600</v>
      </c>
      <c r="E25">
        <f t="shared" si="3"/>
        <v>1650</v>
      </c>
      <c r="F25" s="239">
        <f t="shared" si="4"/>
        <v>48</v>
      </c>
      <c r="G25" s="221">
        <f t="shared" si="5"/>
        <v>49.5</v>
      </c>
      <c r="H25" s="8">
        <v>82</v>
      </c>
      <c r="I25" s="223">
        <f t="shared" si="6"/>
        <v>73.8</v>
      </c>
      <c r="J25" s="8">
        <v>417</v>
      </c>
      <c r="K25" s="224">
        <f t="shared" si="7"/>
        <v>207.5</v>
      </c>
      <c r="L25" s="224">
        <f t="shared" si="18"/>
        <v>215</v>
      </c>
      <c r="M25" s="240">
        <f t="shared" si="0"/>
        <v>105.825</v>
      </c>
      <c r="N25" s="225">
        <f t="shared" si="8"/>
        <v>129</v>
      </c>
      <c r="O25" s="58">
        <v>150</v>
      </c>
      <c r="P25" s="58">
        <f t="shared" si="9"/>
        <v>5</v>
      </c>
      <c r="Q25" s="226">
        <f t="shared" si="1"/>
        <v>535.5</v>
      </c>
      <c r="R25" s="226">
        <f t="shared" si="10"/>
        <v>660</v>
      </c>
      <c r="S25" s="226">
        <f>AVERAGE($Q$21:Q25)</f>
        <v>405.02499999999998</v>
      </c>
      <c r="T25" s="226">
        <f>AVERAGE($Q$21:R25)</f>
        <v>455.76249999999999</v>
      </c>
      <c r="U25" s="227" t="str">
        <f t="shared" si="2"/>
        <v>Kasvaa</v>
      </c>
      <c r="V25" s="227" t="str">
        <f t="shared" si="11"/>
        <v>Kasvaa</v>
      </c>
      <c r="W25" s="4">
        <f t="shared" si="12"/>
        <v>2460</v>
      </c>
      <c r="X25" s="4">
        <f t="shared" si="13"/>
        <v>2214</v>
      </c>
      <c r="Y25" s="4">
        <f t="shared" si="14"/>
        <v>12510</v>
      </c>
      <c r="Z25" s="4">
        <f t="shared" si="15"/>
        <v>6330</v>
      </c>
      <c r="AA25" s="4">
        <f t="shared" si="16"/>
        <v>5697</v>
      </c>
      <c r="AB25">
        <f t="shared" si="17"/>
        <v>47850</v>
      </c>
    </row>
    <row r="26" spans="1:28">
      <c r="A26" t="str">
        <f t="shared" ref="A26:A45" si="19">IF(U25="Kasvaa","Loppukasvatus","")</f>
        <v>Loppukasvatus</v>
      </c>
      <c r="C26" t="s">
        <v>1394</v>
      </c>
      <c r="D26" s="5">
        <v>1600</v>
      </c>
      <c r="E26">
        <f t="shared" si="3"/>
        <v>1650</v>
      </c>
      <c r="F26" s="239">
        <f t="shared" si="4"/>
        <v>48</v>
      </c>
      <c r="G26" s="221">
        <f t="shared" si="5"/>
        <v>49.5</v>
      </c>
      <c r="H26" s="8">
        <v>87</v>
      </c>
      <c r="I26" s="223">
        <f t="shared" si="6"/>
        <v>78.3</v>
      </c>
      <c r="J26" s="8">
        <v>0</v>
      </c>
      <c r="K26" s="224">
        <f t="shared" si="7"/>
        <v>255.5</v>
      </c>
      <c r="L26" s="224">
        <f t="shared" si="18"/>
        <v>264.5</v>
      </c>
      <c r="M26" s="240">
        <f t="shared" si="0"/>
        <v>130.30500000000001</v>
      </c>
      <c r="N26" s="225">
        <f t="shared" si="8"/>
        <v>158.69999999999999</v>
      </c>
      <c r="O26" s="58">
        <v>180</v>
      </c>
      <c r="P26" s="58">
        <f t="shared" si="9"/>
        <v>6</v>
      </c>
      <c r="Q26" s="226">
        <f t="shared" si="1"/>
        <v>582.25</v>
      </c>
      <c r="R26" s="226">
        <f t="shared" si="10"/>
        <v>715</v>
      </c>
      <c r="S26" s="226">
        <f>AVERAGE($Q$21:Q26)</f>
        <v>434.5625</v>
      </c>
      <c r="T26" s="226">
        <f>AVERAGE($Q$21:R26)</f>
        <v>487.90625</v>
      </c>
      <c r="U26" s="227" t="str">
        <f t="shared" si="2"/>
        <v>Kasvaa</v>
      </c>
      <c r="V26" s="227" t="str">
        <f t="shared" si="11"/>
        <v>Kasvaa</v>
      </c>
      <c r="W26" s="4">
        <f t="shared" si="12"/>
        <v>2610</v>
      </c>
      <c r="X26" s="4">
        <f t="shared" si="13"/>
        <v>2349</v>
      </c>
      <c r="Y26" s="4">
        <f t="shared" si="14"/>
        <v>0</v>
      </c>
      <c r="Z26" s="4">
        <f t="shared" si="15"/>
        <v>8940</v>
      </c>
      <c r="AA26" s="4">
        <f t="shared" si="16"/>
        <v>8046</v>
      </c>
      <c r="AB26">
        <f t="shared" si="17"/>
        <v>47850</v>
      </c>
    </row>
    <row r="27" spans="1:28">
      <c r="A27" t="str">
        <f t="shared" si="19"/>
        <v>Loppukasvatus</v>
      </c>
      <c r="C27" t="s">
        <v>1395</v>
      </c>
      <c r="D27" s="5">
        <v>1400</v>
      </c>
      <c r="E27">
        <f t="shared" si="3"/>
        <v>1450</v>
      </c>
      <c r="F27" s="239">
        <f t="shared" si="4"/>
        <v>42</v>
      </c>
      <c r="G27" s="221">
        <f t="shared" si="5"/>
        <v>43.5</v>
      </c>
      <c r="H27" s="8">
        <v>78</v>
      </c>
      <c r="I27" s="223">
        <f t="shared" si="6"/>
        <v>70.2</v>
      </c>
      <c r="J27" s="8">
        <v>0</v>
      </c>
      <c r="K27" s="224">
        <f t="shared" si="7"/>
        <v>297.5</v>
      </c>
      <c r="L27" s="224">
        <f t="shared" si="18"/>
        <v>308</v>
      </c>
      <c r="M27" s="240">
        <f t="shared" si="0"/>
        <v>151.72499999999999</v>
      </c>
      <c r="N27" s="225">
        <f t="shared" si="8"/>
        <v>184.79999999999998</v>
      </c>
      <c r="O27" s="58">
        <v>210</v>
      </c>
      <c r="P27" s="58">
        <f t="shared" si="9"/>
        <v>7</v>
      </c>
      <c r="Q27" s="226">
        <f t="shared" si="1"/>
        <v>601.07142857142856</v>
      </c>
      <c r="R27" s="226">
        <f t="shared" si="10"/>
        <v>737.14285714285711</v>
      </c>
      <c r="S27" s="226">
        <f>AVERAGE($Q$21:Q27)</f>
        <v>458.34948979591837</v>
      </c>
      <c r="T27" s="226">
        <f>AVERAGE($Q$21:R27)</f>
        <v>513.7920918367347</v>
      </c>
      <c r="U27" s="227" t="str">
        <f t="shared" si="2"/>
        <v>Kasvaa</v>
      </c>
      <c r="V27" s="227" t="str">
        <f t="shared" si="11"/>
        <v>Kasvaa</v>
      </c>
      <c r="W27" s="4">
        <f t="shared" si="12"/>
        <v>2340</v>
      </c>
      <c r="X27" s="4">
        <f t="shared" si="13"/>
        <v>2106</v>
      </c>
      <c r="Y27" s="4">
        <f t="shared" si="14"/>
        <v>0</v>
      </c>
      <c r="Z27" s="4">
        <f t="shared" si="15"/>
        <v>11280</v>
      </c>
      <c r="AA27" s="4">
        <f t="shared" si="16"/>
        <v>10152</v>
      </c>
      <c r="AB27">
        <f t="shared" si="17"/>
        <v>47850</v>
      </c>
    </row>
    <row r="28" spans="1:28" ht="12.75" customHeight="1">
      <c r="A28" t="str">
        <f t="shared" si="19"/>
        <v>Loppukasvatus</v>
      </c>
      <c r="C28" t="s">
        <v>1396</v>
      </c>
      <c r="D28" s="5">
        <v>1300</v>
      </c>
      <c r="E28">
        <f t="shared" si="3"/>
        <v>1350</v>
      </c>
      <c r="F28" s="239">
        <f t="shared" si="4"/>
        <v>39</v>
      </c>
      <c r="G28" s="221">
        <f t="shared" si="5"/>
        <v>40.5</v>
      </c>
      <c r="H28" s="8">
        <v>93</v>
      </c>
      <c r="I28" s="223">
        <f t="shared" si="6"/>
        <v>83.7</v>
      </c>
      <c r="J28" s="8">
        <v>0</v>
      </c>
      <c r="K28" s="224">
        <f t="shared" si="7"/>
        <v>336.5</v>
      </c>
      <c r="L28" s="224">
        <f t="shared" si="18"/>
        <v>348.5</v>
      </c>
      <c r="M28" s="240">
        <f t="shared" si="0"/>
        <v>171.61500000000001</v>
      </c>
      <c r="N28" s="225">
        <f t="shared" si="8"/>
        <v>209.1</v>
      </c>
      <c r="O28" s="58">
        <v>240</v>
      </c>
      <c r="P28" s="58">
        <f t="shared" si="9"/>
        <v>8</v>
      </c>
      <c r="Q28" s="226">
        <f t="shared" si="1"/>
        <v>608.81250000000011</v>
      </c>
      <c r="R28" s="226">
        <f t="shared" si="10"/>
        <v>746.25</v>
      </c>
      <c r="S28" s="226">
        <f>AVERAGE($Q$21:Q28)</f>
        <v>477.15736607142856</v>
      </c>
      <c r="T28" s="226">
        <f>AVERAGE($Q$21:R28)</f>
        <v>534.25948660714289</v>
      </c>
      <c r="U28" s="227" t="str">
        <f t="shared" si="2"/>
        <v>Kasvaa</v>
      </c>
      <c r="V28" s="227" t="str">
        <f t="shared" si="11"/>
        <v>Kasvaa</v>
      </c>
      <c r="W28" s="4">
        <f t="shared" si="12"/>
        <v>2790</v>
      </c>
      <c r="X28" s="4">
        <f t="shared" si="13"/>
        <v>2511</v>
      </c>
      <c r="Y28" s="4">
        <f t="shared" si="14"/>
        <v>0</v>
      </c>
      <c r="Z28" s="4">
        <f t="shared" si="15"/>
        <v>14070</v>
      </c>
      <c r="AA28" s="4">
        <f t="shared" si="16"/>
        <v>12663</v>
      </c>
      <c r="AB28">
        <f t="shared" si="17"/>
        <v>47850</v>
      </c>
    </row>
    <row r="29" spans="1:28" ht="12.75" customHeight="1">
      <c r="A29" t="str">
        <f t="shared" si="19"/>
        <v>Loppukasvatus</v>
      </c>
      <c r="C29" t="s">
        <v>1397</v>
      </c>
      <c r="D29" s="5">
        <v>1250</v>
      </c>
      <c r="E29">
        <f t="shared" si="3"/>
        <v>1300</v>
      </c>
      <c r="F29" s="239">
        <f t="shared" si="4"/>
        <v>37.5</v>
      </c>
      <c r="G29" s="221">
        <f t="shared" si="5"/>
        <v>39</v>
      </c>
      <c r="H29" s="8">
        <v>100</v>
      </c>
      <c r="I29" s="223">
        <f t="shared" si="6"/>
        <v>90</v>
      </c>
      <c r="J29" s="8">
        <v>0</v>
      </c>
      <c r="K29" s="224">
        <f t="shared" si="7"/>
        <v>374</v>
      </c>
      <c r="L29" s="224">
        <f t="shared" si="18"/>
        <v>387.5</v>
      </c>
      <c r="M29" s="240">
        <f t="shared" si="0"/>
        <v>190.74</v>
      </c>
      <c r="N29" s="225">
        <f t="shared" si="8"/>
        <v>232.5</v>
      </c>
      <c r="O29" s="58">
        <v>270</v>
      </c>
      <c r="P29" s="58">
        <f t="shared" si="9"/>
        <v>9</v>
      </c>
      <c r="Q29" s="226">
        <f t="shared" si="1"/>
        <v>612</v>
      </c>
      <c r="R29" s="226">
        <f t="shared" si="10"/>
        <v>750</v>
      </c>
      <c r="S29" s="226">
        <f>AVERAGE($Q$21:Q29)</f>
        <v>492.13988095238096</v>
      </c>
      <c r="T29" s="226">
        <f>AVERAGE($Q$21:R29)</f>
        <v>550.56398809523807</v>
      </c>
      <c r="U29" s="227" t="str">
        <f t="shared" si="2"/>
        <v>Kasvaa</v>
      </c>
      <c r="V29" s="227" t="str">
        <f t="shared" si="11"/>
        <v>Kasvaa</v>
      </c>
      <c r="W29" s="4">
        <f t="shared" si="12"/>
        <v>3000</v>
      </c>
      <c r="X29" s="4">
        <f t="shared" si="13"/>
        <v>2700</v>
      </c>
      <c r="Y29" s="4">
        <f t="shared" si="14"/>
        <v>0</v>
      </c>
      <c r="Z29" s="4">
        <f t="shared" si="15"/>
        <v>17070</v>
      </c>
      <c r="AA29" s="4">
        <f t="shared" si="16"/>
        <v>15363</v>
      </c>
      <c r="AB29">
        <f t="shared" si="17"/>
        <v>47850</v>
      </c>
    </row>
    <row r="30" spans="1:28" ht="12.75" customHeight="1">
      <c r="A30" t="str">
        <f t="shared" si="19"/>
        <v>Loppukasvatus</v>
      </c>
      <c r="C30" t="s">
        <v>1398</v>
      </c>
      <c r="D30" s="5">
        <v>1200</v>
      </c>
      <c r="E30">
        <f t="shared" si="3"/>
        <v>1250</v>
      </c>
      <c r="F30" s="239">
        <f t="shared" si="4"/>
        <v>36</v>
      </c>
      <c r="G30" s="221">
        <f t="shared" si="5"/>
        <v>37.5</v>
      </c>
      <c r="H30" s="8">
        <v>100</v>
      </c>
      <c r="I30" s="223">
        <f t="shared" si="6"/>
        <v>90</v>
      </c>
      <c r="J30" s="8">
        <v>0</v>
      </c>
      <c r="K30" s="224">
        <f t="shared" si="7"/>
        <v>410</v>
      </c>
      <c r="L30" s="224">
        <f t="shared" si="18"/>
        <v>425</v>
      </c>
      <c r="M30" s="240">
        <f t="shared" si="0"/>
        <v>209.1</v>
      </c>
      <c r="N30" s="225">
        <f t="shared" si="8"/>
        <v>255</v>
      </c>
      <c r="O30" s="58">
        <v>300</v>
      </c>
      <c r="P30" s="58">
        <f t="shared" si="9"/>
        <v>10</v>
      </c>
      <c r="Q30" s="226">
        <f t="shared" si="1"/>
        <v>612</v>
      </c>
      <c r="R30" s="226">
        <f t="shared" si="10"/>
        <v>750</v>
      </c>
      <c r="S30" s="226">
        <f>AVERAGE($Q$21:Q30)</f>
        <v>504.12589285714284</v>
      </c>
      <c r="T30" s="226">
        <f>AVERAGE($Q$21:R30)</f>
        <v>563.60758928571431</v>
      </c>
      <c r="U30" s="227" t="str">
        <f t="shared" si="2"/>
        <v>Kasvaa</v>
      </c>
      <c r="V30" s="227" t="str">
        <f t="shared" si="11"/>
        <v>Kasvaa</v>
      </c>
      <c r="W30" s="4">
        <f t="shared" si="12"/>
        <v>3000</v>
      </c>
      <c r="X30" s="4">
        <f t="shared" si="13"/>
        <v>2700</v>
      </c>
      <c r="Y30" s="4">
        <f t="shared" si="14"/>
        <v>0</v>
      </c>
      <c r="Z30" s="4">
        <f t="shared" si="15"/>
        <v>20070</v>
      </c>
      <c r="AA30" s="4">
        <f t="shared" si="16"/>
        <v>18063</v>
      </c>
      <c r="AB30">
        <f t="shared" si="17"/>
        <v>47850</v>
      </c>
    </row>
    <row r="31" spans="1:28">
      <c r="A31" t="str">
        <f t="shared" si="19"/>
        <v>Loppukasvatus</v>
      </c>
      <c r="C31" t="s">
        <v>1399</v>
      </c>
      <c r="D31" s="5">
        <v>1100</v>
      </c>
      <c r="E31">
        <f t="shared" si="3"/>
        <v>1150</v>
      </c>
      <c r="F31" s="239">
        <f t="shared" si="4"/>
        <v>33</v>
      </c>
      <c r="G31" s="221">
        <f t="shared" si="5"/>
        <v>34.5</v>
      </c>
      <c r="H31" s="8">
        <v>93</v>
      </c>
      <c r="I31" s="223">
        <f t="shared" si="6"/>
        <v>83.7</v>
      </c>
      <c r="J31" s="8">
        <v>0</v>
      </c>
      <c r="K31" s="224">
        <f t="shared" si="7"/>
        <v>443</v>
      </c>
      <c r="L31" s="224">
        <f t="shared" si="18"/>
        <v>459.5</v>
      </c>
      <c r="M31" s="240">
        <f t="shared" si="0"/>
        <v>225.93</v>
      </c>
      <c r="N31" s="225">
        <f t="shared" si="8"/>
        <v>275.7</v>
      </c>
      <c r="O31" s="58">
        <v>330</v>
      </c>
      <c r="P31" s="58">
        <f t="shared" si="9"/>
        <v>11</v>
      </c>
      <c r="Q31" s="226">
        <f t="shared" si="1"/>
        <v>607.36363636363649</v>
      </c>
      <c r="R31" s="226">
        <f t="shared" si="10"/>
        <v>744.5454545454545</v>
      </c>
      <c r="S31" s="226">
        <f>AVERAGE($Q$21:Q31)</f>
        <v>513.51114226682409</v>
      </c>
      <c r="T31" s="226">
        <f>AVERAGE($Q$21:R31)</f>
        <v>573.82094893742624</v>
      </c>
      <c r="U31" s="227" t="str">
        <f t="shared" si="2"/>
        <v>Kasvaa</v>
      </c>
      <c r="V31" s="227" t="str">
        <f t="shared" si="11"/>
        <v>Kasvaa</v>
      </c>
      <c r="W31" s="4">
        <f t="shared" si="12"/>
        <v>2790</v>
      </c>
      <c r="X31" s="4">
        <f t="shared" si="13"/>
        <v>2511</v>
      </c>
      <c r="Y31" s="4">
        <f t="shared" si="14"/>
        <v>0</v>
      </c>
      <c r="Z31" s="4">
        <f t="shared" si="15"/>
        <v>22860</v>
      </c>
      <c r="AA31" s="4">
        <f t="shared" si="16"/>
        <v>20574</v>
      </c>
      <c r="AB31">
        <f t="shared" si="17"/>
        <v>47850</v>
      </c>
    </row>
    <row r="32" spans="1:28">
      <c r="A32" t="str">
        <f t="shared" si="19"/>
        <v>Loppukasvatus</v>
      </c>
      <c r="C32" t="s">
        <v>1400</v>
      </c>
      <c r="D32" s="5">
        <v>1000</v>
      </c>
      <c r="E32">
        <f t="shared" si="3"/>
        <v>1050</v>
      </c>
      <c r="F32" s="239">
        <f t="shared" si="4"/>
        <v>30</v>
      </c>
      <c r="G32" s="221">
        <f t="shared" si="5"/>
        <v>31.5</v>
      </c>
      <c r="H32" s="8">
        <v>93</v>
      </c>
      <c r="I32" s="223">
        <f t="shared" si="6"/>
        <v>83.7</v>
      </c>
      <c r="J32" s="8">
        <v>0</v>
      </c>
      <c r="K32" s="224">
        <f t="shared" si="7"/>
        <v>473</v>
      </c>
      <c r="L32" s="224">
        <f t="shared" si="18"/>
        <v>491</v>
      </c>
      <c r="M32" s="240">
        <f t="shared" si="0"/>
        <v>241.23000000000002</v>
      </c>
      <c r="N32" s="225">
        <f t="shared" si="8"/>
        <v>294.59999999999997</v>
      </c>
      <c r="O32" s="58">
        <v>360</v>
      </c>
      <c r="P32" s="58">
        <f t="shared" si="9"/>
        <v>12</v>
      </c>
      <c r="Q32" s="226">
        <f t="shared" si="1"/>
        <v>599.25</v>
      </c>
      <c r="R32" s="226">
        <f t="shared" si="10"/>
        <v>734.99999999999989</v>
      </c>
      <c r="S32" s="226">
        <f>AVERAGE($Q$21:Q32)</f>
        <v>520.65604707792215</v>
      </c>
      <c r="T32" s="226">
        <f>AVERAGE($Q$21:R32)</f>
        <v>581.59628652597405</v>
      </c>
      <c r="U32" s="227" t="str">
        <f t="shared" si="2"/>
        <v>Kasvaa</v>
      </c>
      <c r="V32" s="227" t="str">
        <f t="shared" si="11"/>
        <v>Kasvaa</v>
      </c>
      <c r="W32" s="4">
        <f t="shared" si="12"/>
        <v>2790</v>
      </c>
      <c r="X32" s="4">
        <f t="shared" si="13"/>
        <v>2511</v>
      </c>
      <c r="Y32" s="4">
        <f t="shared" si="14"/>
        <v>0</v>
      </c>
      <c r="Z32" s="4">
        <f t="shared" si="15"/>
        <v>25650</v>
      </c>
      <c r="AA32" s="4">
        <f t="shared" si="16"/>
        <v>23085</v>
      </c>
      <c r="AB32">
        <f t="shared" si="17"/>
        <v>47850</v>
      </c>
    </row>
    <row r="33" spans="1:28">
      <c r="A33" t="str">
        <f t="shared" si="19"/>
        <v>Loppukasvatus</v>
      </c>
      <c r="C33" t="s">
        <v>1401</v>
      </c>
      <c r="D33" s="5">
        <v>1000</v>
      </c>
      <c r="E33">
        <f t="shared" si="3"/>
        <v>1050</v>
      </c>
      <c r="F33" s="239">
        <f t="shared" si="4"/>
        <v>30</v>
      </c>
      <c r="G33" s="221">
        <f t="shared" si="5"/>
        <v>31.5</v>
      </c>
      <c r="H33" s="8">
        <v>93</v>
      </c>
      <c r="I33" s="223">
        <f t="shared" si="6"/>
        <v>83.7</v>
      </c>
      <c r="J33" s="8">
        <v>0</v>
      </c>
      <c r="K33" s="224">
        <f t="shared" si="7"/>
        <v>503</v>
      </c>
      <c r="L33" s="224">
        <f t="shared" si="18"/>
        <v>522.5</v>
      </c>
      <c r="M33" s="240">
        <f t="shared" si="0"/>
        <v>256.53000000000003</v>
      </c>
      <c r="N33" s="225">
        <f t="shared" si="8"/>
        <v>313.5</v>
      </c>
      <c r="O33" s="58">
        <v>390</v>
      </c>
      <c r="P33" s="58">
        <f t="shared" si="9"/>
        <v>13</v>
      </c>
      <c r="Q33" s="226">
        <f t="shared" si="1"/>
        <v>592.38461538461536</v>
      </c>
      <c r="R33" s="226">
        <f t="shared" si="10"/>
        <v>726.92307692307691</v>
      </c>
      <c r="S33" s="226">
        <f>AVERAGE($Q$21:Q33)</f>
        <v>526.17362925536008</v>
      </c>
      <c r="T33" s="226">
        <f>AVERAGE($Q$21:R33)</f>
        <v>587.6007141896564</v>
      </c>
      <c r="U33" s="227" t="str">
        <f t="shared" si="2"/>
        <v>Kasvaa</v>
      </c>
      <c r="V33" s="227" t="str">
        <f t="shared" si="11"/>
        <v>Kasvaa</v>
      </c>
      <c r="W33" s="4">
        <f t="shared" si="12"/>
        <v>2790</v>
      </c>
      <c r="X33" s="4">
        <f t="shared" si="13"/>
        <v>2511</v>
      </c>
      <c r="Y33" s="4">
        <f t="shared" si="14"/>
        <v>0</v>
      </c>
      <c r="Z33" s="4">
        <f t="shared" si="15"/>
        <v>28440</v>
      </c>
      <c r="AA33" s="4">
        <f t="shared" si="16"/>
        <v>25596</v>
      </c>
      <c r="AB33">
        <f t="shared" si="17"/>
        <v>47850</v>
      </c>
    </row>
    <row r="34" spans="1:28">
      <c r="A34" t="str">
        <f t="shared" si="19"/>
        <v>Loppukasvatus</v>
      </c>
      <c r="C34" t="s">
        <v>1402</v>
      </c>
      <c r="D34" s="5">
        <v>1000</v>
      </c>
      <c r="E34">
        <f t="shared" si="3"/>
        <v>1050</v>
      </c>
      <c r="F34" s="239">
        <f t="shared" si="4"/>
        <v>30</v>
      </c>
      <c r="G34" s="221">
        <f t="shared" si="5"/>
        <v>31.5</v>
      </c>
      <c r="H34" s="8">
        <v>93</v>
      </c>
      <c r="I34" s="223">
        <f t="shared" si="6"/>
        <v>83.7</v>
      </c>
      <c r="J34" s="8">
        <v>0</v>
      </c>
      <c r="K34" s="224">
        <f t="shared" si="7"/>
        <v>533</v>
      </c>
      <c r="L34" s="224">
        <f t="shared" si="18"/>
        <v>554</v>
      </c>
      <c r="M34" s="240">
        <f t="shared" si="0"/>
        <v>271.83</v>
      </c>
      <c r="N34" s="225">
        <f t="shared" si="8"/>
        <v>332.4</v>
      </c>
      <c r="O34" s="58">
        <v>420</v>
      </c>
      <c r="P34" s="58">
        <f t="shared" si="9"/>
        <v>14</v>
      </c>
      <c r="Q34" s="226">
        <f t="shared" si="1"/>
        <v>586.5</v>
      </c>
      <c r="R34" s="226">
        <f t="shared" si="10"/>
        <v>720</v>
      </c>
      <c r="S34" s="226">
        <f>AVERAGE($Q$21:Q34)</f>
        <v>530.48265573712001</v>
      </c>
      <c r="T34" s="226">
        <f>AVERAGE($Q$21:R34)</f>
        <v>592.28994889039518</v>
      </c>
      <c r="U34" s="227" t="str">
        <f t="shared" si="2"/>
        <v>Kasvaa</v>
      </c>
      <c r="V34" s="227" t="str">
        <f t="shared" si="11"/>
        <v>Kasvaa</v>
      </c>
      <c r="W34" s="4">
        <f t="shared" si="12"/>
        <v>2790</v>
      </c>
      <c r="X34" s="4">
        <f t="shared" si="13"/>
        <v>2511</v>
      </c>
      <c r="Y34" s="4">
        <f t="shared" si="14"/>
        <v>0</v>
      </c>
      <c r="Z34" s="4">
        <f t="shared" si="15"/>
        <v>31230</v>
      </c>
      <c r="AA34" s="4">
        <f t="shared" si="16"/>
        <v>28107</v>
      </c>
      <c r="AB34">
        <f t="shared" si="17"/>
        <v>47850</v>
      </c>
    </row>
    <row r="35" spans="1:28">
      <c r="A35" t="str">
        <f t="shared" si="19"/>
        <v>Loppukasvatus</v>
      </c>
      <c r="C35" t="s">
        <v>1403</v>
      </c>
      <c r="D35" s="5">
        <v>1000</v>
      </c>
      <c r="E35">
        <f t="shared" si="3"/>
        <v>1050</v>
      </c>
      <c r="F35" s="239">
        <f t="shared" si="4"/>
        <v>30</v>
      </c>
      <c r="G35" s="221">
        <f t="shared" si="5"/>
        <v>31.5</v>
      </c>
      <c r="H35" s="8">
        <v>93</v>
      </c>
      <c r="I35" s="223">
        <f t="shared" si="6"/>
        <v>83.7</v>
      </c>
      <c r="J35" s="8">
        <v>0</v>
      </c>
      <c r="K35" s="224">
        <f t="shared" si="7"/>
        <v>563</v>
      </c>
      <c r="L35" s="224">
        <f t="shared" si="18"/>
        <v>585.5</v>
      </c>
      <c r="M35" s="240">
        <f t="shared" si="0"/>
        <v>287.13</v>
      </c>
      <c r="N35" s="225">
        <f t="shared" si="8"/>
        <v>351.3</v>
      </c>
      <c r="O35" s="58">
        <v>450</v>
      </c>
      <c r="P35" s="58">
        <f t="shared" si="9"/>
        <v>15</v>
      </c>
      <c r="Q35" s="226">
        <f t="shared" si="1"/>
        <v>581.4</v>
      </c>
      <c r="R35" s="226">
        <f t="shared" si="10"/>
        <v>714.00000000000011</v>
      </c>
      <c r="S35" s="226">
        <f>AVERAGE($Q$21:Q35)</f>
        <v>533.87714535464534</v>
      </c>
      <c r="T35" s="226">
        <f>AVERAGE($Q$21:R35)</f>
        <v>595.98395229770222</v>
      </c>
      <c r="U35" s="227" t="str">
        <f t="shared" si="2"/>
        <v>Kasvaa</v>
      </c>
      <c r="V35" s="227" t="str">
        <f t="shared" si="11"/>
        <v>Kasvaa</v>
      </c>
      <c r="W35" s="4">
        <f t="shared" si="12"/>
        <v>2790</v>
      </c>
      <c r="X35" s="4">
        <f t="shared" si="13"/>
        <v>2511</v>
      </c>
      <c r="Y35" s="4">
        <f t="shared" si="14"/>
        <v>0</v>
      </c>
      <c r="Z35" s="4">
        <f t="shared" si="15"/>
        <v>34020</v>
      </c>
      <c r="AA35" s="4">
        <f t="shared" si="16"/>
        <v>30618</v>
      </c>
      <c r="AB35">
        <f t="shared" si="17"/>
        <v>47850</v>
      </c>
    </row>
    <row r="36" spans="1:28">
      <c r="A36" t="str">
        <f t="shared" si="19"/>
        <v>Loppukasvatus</v>
      </c>
      <c r="C36" t="s">
        <v>1404</v>
      </c>
      <c r="D36" s="5">
        <v>1000</v>
      </c>
      <c r="E36">
        <f t="shared" si="3"/>
        <v>1050</v>
      </c>
      <c r="F36" s="239">
        <f t="shared" si="4"/>
        <v>30</v>
      </c>
      <c r="G36" s="221">
        <f t="shared" si="5"/>
        <v>31.5</v>
      </c>
      <c r="H36" s="8">
        <v>90</v>
      </c>
      <c r="I36" s="223">
        <f t="shared" si="6"/>
        <v>81</v>
      </c>
      <c r="J36" s="8">
        <v>0</v>
      </c>
      <c r="K36" s="224">
        <f t="shared" si="7"/>
        <v>593</v>
      </c>
      <c r="L36" s="224">
        <f t="shared" si="18"/>
        <v>617</v>
      </c>
      <c r="M36" s="240">
        <f t="shared" si="0"/>
        <v>302.43</v>
      </c>
      <c r="N36" s="225">
        <f t="shared" si="8"/>
        <v>370.2</v>
      </c>
      <c r="O36" s="58">
        <v>480</v>
      </c>
      <c r="P36" s="58">
        <f t="shared" si="9"/>
        <v>16</v>
      </c>
      <c r="Q36" s="226">
        <f t="shared" si="1"/>
        <v>576.9375</v>
      </c>
      <c r="R36" s="226">
        <f t="shared" si="10"/>
        <v>708.75</v>
      </c>
      <c r="S36" s="226">
        <f>AVERAGE($Q$21:Q36)</f>
        <v>536.56841751998002</v>
      </c>
      <c r="T36" s="226">
        <f>AVERAGE($Q$21:R36)</f>
        <v>598.91268965409586</v>
      </c>
      <c r="U36" s="227" t="str">
        <f t="shared" si="2"/>
        <v>Kasvaa</v>
      </c>
      <c r="V36" s="227" t="str">
        <f t="shared" si="11"/>
        <v>Teuraaksi</v>
      </c>
      <c r="W36" s="4">
        <f t="shared" si="12"/>
        <v>2700</v>
      </c>
      <c r="X36" s="4">
        <f t="shared" si="13"/>
        <v>2430</v>
      </c>
      <c r="Y36" s="4">
        <f t="shared" si="14"/>
        <v>0</v>
      </c>
      <c r="Z36" s="4">
        <f t="shared" si="15"/>
        <v>36720</v>
      </c>
      <c r="AA36" s="4">
        <f t="shared" si="16"/>
        <v>33048</v>
      </c>
      <c r="AB36">
        <f t="shared" si="17"/>
        <v>47850</v>
      </c>
    </row>
    <row r="37" spans="1:28">
      <c r="A37" t="str">
        <f t="shared" si="19"/>
        <v>Loppukasvatus</v>
      </c>
      <c r="C37" t="s">
        <v>1405</v>
      </c>
      <c r="D37" s="5">
        <v>1000</v>
      </c>
      <c r="E37">
        <f t="shared" si="3"/>
        <v>1050</v>
      </c>
      <c r="F37" s="239">
        <f t="shared" si="4"/>
        <v>30</v>
      </c>
      <c r="G37" s="221">
        <f t="shared" si="5"/>
        <v>31.5</v>
      </c>
      <c r="H37" s="8">
        <v>91</v>
      </c>
      <c r="I37" s="223">
        <f t="shared" si="6"/>
        <v>81.900000000000006</v>
      </c>
      <c r="J37" s="8">
        <v>0</v>
      </c>
      <c r="K37" s="224">
        <f t="shared" si="7"/>
        <v>623</v>
      </c>
      <c r="L37" s="224">
        <f t="shared" si="18"/>
        <v>648.5</v>
      </c>
      <c r="M37" s="240">
        <f t="shared" si="0"/>
        <v>317.73</v>
      </c>
      <c r="N37" s="225">
        <f t="shared" si="8"/>
        <v>389.09999999999997</v>
      </c>
      <c r="O37" s="58">
        <v>510</v>
      </c>
      <c r="P37" s="58">
        <f t="shared" si="9"/>
        <v>17</v>
      </c>
      <c r="Q37" s="226">
        <f t="shared" si="1"/>
        <v>573.00000000000011</v>
      </c>
      <c r="R37" s="226">
        <f t="shared" si="10"/>
        <v>704.11764705882354</v>
      </c>
      <c r="S37" s="226">
        <f>AVERAGE($Q$21:Q37)</f>
        <v>538.7114517835106</v>
      </c>
      <c r="T37" s="226">
        <f>AVERAGE($Q$21:R37)</f>
        <v>601.24481517617335</v>
      </c>
      <c r="U37" s="227" t="str">
        <f t="shared" si="2"/>
        <v>Kasvaa</v>
      </c>
      <c r="V37" s="227" t="str">
        <f t="shared" si="11"/>
        <v>Teuraaksi</v>
      </c>
      <c r="W37" s="4">
        <f t="shared" si="12"/>
        <v>2730</v>
      </c>
      <c r="X37" s="4">
        <f t="shared" si="13"/>
        <v>2457</v>
      </c>
      <c r="Y37" s="4">
        <f t="shared" si="14"/>
        <v>0</v>
      </c>
      <c r="Z37" s="4">
        <f t="shared" si="15"/>
        <v>39450</v>
      </c>
      <c r="AA37" s="4">
        <f t="shared" si="16"/>
        <v>35505</v>
      </c>
      <c r="AB37">
        <f t="shared" si="17"/>
        <v>47850</v>
      </c>
    </row>
    <row r="38" spans="1:28">
      <c r="A38" t="str">
        <f t="shared" si="19"/>
        <v>Loppukasvatus</v>
      </c>
      <c r="C38" t="s">
        <v>1406</v>
      </c>
      <c r="D38" s="5">
        <v>1000</v>
      </c>
      <c r="E38">
        <f t="shared" si="3"/>
        <v>1050</v>
      </c>
      <c r="F38" s="239">
        <f t="shared" si="4"/>
        <v>30</v>
      </c>
      <c r="G38" s="221">
        <f t="shared" si="5"/>
        <v>31.5</v>
      </c>
      <c r="H38" s="8">
        <v>92</v>
      </c>
      <c r="I38" s="223">
        <f t="shared" si="6"/>
        <v>82.8</v>
      </c>
      <c r="J38" s="8">
        <v>0</v>
      </c>
      <c r="K38" s="224">
        <f t="shared" si="7"/>
        <v>653</v>
      </c>
      <c r="L38" s="224">
        <f t="shared" si="18"/>
        <v>680</v>
      </c>
      <c r="M38" s="240">
        <f t="shared" si="0"/>
        <v>333.03000000000003</v>
      </c>
      <c r="N38" s="225">
        <f t="shared" si="8"/>
        <v>408</v>
      </c>
      <c r="O38" s="58">
        <v>540</v>
      </c>
      <c r="P38" s="58">
        <f t="shared" si="9"/>
        <v>18</v>
      </c>
      <c r="Q38" s="226">
        <f t="shared" si="1"/>
        <v>569.5</v>
      </c>
      <c r="R38" s="226">
        <f t="shared" si="10"/>
        <v>700</v>
      </c>
      <c r="S38" s="226">
        <f>AVERAGE($Q$21:Q38)</f>
        <v>540.42192668442669</v>
      </c>
      <c r="T38" s="226">
        <f>AVERAGE($Q$21:R38)</f>
        <v>603.10621433305255</v>
      </c>
      <c r="U38" s="227" t="str">
        <f t="shared" si="2"/>
        <v>Kasvaa</v>
      </c>
      <c r="V38" s="227" t="str">
        <f t="shared" si="11"/>
        <v>Teuraaksi</v>
      </c>
      <c r="W38" s="4">
        <f t="shared" si="12"/>
        <v>2760</v>
      </c>
      <c r="X38" s="4">
        <f t="shared" si="13"/>
        <v>2484</v>
      </c>
      <c r="Y38" s="4">
        <f t="shared" si="14"/>
        <v>0</v>
      </c>
      <c r="Z38" s="4">
        <f t="shared" si="15"/>
        <v>42210</v>
      </c>
      <c r="AA38" s="4">
        <f t="shared" si="16"/>
        <v>37989</v>
      </c>
      <c r="AB38">
        <f t="shared" si="17"/>
        <v>47850</v>
      </c>
    </row>
    <row r="39" spans="1:28">
      <c r="A39" t="str">
        <f t="shared" si="19"/>
        <v>Loppukasvatus</v>
      </c>
      <c r="C39" t="s">
        <v>1407</v>
      </c>
      <c r="D39" s="5">
        <v>1000</v>
      </c>
      <c r="E39">
        <f t="shared" si="3"/>
        <v>1050</v>
      </c>
      <c r="F39" s="239">
        <f t="shared" si="4"/>
        <v>30</v>
      </c>
      <c r="G39" s="221">
        <f t="shared" si="5"/>
        <v>31.5</v>
      </c>
      <c r="H39" s="8">
        <v>93</v>
      </c>
      <c r="I39" s="223">
        <f t="shared" si="6"/>
        <v>83.7</v>
      </c>
      <c r="J39" s="8">
        <v>0</v>
      </c>
      <c r="K39" s="224">
        <f t="shared" si="7"/>
        <v>683</v>
      </c>
      <c r="L39" s="224">
        <f t="shared" si="18"/>
        <v>711.5</v>
      </c>
      <c r="M39" s="240">
        <f t="shared" si="0"/>
        <v>348.33</v>
      </c>
      <c r="N39" s="225">
        <f t="shared" si="8"/>
        <v>426.9</v>
      </c>
      <c r="O39" s="58">
        <v>570</v>
      </c>
      <c r="P39" s="58">
        <f t="shared" si="9"/>
        <v>19</v>
      </c>
      <c r="Q39" s="226">
        <f t="shared" si="1"/>
        <v>566.36842105263156</v>
      </c>
      <c r="R39" s="226">
        <f t="shared" si="10"/>
        <v>696.31578947368428</v>
      </c>
      <c r="S39" s="226">
        <f>AVERAGE($Q$21:Q39)</f>
        <v>541.78753165117428</v>
      </c>
      <c r="T39" s="226">
        <f>AVERAGE($Q$21:R39)</f>
        <v>604.59231385568967</v>
      </c>
      <c r="U39" s="227" t="str">
        <f t="shared" si="2"/>
        <v>Teuraaksi</v>
      </c>
      <c r="V39" s="227" t="str">
        <f t="shared" si="11"/>
        <v>Teuraaksi</v>
      </c>
      <c r="W39" s="4">
        <f t="shared" si="12"/>
        <v>2790</v>
      </c>
      <c r="X39" s="4">
        <f t="shared" si="13"/>
        <v>2511</v>
      </c>
      <c r="Y39" s="4">
        <f t="shared" si="14"/>
        <v>0</v>
      </c>
      <c r="Z39" s="4">
        <f t="shared" si="15"/>
        <v>45000</v>
      </c>
      <c r="AA39" s="4">
        <f t="shared" si="16"/>
        <v>40500</v>
      </c>
      <c r="AB39">
        <f t="shared" si="17"/>
        <v>47850</v>
      </c>
    </row>
    <row r="40" spans="1:28">
      <c r="A40" t="str">
        <f t="shared" si="19"/>
        <v/>
      </c>
      <c r="C40" t="s">
        <v>1408</v>
      </c>
      <c r="D40" s="5">
        <v>900</v>
      </c>
      <c r="E40">
        <f t="shared" si="3"/>
        <v>950</v>
      </c>
      <c r="F40" s="239">
        <f t="shared" si="4"/>
        <v>27</v>
      </c>
      <c r="G40" s="221">
        <f t="shared" si="5"/>
        <v>28.5</v>
      </c>
      <c r="H40" s="8">
        <v>94</v>
      </c>
      <c r="I40" s="223">
        <f t="shared" si="6"/>
        <v>84.600000000000009</v>
      </c>
      <c r="J40" s="8">
        <v>0</v>
      </c>
      <c r="K40" s="224">
        <f t="shared" si="7"/>
        <v>710</v>
      </c>
      <c r="L40" s="224">
        <f t="shared" si="18"/>
        <v>740</v>
      </c>
      <c r="M40" s="240">
        <f t="shared" si="0"/>
        <v>362.1</v>
      </c>
      <c r="N40" s="225">
        <f t="shared" si="8"/>
        <v>444</v>
      </c>
      <c r="O40" s="58">
        <v>600</v>
      </c>
      <c r="P40" s="58">
        <f t="shared" si="9"/>
        <v>20</v>
      </c>
      <c r="Q40" s="226">
        <f t="shared" si="1"/>
        <v>561</v>
      </c>
      <c r="R40" s="226">
        <f t="shared" si="10"/>
        <v>690</v>
      </c>
      <c r="S40" s="226">
        <f>AVERAGE($Q$21:Q40)</f>
        <v>542.74815506861557</v>
      </c>
      <c r="T40" s="226">
        <f>AVERAGE($Q$21:R40)</f>
        <v>605.63769816290517</v>
      </c>
      <c r="U40" s="227" t="str">
        <f t="shared" si="2"/>
        <v>Teuraaksi</v>
      </c>
      <c r="V40" s="227" t="str">
        <f t="shared" si="11"/>
        <v>Teuraaksi</v>
      </c>
      <c r="W40" s="4">
        <f t="shared" si="12"/>
        <v>2820</v>
      </c>
      <c r="X40" s="4">
        <f t="shared" si="13"/>
        <v>2538.0000000000005</v>
      </c>
      <c r="Y40" s="4">
        <f t="shared" si="14"/>
        <v>0</v>
      </c>
      <c r="Z40" s="4">
        <f t="shared" si="15"/>
        <v>47820</v>
      </c>
      <c r="AA40" s="4">
        <f t="shared" si="16"/>
        <v>43038</v>
      </c>
      <c r="AB40">
        <f t="shared" si="17"/>
        <v>47850</v>
      </c>
    </row>
    <row r="41" spans="1:28" ht="13.5" customHeight="1">
      <c r="A41" t="str">
        <f t="shared" si="19"/>
        <v/>
      </c>
      <c r="C41" t="s">
        <v>1409</v>
      </c>
      <c r="D41" s="5">
        <v>800</v>
      </c>
      <c r="E41">
        <f t="shared" si="3"/>
        <v>850</v>
      </c>
      <c r="F41" s="239">
        <f t="shared" si="4"/>
        <v>24</v>
      </c>
      <c r="G41" s="221">
        <f t="shared" si="5"/>
        <v>25.5</v>
      </c>
      <c r="H41" s="8">
        <v>95</v>
      </c>
      <c r="I41" s="223">
        <f t="shared" si="6"/>
        <v>85.5</v>
      </c>
      <c r="J41" s="8">
        <v>0</v>
      </c>
      <c r="K41" s="224">
        <f t="shared" si="7"/>
        <v>734</v>
      </c>
      <c r="L41" s="224">
        <f t="shared" si="18"/>
        <v>765.5</v>
      </c>
      <c r="M41" s="240">
        <f t="shared" si="0"/>
        <v>374.34000000000003</v>
      </c>
      <c r="N41" s="225">
        <f t="shared" si="8"/>
        <v>459.3</v>
      </c>
      <c r="O41" s="58">
        <v>630</v>
      </c>
      <c r="P41" s="58">
        <f t="shared" si="9"/>
        <v>21</v>
      </c>
      <c r="Q41" s="226">
        <f t="shared" si="1"/>
        <v>553.71428571428567</v>
      </c>
      <c r="R41" s="226">
        <f t="shared" si="10"/>
        <v>681.42857142857144</v>
      </c>
      <c r="S41" s="226">
        <f>AVERAGE($Q$21:Q41)</f>
        <v>543.27035176602851</v>
      </c>
      <c r="T41" s="226">
        <f>AVERAGE($Q$21:R41)</f>
        <v>606.20597103950149</v>
      </c>
      <c r="U41" s="227" t="str">
        <f t="shared" si="2"/>
        <v>Teuraaksi</v>
      </c>
      <c r="V41" s="227" t="str">
        <f t="shared" si="11"/>
        <v>Teuraaksi</v>
      </c>
      <c r="W41" s="4">
        <f t="shared" si="12"/>
        <v>2850</v>
      </c>
      <c r="X41" s="4">
        <f t="shared" si="13"/>
        <v>2565</v>
      </c>
      <c r="Y41" s="4">
        <f t="shared" si="14"/>
        <v>0</v>
      </c>
      <c r="Z41" s="4">
        <f t="shared" si="15"/>
        <v>50670</v>
      </c>
      <c r="AA41" s="4">
        <f t="shared" si="16"/>
        <v>45603</v>
      </c>
      <c r="AB41">
        <f t="shared" si="17"/>
        <v>47850</v>
      </c>
    </row>
    <row r="42" spans="1:28">
      <c r="A42" t="str">
        <f t="shared" si="19"/>
        <v/>
      </c>
      <c r="C42" t="s">
        <v>1410</v>
      </c>
      <c r="D42" s="5">
        <v>200</v>
      </c>
      <c r="E42">
        <f t="shared" si="3"/>
        <v>250</v>
      </c>
      <c r="F42" s="239">
        <f t="shared" si="4"/>
        <v>6</v>
      </c>
      <c r="G42" s="221">
        <f t="shared" si="5"/>
        <v>7.5</v>
      </c>
      <c r="H42" s="8">
        <v>96</v>
      </c>
      <c r="I42" s="223">
        <f t="shared" si="6"/>
        <v>86.4</v>
      </c>
      <c r="J42" s="8">
        <v>0</v>
      </c>
      <c r="K42" s="224">
        <f t="shared" si="7"/>
        <v>740</v>
      </c>
      <c r="L42" s="224">
        <f t="shared" si="18"/>
        <v>773</v>
      </c>
      <c r="M42" s="240">
        <f t="shared" si="0"/>
        <v>377.40000000000003</v>
      </c>
      <c r="N42" s="225">
        <f t="shared" si="8"/>
        <v>463.79999999999995</v>
      </c>
      <c r="O42" s="58">
        <v>660</v>
      </c>
      <c r="P42" s="58">
        <f t="shared" si="9"/>
        <v>22</v>
      </c>
      <c r="Q42" s="226">
        <f t="shared" si="1"/>
        <v>533.18181818181824</v>
      </c>
      <c r="R42" s="226">
        <f t="shared" si="10"/>
        <v>657.27272727272737</v>
      </c>
      <c r="S42" s="226">
        <f>AVERAGE($Q$21:Q42)</f>
        <v>542.81178205765525</v>
      </c>
      <c r="T42" s="226">
        <f>AVERAGE($Q$21:R42)</f>
        <v>605.70693929803667</v>
      </c>
      <c r="U42" s="227" t="str">
        <f t="shared" si="2"/>
        <v>Teuraaksi</v>
      </c>
      <c r="V42" s="227" t="str">
        <f t="shared" si="11"/>
        <v>Teuraaksi</v>
      </c>
      <c r="W42" s="4">
        <f t="shared" si="12"/>
        <v>2880</v>
      </c>
      <c r="X42" s="4">
        <f t="shared" si="13"/>
        <v>2592</v>
      </c>
      <c r="Y42" s="4">
        <f t="shared" si="14"/>
        <v>0</v>
      </c>
      <c r="Z42" s="4">
        <f t="shared" si="15"/>
        <v>53550</v>
      </c>
      <c r="AA42" s="4">
        <f t="shared" si="16"/>
        <v>48195</v>
      </c>
      <c r="AB42">
        <f t="shared" si="17"/>
        <v>47850</v>
      </c>
    </row>
    <row r="43" spans="1:28">
      <c r="A43" t="str">
        <f t="shared" si="19"/>
        <v/>
      </c>
      <c r="C43" t="s">
        <v>1411</v>
      </c>
      <c r="D43" s="5">
        <v>200</v>
      </c>
      <c r="E43">
        <f t="shared" si="3"/>
        <v>250</v>
      </c>
      <c r="F43" s="239">
        <f t="shared" si="4"/>
        <v>6</v>
      </c>
      <c r="G43" s="221">
        <f t="shared" si="5"/>
        <v>7.5</v>
      </c>
      <c r="H43" s="8">
        <v>97</v>
      </c>
      <c r="I43" s="223">
        <f t="shared" si="6"/>
        <v>87.3</v>
      </c>
      <c r="J43" s="8">
        <v>0</v>
      </c>
      <c r="K43" s="224">
        <f t="shared" si="7"/>
        <v>746</v>
      </c>
      <c r="L43" s="224">
        <f t="shared" si="18"/>
        <v>780.5</v>
      </c>
      <c r="M43" s="240">
        <f t="shared" si="0"/>
        <v>380.46</v>
      </c>
      <c r="N43" s="225">
        <f t="shared" si="8"/>
        <v>468.29999999999995</v>
      </c>
      <c r="O43" s="58">
        <v>690</v>
      </c>
      <c r="P43" s="58">
        <f t="shared" si="9"/>
        <v>23</v>
      </c>
      <c r="Q43" s="226">
        <f t="shared" si="1"/>
        <v>514.43478260869563</v>
      </c>
      <c r="R43" s="226">
        <f t="shared" si="10"/>
        <v>635.21739130434787</v>
      </c>
      <c r="S43" s="226">
        <f>AVERAGE($Q$21:Q43)</f>
        <v>541.5779994729179</v>
      </c>
      <c r="T43" s="226">
        <f>AVERAGE($Q$21:R43)</f>
        <v>604.36429354405777</v>
      </c>
      <c r="U43" s="227" t="str">
        <f t="shared" si="2"/>
        <v>Teuraaksi</v>
      </c>
      <c r="V43" s="227" t="str">
        <f t="shared" si="11"/>
        <v>Teuraaksi</v>
      </c>
      <c r="W43" s="4">
        <f t="shared" si="12"/>
        <v>2910</v>
      </c>
      <c r="X43" s="4">
        <f t="shared" si="13"/>
        <v>2619</v>
      </c>
      <c r="Y43" s="4">
        <f t="shared" si="14"/>
        <v>0</v>
      </c>
      <c r="Z43" s="4">
        <f t="shared" si="15"/>
        <v>56460</v>
      </c>
      <c r="AA43" s="4">
        <f t="shared" si="16"/>
        <v>50814</v>
      </c>
      <c r="AB43">
        <f t="shared" si="17"/>
        <v>47850</v>
      </c>
    </row>
    <row r="44" spans="1:28">
      <c r="A44" t="str">
        <f t="shared" si="19"/>
        <v/>
      </c>
      <c r="C44" t="s">
        <v>1412</v>
      </c>
      <c r="D44" s="5">
        <v>200</v>
      </c>
      <c r="E44">
        <f t="shared" si="3"/>
        <v>250</v>
      </c>
      <c r="F44" s="239">
        <f t="shared" si="4"/>
        <v>6</v>
      </c>
      <c r="G44" s="221">
        <f t="shared" si="5"/>
        <v>7.5</v>
      </c>
      <c r="H44" s="8">
        <v>98</v>
      </c>
      <c r="I44" s="223">
        <f t="shared" si="6"/>
        <v>88.2</v>
      </c>
      <c r="J44" s="8">
        <v>0</v>
      </c>
      <c r="K44" s="224">
        <f t="shared" si="7"/>
        <v>752</v>
      </c>
      <c r="L44" s="224">
        <f t="shared" si="18"/>
        <v>788</v>
      </c>
      <c r="M44" s="240">
        <f t="shared" si="0"/>
        <v>383.52</v>
      </c>
      <c r="N44" s="225">
        <f t="shared" si="8"/>
        <v>472.79999999999995</v>
      </c>
      <c r="O44" s="58">
        <v>720</v>
      </c>
      <c r="P44" s="58">
        <f t="shared" si="9"/>
        <v>24</v>
      </c>
      <c r="Q44" s="226">
        <f t="shared" si="1"/>
        <v>497.24999999999994</v>
      </c>
      <c r="R44" s="226">
        <f t="shared" si="10"/>
        <v>615</v>
      </c>
      <c r="S44" s="226">
        <f>AVERAGE($Q$21:Q44)</f>
        <v>539.73099949487971</v>
      </c>
      <c r="T44" s="226">
        <f>AVERAGE($Q$21:R44)</f>
        <v>602.35432297972204</v>
      </c>
      <c r="U44" s="227" t="str">
        <f t="shared" si="2"/>
        <v>Teuraaksi</v>
      </c>
      <c r="V44" s="227" t="str">
        <f t="shared" si="11"/>
        <v>Teuraaksi</v>
      </c>
      <c r="W44" s="4">
        <f t="shared" si="12"/>
        <v>2940</v>
      </c>
      <c r="X44" s="4">
        <f t="shared" si="13"/>
        <v>2646</v>
      </c>
      <c r="Y44" s="4">
        <f t="shared" si="14"/>
        <v>0</v>
      </c>
      <c r="Z44" s="4">
        <f t="shared" si="15"/>
        <v>59400</v>
      </c>
      <c r="AA44" s="4">
        <f t="shared" si="16"/>
        <v>53460</v>
      </c>
      <c r="AB44">
        <f t="shared" si="17"/>
        <v>47850</v>
      </c>
    </row>
    <row r="45" spans="1:28">
      <c r="A45" t="str">
        <f t="shared" si="19"/>
        <v/>
      </c>
      <c r="C45" t="s">
        <v>1413</v>
      </c>
      <c r="D45" s="5">
        <v>200</v>
      </c>
      <c r="E45">
        <f t="shared" si="3"/>
        <v>250</v>
      </c>
      <c r="F45" s="239">
        <f t="shared" si="4"/>
        <v>6</v>
      </c>
      <c r="G45" s="221">
        <f t="shared" si="5"/>
        <v>7.5</v>
      </c>
      <c r="H45" s="8">
        <v>99</v>
      </c>
      <c r="I45" s="223">
        <f t="shared" si="6"/>
        <v>89.100000000000009</v>
      </c>
      <c r="J45" s="8">
        <v>0</v>
      </c>
      <c r="K45" s="224">
        <f t="shared" si="7"/>
        <v>758</v>
      </c>
      <c r="L45" s="224">
        <f t="shared" si="18"/>
        <v>795.5</v>
      </c>
      <c r="M45" s="241">
        <f t="shared" si="0"/>
        <v>386.58</v>
      </c>
      <c r="N45" s="225">
        <f t="shared" si="8"/>
        <v>477.29999999999995</v>
      </c>
      <c r="O45" s="58">
        <v>750</v>
      </c>
      <c r="P45" s="58">
        <f t="shared" si="9"/>
        <v>25</v>
      </c>
      <c r="Q45" s="226">
        <f t="shared" si="1"/>
        <v>481.44</v>
      </c>
      <c r="R45" s="226">
        <f t="shared" si="10"/>
        <v>596.40000000000009</v>
      </c>
      <c r="S45" s="226">
        <f>AVERAGE($Q$21:Q45)</f>
        <v>537.39935951508448</v>
      </c>
      <c r="T45" s="226">
        <f>AVERAGE($Q$21:R45)</f>
        <v>599.81695006053315</v>
      </c>
      <c r="U45" s="227" t="str">
        <f t="shared" si="2"/>
        <v>Teuraaksi</v>
      </c>
      <c r="V45" s="227" t="str">
        <f t="shared" si="11"/>
        <v>Teuraaksi</v>
      </c>
      <c r="W45" s="4">
        <f t="shared" si="12"/>
        <v>2970</v>
      </c>
      <c r="X45" s="4">
        <f t="shared" si="13"/>
        <v>2673.0000000000005</v>
      </c>
      <c r="Y45" s="4">
        <f t="shared" si="14"/>
        <v>0</v>
      </c>
      <c r="Z45" s="4">
        <f t="shared" si="15"/>
        <v>62370</v>
      </c>
      <c r="AA45" s="4">
        <f t="shared" si="16"/>
        <v>56133</v>
      </c>
      <c r="AB45">
        <f t="shared" si="17"/>
        <v>47850</v>
      </c>
    </row>
    <row r="46" spans="1:28">
      <c r="A46" t="str">
        <f>IF(U45="Kasvaa","Loppukasvatus","")</f>
        <v/>
      </c>
      <c r="C46" s="214"/>
      <c r="D46" s="186">
        <f>AVERAGE(D21:D45)</f>
        <v>944</v>
      </c>
      <c r="E46" s="186">
        <f>AVERAGE(E21:E45)</f>
        <v>994</v>
      </c>
      <c r="F46" s="59"/>
      <c r="G46" s="59"/>
      <c r="H46" s="242">
        <f>AVERAGE(H21:H45)</f>
        <v>83.16</v>
      </c>
      <c r="I46" s="242"/>
      <c r="J46" s="164"/>
      <c r="K46" s="4"/>
      <c r="L46" s="4"/>
      <c r="M46" s="4"/>
      <c r="N46" s="4"/>
      <c r="O46" s="4"/>
      <c r="P46" s="4"/>
      <c r="Q46" s="243">
        <f>AVERAGE(Q21:Q45)</f>
        <v>537.39935951508448</v>
      </c>
      <c r="R46" s="243">
        <f>AVERAGE(R21:R45)</f>
        <v>662.23454060598169</v>
      </c>
      <c r="S46" s="243">
        <f>AVERAGE(S21:S45)</f>
        <v>484.31146564198724</v>
      </c>
      <c r="T46" s="243">
        <f>AVERAGE(T21:T45)</f>
        <v>542.04483025745674</v>
      </c>
      <c r="U46" s="59"/>
      <c r="V46" s="59"/>
      <c r="W46" s="521">
        <f>SUM(W21:W45)</f>
        <v>62370</v>
      </c>
      <c r="X46" s="521">
        <f>SUM(X21:X45)</f>
        <v>56133</v>
      </c>
      <c r="Y46" s="521">
        <f>SUM(Y21:Y45)</f>
        <v>47850</v>
      </c>
      <c r="Z46" s="4"/>
      <c r="AA46" s="4"/>
    </row>
    <row r="47" spans="1:28">
      <c r="C47" s="52"/>
      <c r="D47" s="59"/>
      <c r="E47" s="59"/>
      <c r="F47" s="59"/>
      <c r="G47" s="59"/>
      <c r="H47" s="164"/>
      <c r="I47" s="164"/>
      <c r="J47" s="164"/>
      <c r="K47" s="4"/>
      <c r="L47" s="4"/>
      <c r="M47" s="4"/>
      <c r="N47" s="4"/>
      <c r="O47" s="4"/>
      <c r="P47" s="4"/>
      <c r="Q47" s="59"/>
      <c r="R47" s="59"/>
      <c r="S47" s="59"/>
      <c r="T47" s="59"/>
      <c r="U47" s="59"/>
      <c r="V47" s="59"/>
      <c r="W47" s="4"/>
      <c r="X47" s="4"/>
      <c r="Y47" s="4"/>
      <c r="Z47" s="4"/>
      <c r="AA47" s="4"/>
    </row>
    <row r="86" spans="1:1">
      <c r="A86" s="244"/>
    </row>
  </sheetData>
  <sheetProtection sheet="1" objects="1" scenarios="1" formatCells="0" formatColumns="0"/>
  <conditionalFormatting sqref="U21:V45">
    <cfRule type="expression" dxfId="40" priority="1" stopIfTrue="1">
      <formula>NOT(ISERROR(SEARCH("Kasvaa",U21)))</formula>
    </cfRule>
  </conditionalFormatting>
  <pageMargins left="0.7" right="0.7" top="0.75" bottom="0.75" header="0.51180555555555551" footer="0.51180555555555551"/>
  <pageSetup paperSize="9" scale="49" firstPageNumber="0" orientation="landscape" horizontalDpi="300" verticalDpi="300"/>
  <headerFooter alignWithMargins="0"/>
  <rowBreaks count="1" manualBreakCount="1">
    <brk id="47" max="16383" man="1"/>
  </rowBreaks>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ul20">
    <pageSetUpPr fitToPage="1"/>
  </sheetPr>
  <dimension ref="A1:P97"/>
  <sheetViews>
    <sheetView workbookViewId="0">
      <selection activeCell="G85" sqref="G85"/>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0" customWidth="1"/>
    <col min="7" max="7" width="12.28515625" customWidth="1"/>
    <col min="8" max="8" width="12" customWidth="1"/>
    <col min="9" max="9" width="10.85546875" customWidth="1"/>
    <col min="10" max="10" width="11.85546875" customWidth="1"/>
    <col min="11" max="11" width="10.85546875" customWidth="1"/>
    <col min="12" max="13" width="12.85546875" customWidth="1"/>
    <col min="14" max="14" width="11.140625" style="4" customWidth="1"/>
    <col min="15" max="15" width="6.7109375" style="188" customWidth="1"/>
    <col min="16" max="16" width="7.28515625" style="188" customWidth="1"/>
  </cols>
  <sheetData>
    <row r="1" spans="1:16" ht="15.75">
      <c r="A1" s="430" t="s">
        <v>1414</v>
      </c>
      <c r="B1" s="431"/>
      <c r="C1" s="431"/>
      <c r="D1" s="17"/>
      <c r="F1" s="2876" t="s">
        <v>1415</v>
      </c>
      <c r="G1" s="2876"/>
      <c r="H1" s="2876"/>
      <c r="I1" s="432"/>
      <c r="J1" s="2877" t="s">
        <v>1416</v>
      </c>
      <c r="K1" s="2877"/>
      <c r="L1" s="2877"/>
      <c r="M1" s="2878" t="s">
        <v>1417</v>
      </c>
      <c r="N1" s="2878"/>
      <c r="O1" s="2878"/>
      <c r="P1" s="2878"/>
    </row>
    <row r="2" spans="1:16" ht="15" customHeight="1">
      <c r="A2" s="433" t="s">
        <v>1418</v>
      </c>
      <c r="B2" s="434"/>
      <c r="C2" s="434"/>
      <c r="D2" s="17"/>
      <c r="F2" s="2879" t="s">
        <v>1419</v>
      </c>
      <c r="G2" s="2880" t="s">
        <v>1420</v>
      </c>
      <c r="H2" s="2881" t="s">
        <v>1421</v>
      </c>
      <c r="I2" s="2882" t="s">
        <v>1422</v>
      </c>
      <c r="J2" s="2882" t="s">
        <v>1423</v>
      </c>
      <c r="K2" s="2883" t="s">
        <v>1424</v>
      </c>
      <c r="L2" s="2884" t="s">
        <v>1425</v>
      </c>
      <c r="M2" s="435"/>
      <c r="P2" s="436"/>
    </row>
    <row r="3" spans="1:16">
      <c r="A3" s="435" t="s">
        <v>1426</v>
      </c>
      <c r="B3" s="434"/>
      <c r="C3" s="437">
        <v>650</v>
      </c>
      <c r="D3" s="17"/>
      <c r="F3" s="2879"/>
      <c r="G3" s="2880" t="s">
        <v>689</v>
      </c>
      <c r="H3" s="2881" t="s">
        <v>1427</v>
      </c>
      <c r="I3" s="2882" t="s">
        <v>1428</v>
      </c>
      <c r="J3" s="2882" t="s">
        <v>1429</v>
      </c>
      <c r="K3" s="2883"/>
      <c r="L3" s="2884"/>
      <c r="M3" s="435"/>
      <c r="P3" s="436"/>
    </row>
    <row r="4" spans="1:16">
      <c r="A4" s="435" t="s">
        <v>1430</v>
      </c>
      <c r="B4" s="434"/>
      <c r="C4" s="438">
        <v>3.4000000000000002E-2</v>
      </c>
      <c r="D4" s="17"/>
      <c r="E4" s="25" t="s">
        <v>1431</v>
      </c>
      <c r="F4" s="439">
        <v>680</v>
      </c>
      <c r="G4" s="5">
        <v>800</v>
      </c>
      <c r="H4" s="440">
        <v>850</v>
      </c>
      <c r="I4" s="441">
        <v>0</v>
      </c>
      <c r="J4" s="442">
        <v>820</v>
      </c>
      <c r="K4" s="5">
        <v>620</v>
      </c>
      <c r="L4" s="440">
        <v>0</v>
      </c>
      <c r="M4" s="435"/>
      <c r="P4" s="436"/>
    </row>
    <row r="5" spans="1:16">
      <c r="A5" s="435" t="s">
        <v>1432</v>
      </c>
      <c r="B5" s="434"/>
      <c r="C5" s="438">
        <v>4.1000000000000002E-2</v>
      </c>
      <c r="D5" s="443"/>
      <c r="E5" s="25" t="s">
        <v>46</v>
      </c>
      <c r="F5" s="444">
        <v>0.27</v>
      </c>
      <c r="G5" s="6">
        <v>0.86</v>
      </c>
      <c r="H5" s="445">
        <v>0.86</v>
      </c>
      <c r="I5" s="446">
        <v>0.91</v>
      </c>
      <c r="J5" s="447">
        <v>0.88</v>
      </c>
      <c r="K5" s="6">
        <v>0.86</v>
      </c>
      <c r="L5" s="445">
        <v>0.82</v>
      </c>
      <c r="M5" s="435"/>
      <c r="P5" s="436"/>
    </row>
    <row r="6" spans="1:16">
      <c r="A6" s="435" t="s">
        <v>1433</v>
      </c>
      <c r="B6" s="434"/>
      <c r="C6" s="448">
        <v>0.33</v>
      </c>
      <c r="D6" s="443"/>
      <c r="E6" s="25" t="s">
        <v>1434</v>
      </c>
      <c r="F6" s="449">
        <f>16/1000*F4</f>
        <v>10.88</v>
      </c>
      <c r="G6" s="450">
        <v>12.9</v>
      </c>
      <c r="H6" s="451">
        <v>13.3</v>
      </c>
      <c r="I6" s="452">
        <v>1.68</v>
      </c>
      <c r="J6" s="453">
        <v>13</v>
      </c>
      <c r="K6" s="450">
        <v>9.4</v>
      </c>
      <c r="L6" s="451">
        <v>11.7</v>
      </c>
      <c r="M6" s="435"/>
      <c r="P6" s="436"/>
    </row>
    <row r="7" spans="1:16">
      <c r="A7" s="435" t="s">
        <v>1435</v>
      </c>
      <c r="B7" s="434"/>
      <c r="C7" s="434">
        <f>C79</f>
        <v>9715</v>
      </c>
      <c r="D7" s="454"/>
      <c r="E7" s="25" t="s">
        <v>1436</v>
      </c>
      <c r="F7" s="5">
        <v>84</v>
      </c>
      <c r="G7" s="5">
        <v>96</v>
      </c>
      <c r="H7" s="440">
        <v>116</v>
      </c>
      <c r="I7" s="441">
        <v>149</v>
      </c>
      <c r="J7" s="442">
        <v>173</v>
      </c>
      <c r="K7" s="5">
        <v>82</v>
      </c>
      <c r="L7" s="440">
        <v>126</v>
      </c>
      <c r="M7" s="435"/>
      <c r="P7" s="436"/>
    </row>
    <row r="8" spans="1:16">
      <c r="A8" s="435" t="s">
        <v>1437</v>
      </c>
      <c r="B8" s="434"/>
      <c r="C8" s="437">
        <v>50</v>
      </c>
      <c r="D8" s="17"/>
      <c r="E8" s="25" t="s">
        <v>1438</v>
      </c>
      <c r="F8" s="5">
        <v>45</v>
      </c>
      <c r="G8" s="5">
        <v>-17</v>
      </c>
      <c r="H8" s="440">
        <v>62</v>
      </c>
      <c r="I8" s="441">
        <v>106</v>
      </c>
      <c r="J8" s="442">
        <v>285</v>
      </c>
      <c r="K8" s="5">
        <v>0</v>
      </c>
      <c r="L8" s="440">
        <v>73</v>
      </c>
      <c r="M8" s="435"/>
      <c r="P8" s="436"/>
    </row>
    <row r="9" spans="1:16">
      <c r="A9" s="435" t="s">
        <v>1439</v>
      </c>
      <c r="B9" s="434"/>
      <c r="C9" s="455">
        <f>C6*C8</f>
        <v>16.5</v>
      </c>
      <c r="D9" s="17"/>
      <c r="E9" s="25" t="s">
        <v>1440</v>
      </c>
      <c r="F9" s="456">
        <v>0.03</v>
      </c>
      <c r="G9" s="457">
        <v>0.21</v>
      </c>
      <c r="H9" s="458">
        <v>0.23</v>
      </c>
      <c r="I9" s="459">
        <v>0</v>
      </c>
      <c r="J9" s="460"/>
      <c r="K9" s="457"/>
      <c r="L9" s="458">
        <v>0.27100000000000002</v>
      </c>
      <c r="M9" s="435"/>
      <c r="P9" s="436"/>
    </row>
    <row r="10" spans="1:16">
      <c r="A10" s="435" t="s">
        <v>1441</v>
      </c>
      <c r="C10" s="457">
        <v>0.42</v>
      </c>
      <c r="D10" s="461"/>
      <c r="E10" s="25" t="s">
        <v>1442</v>
      </c>
      <c r="F10" s="456">
        <v>0.03</v>
      </c>
      <c r="G10" s="462">
        <f>G9/G5</f>
        <v>0.2441860465116279</v>
      </c>
      <c r="H10" s="463">
        <f>H9/H5</f>
        <v>0.26744186046511631</v>
      </c>
      <c r="I10" s="464"/>
      <c r="J10" s="465"/>
      <c r="K10" s="462"/>
      <c r="L10" s="463">
        <f>L9/L5</f>
        <v>0.3304878048780488</v>
      </c>
      <c r="M10" s="435"/>
      <c r="P10" s="436"/>
    </row>
    <row r="11" spans="1:16">
      <c r="A11" s="435" t="s">
        <v>593</v>
      </c>
      <c r="B11" s="457">
        <v>8.2000000000000003E-2</v>
      </c>
      <c r="C11" s="466">
        <f>C10+B11</f>
        <v>0.502</v>
      </c>
      <c r="D11" s="17"/>
      <c r="F11" s="467"/>
      <c r="G11" s="18"/>
      <c r="H11" s="18"/>
      <c r="I11" s="468"/>
      <c r="J11" s="18"/>
      <c r="K11" s="18"/>
      <c r="L11" s="18"/>
      <c r="M11" s="435"/>
      <c r="P11" s="436"/>
    </row>
    <row r="12" spans="1:16" ht="15.75">
      <c r="A12" s="469" t="s">
        <v>1443</v>
      </c>
      <c r="B12" s="470"/>
      <c r="C12" s="434"/>
      <c r="D12" s="471"/>
      <c r="E12" s="472" t="s">
        <v>1444</v>
      </c>
      <c r="F12" s="473">
        <v>0.65</v>
      </c>
      <c r="G12" s="474">
        <v>0.2</v>
      </c>
      <c r="H12" s="475">
        <v>0.1</v>
      </c>
      <c r="I12" s="476">
        <v>0</v>
      </c>
      <c r="J12" s="477">
        <v>0</v>
      </c>
      <c r="K12" s="474">
        <v>0</v>
      </c>
      <c r="L12" s="475">
        <v>0.05</v>
      </c>
      <c r="M12" s="478">
        <f>SUM(F12:L12)</f>
        <v>1</v>
      </c>
      <c r="P12" s="436"/>
    </row>
    <row r="13" spans="1:16">
      <c r="A13" s="479" t="s">
        <v>1445</v>
      </c>
      <c r="B13" s="434"/>
      <c r="C13" s="437">
        <v>60</v>
      </c>
      <c r="D13" s="17"/>
      <c r="F13" s="435"/>
      <c r="I13" s="480"/>
      <c r="M13" s="435"/>
      <c r="P13" s="436"/>
    </row>
    <row r="14" spans="1:16">
      <c r="A14" s="435" t="s">
        <v>1446</v>
      </c>
      <c r="B14" s="434"/>
      <c r="C14" s="437">
        <v>0</v>
      </c>
      <c r="D14" s="17"/>
      <c r="F14" s="435"/>
      <c r="I14" s="480"/>
      <c r="M14" s="481" t="s">
        <v>1447</v>
      </c>
      <c r="P14" s="436"/>
    </row>
    <row r="15" spans="1:16">
      <c r="A15" s="435" t="s">
        <v>1448</v>
      </c>
      <c r="B15" s="434"/>
      <c r="C15" s="437">
        <v>20</v>
      </c>
      <c r="D15" s="17"/>
      <c r="F15" s="435"/>
      <c r="I15" s="480"/>
      <c r="M15" s="481"/>
      <c r="P15" s="436"/>
    </row>
    <row r="16" spans="1:16">
      <c r="A16" s="435" t="s">
        <v>1449</v>
      </c>
      <c r="B16" s="434"/>
      <c r="C16" s="482">
        <f>$C$3^0.75*0.515+5.15*C14+C15</f>
        <v>86.296751157964749</v>
      </c>
      <c r="D16" s="483"/>
      <c r="E16" s="484" t="s">
        <v>1450</v>
      </c>
      <c r="F16" s="485">
        <f>$C$16*F12</f>
        <v>56.092888252677092</v>
      </c>
      <c r="G16" s="486">
        <f t="shared" ref="G16:L16" si="0">$C$16*G12</f>
        <v>17.259350231592951</v>
      </c>
      <c r="H16" s="487">
        <f t="shared" si="0"/>
        <v>8.6296751157964753</v>
      </c>
      <c r="I16" s="488">
        <f t="shared" si="0"/>
        <v>0</v>
      </c>
      <c r="J16" s="489">
        <f t="shared" si="0"/>
        <v>0</v>
      </c>
      <c r="K16" s="486">
        <f t="shared" si="0"/>
        <v>0</v>
      </c>
      <c r="L16" s="487">
        <f t="shared" si="0"/>
        <v>4.3148375578982376</v>
      </c>
      <c r="M16" s="490">
        <f t="shared" ref="M16:M22" si="1">SUM(F16:L16)</f>
        <v>86.296751157964763</v>
      </c>
      <c r="N16" s="242">
        <f>M16-C16</f>
        <v>0</v>
      </c>
      <c r="O16" s="188" t="str">
        <f>IF(M16-C16&gt;0,"Ylitys!",IF(M16-C16=0,"Ok","Alitus"))</f>
        <v>Ylitys!</v>
      </c>
      <c r="P16" s="491">
        <f>N16/C16</f>
        <v>0</v>
      </c>
    </row>
    <row r="17" spans="1:16">
      <c r="A17" s="435" t="s">
        <v>1451</v>
      </c>
      <c r="B17" s="434"/>
      <c r="C17" s="434">
        <f>(0.27*$C$14)+(0.02*$C$3)-1</f>
        <v>12</v>
      </c>
      <c r="D17" s="17"/>
      <c r="E17" s="25" t="s">
        <v>1452</v>
      </c>
      <c r="F17" s="492">
        <f>F16/F6</f>
        <v>5.1555963467534092</v>
      </c>
      <c r="G17" s="59">
        <f t="shared" ref="G17:L17" si="2">G16/G6</f>
        <v>1.3379341264800737</v>
      </c>
      <c r="H17" s="59">
        <f t="shared" si="2"/>
        <v>0.64884775306740416</v>
      </c>
      <c r="I17" s="493">
        <f t="shared" si="2"/>
        <v>0</v>
      </c>
      <c r="J17" s="59">
        <f t="shared" si="2"/>
        <v>0</v>
      </c>
      <c r="K17" s="59">
        <f t="shared" si="2"/>
        <v>0</v>
      </c>
      <c r="L17" s="59">
        <f t="shared" si="2"/>
        <v>0.36878953486309723</v>
      </c>
      <c r="M17" s="494">
        <f t="shared" si="1"/>
        <v>7.5111677611639838</v>
      </c>
      <c r="N17" s="242">
        <f>M17-C17</f>
        <v>-4.4888322388360162</v>
      </c>
      <c r="O17" s="188" t="str">
        <f>IF(M17-C17&gt;0,"Ylitys!",IF(M17-C17=0,"Ok","Alitus"))</f>
        <v>Alitus</v>
      </c>
      <c r="P17" s="491">
        <f>N17/C17</f>
        <v>-0.37406935323633467</v>
      </c>
    </row>
    <row r="18" spans="1:16">
      <c r="A18" s="435" t="s">
        <v>1453</v>
      </c>
      <c r="B18" s="434"/>
      <c r="C18" s="495">
        <f>C13*C16</f>
        <v>5177.8050694778849</v>
      </c>
      <c r="D18" s="496"/>
      <c r="E18" s="12" t="s">
        <v>1454</v>
      </c>
      <c r="F18" s="497">
        <f t="shared" ref="F18:L18" si="3">F17/F5</f>
        <v>19.094801284271885</v>
      </c>
      <c r="G18" s="186">
        <f t="shared" si="3"/>
        <v>1.5557373563721788</v>
      </c>
      <c r="H18" s="186">
        <f t="shared" si="3"/>
        <v>0.75447413147372577</v>
      </c>
      <c r="I18" s="498">
        <f t="shared" si="3"/>
        <v>0</v>
      </c>
      <c r="J18" s="186">
        <f t="shared" si="3"/>
        <v>0</v>
      </c>
      <c r="K18" s="186">
        <f t="shared" si="3"/>
        <v>0</v>
      </c>
      <c r="L18" s="186">
        <f t="shared" si="3"/>
        <v>0.44974333519889909</v>
      </c>
      <c r="M18" s="494">
        <f t="shared" si="1"/>
        <v>21.854756107316689</v>
      </c>
      <c r="N18" s="242"/>
      <c r="P18" s="436"/>
    </row>
    <row r="19" spans="1:16">
      <c r="A19" s="435"/>
      <c r="B19" s="434"/>
      <c r="C19" s="499"/>
      <c r="D19" s="500"/>
      <c r="E19" s="25" t="s">
        <v>1455</v>
      </c>
      <c r="F19" s="501">
        <f>F17*$C13</f>
        <v>309.33578080520454</v>
      </c>
      <c r="G19" s="19">
        <f t="shared" ref="G19:L19" si="4">G17*$C13</f>
        <v>80.276047588804417</v>
      </c>
      <c r="H19" s="19">
        <f t="shared" si="4"/>
        <v>38.930865184044251</v>
      </c>
      <c r="I19" s="502">
        <f t="shared" si="4"/>
        <v>0</v>
      </c>
      <c r="J19" s="19">
        <f t="shared" si="4"/>
        <v>0</v>
      </c>
      <c r="K19" s="19">
        <f t="shared" si="4"/>
        <v>0</v>
      </c>
      <c r="L19" s="19">
        <f t="shared" si="4"/>
        <v>22.127372091785833</v>
      </c>
      <c r="M19" s="494">
        <f t="shared" si="1"/>
        <v>450.67006566983906</v>
      </c>
      <c r="N19" s="242"/>
      <c r="P19" s="436"/>
    </row>
    <row r="20" spans="1:16">
      <c r="A20" s="435" t="s">
        <v>1456</v>
      </c>
      <c r="B20" s="434"/>
      <c r="C20" s="434">
        <f>C14*$C$4*1000</f>
        <v>0</v>
      </c>
      <c r="D20" s="17"/>
      <c r="E20" s="25" t="s">
        <v>1457</v>
      </c>
      <c r="F20" s="501">
        <f>F18*$C$13</f>
        <v>1145.688077056313</v>
      </c>
      <c r="G20" s="19">
        <f t="shared" ref="G20:L20" si="5">G18*$C$13</f>
        <v>93.344241382330722</v>
      </c>
      <c r="H20" s="19">
        <f t="shared" si="5"/>
        <v>45.268447888423545</v>
      </c>
      <c r="I20" s="502">
        <f t="shared" si="5"/>
        <v>0</v>
      </c>
      <c r="J20" s="19">
        <f t="shared" si="5"/>
        <v>0</v>
      </c>
      <c r="K20" s="19">
        <f t="shared" si="5"/>
        <v>0</v>
      </c>
      <c r="L20" s="19">
        <f t="shared" si="5"/>
        <v>26.984600111933943</v>
      </c>
      <c r="M20" s="494">
        <f t="shared" si="1"/>
        <v>1311.2853664390011</v>
      </c>
      <c r="N20" s="242"/>
      <c r="P20" s="436"/>
    </row>
    <row r="21" spans="1:16">
      <c r="A21" s="435" t="s">
        <v>1458</v>
      </c>
      <c r="B21" s="434"/>
      <c r="C21" s="437">
        <v>75</v>
      </c>
      <c r="D21" s="17"/>
      <c r="E21" s="25"/>
      <c r="F21" s="501"/>
      <c r="G21" s="19"/>
      <c r="H21" s="19"/>
      <c r="I21" s="502"/>
      <c r="J21" s="19"/>
      <c r="K21" s="19"/>
      <c r="L21" s="19"/>
      <c r="M21" s="494"/>
      <c r="N21" s="242"/>
      <c r="P21" s="436"/>
    </row>
    <row r="22" spans="1:16">
      <c r="A22" s="435" t="s">
        <v>1459</v>
      </c>
      <c r="B22" s="434"/>
      <c r="C22" s="503">
        <f>(1.8*$C$3^0.75)+14*C17+(1.47-(0.0017*C14))*C20+C21</f>
        <v>474.71680016376024</v>
      </c>
      <c r="D22" s="504"/>
      <c r="E22" s="505" t="s">
        <v>1460</v>
      </c>
      <c r="F22" s="506">
        <f>F17*F7</f>
        <v>433.07009312728638</v>
      </c>
      <c r="G22" s="507">
        <f t="shared" ref="G22:L22" si="6">G17*G7</f>
        <v>128.44167614208709</v>
      </c>
      <c r="H22" s="508">
        <f t="shared" si="6"/>
        <v>75.266339355818886</v>
      </c>
      <c r="I22" s="509">
        <f t="shared" si="6"/>
        <v>0</v>
      </c>
      <c r="J22" s="510">
        <f t="shared" si="6"/>
        <v>0</v>
      </c>
      <c r="K22" s="507">
        <f t="shared" si="6"/>
        <v>0</v>
      </c>
      <c r="L22" s="508">
        <f t="shared" si="6"/>
        <v>46.467481392750251</v>
      </c>
      <c r="M22" s="511">
        <f t="shared" si="1"/>
        <v>683.24559001794262</v>
      </c>
      <c r="N22" s="242">
        <f>M22-C22</f>
        <v>208.52878985418238</v>
      </c>
      <c r="O22" s="188" t="str">
        <f>IF(M22-C22&gt;0,"Ylitys!",IF(M22-C22=0,"Ok","Alitus"))</f>
        <v>Ylitys!</v>
      </c>
      <c r="P22" s="491">
        <f>N22/C22</f>
        <v>0.43926987581279497</v>
      </c>
    </row>
    <row r="23" spans="1:16">
      <c r="A23" s="512" t="s">
        <v>1461</v>
      </c>
      <c r="B23" s="513"/>
      <c r="C23" s="514">
        <f>C22*C13</f>
        <v>28483.008009825615</v>
      </c>
      <c r="D23" s="515"/>
      <c r="E23" s="516"/>
      <c r="F23" s="517"/>
      <c r="G23" s="518"/>
      <c r="H23" s="518"/>
      <c r="I23" s="519"/>
      <c r="J23" s="518"/>
      <c r="K23" s="518"/>
      <c r="L23" s="518"/>
      <c r="M23" s="520"/>
      <c r="N23" s="521"/>
      <c r="P23" s="436"/>
    </row>
    <row r="24" spans="1:16">
      <c r="A24" s="435"/>
      <c r="B24" s="434"/>
      <c r="C24" s="434"/>
      <c r="D24" s="17"/>
      <c r="F24" s="435"/>
      <c r="I24" s="480"/>
      <c r="M24" s="492"/>
      <c r="N24" s="521"/>
      <c r="P24" s="436"/>
    </row>
    <row r="25" spans="1:16" ht="15.75">
      <c r="A25" s="469" t="s">
        <v>1462</v>
      </c>
      <c r="B25" s="470"/>
      <c r="C25" s="470"/>
      <c r="D25" s="471"/>
      <c r="E25" s="522" t="s">
        <v>1463</v>
      </c>
      <c r="F25" s="473">
        <v>0.35</v>
      </c>
      <c r="G25" s="474">
        <v>0.45</v>
      </c>
      <c r="H25" s="475">
        <v>0.15</v>
      </c>
      <c r="I25" s="476">
        <v>0</v>
      </c>
      <c r="J25" s="477">
        <v>0</v>
      </c>
      <c r="K25" s="474">
        <v>0</v>
      </c>
      <c r="L25" s="475">
        <v>0.15</v>
      </c>
      <c r="M25" s="478">
        <f>SUM(F25:L25)</f>
        <v>1.1000000000000001</v>
      </c>
      <c r="N25" s="521"/>
      <c r="P25" s="436"/>
    </row>
    <row r="26" spans="1:16">
      <c r="A26" s="479" t="s">
        <v>1445</v>
      </c>
      <c r="B26" s="434"/>
      <c r="C26" s="437">
        <v>94</v>
      </c>
      <c r="D26" s="17"/>
      <c r="F26" s="435"/>
      <c r="I26" s="480"/>
      <c r="M26" s="435"/>
      <c r="N26" s="521"/>
      <c r="P26" s="436"/>
    </row>
    <row r="27" spans="1:16">
      <c r="A27" s="435" t="s">
        <v>1446</v>
      </c>
      <c r="B27" s="434"/>
      <c r="C27" s="523">
        <v>0</v>
      </c>
      <c r="D27" s="17"/>
      <c r="F27" s="435"/>
      <c r="I27" s="480"/>
      <c r="M27" s="435"/>
      <c r="N27" s="521"/>
      <c r="P27" s="436"/>
    </row>
    <row r="28" spans="1:16">
      <c r="A28" s="435" t="s">
        <v>1448</v>
      </c>
      <c r="B28" s="434"/>
      <c r="C28" s="437">
        <v>20</v>
      </c>
      <c r="D28" s="17"/>
      <c r="F28" s="435"/>
      <c r="I28" s="480"/>
      <c r="M28" s="435"/>
      <c r="N28" s="521"/>
      <c r="P28" s="436"/>
    </row>
    <row r="29" spans="1:16">
      <c r="A29" s="435" t="s">
        <v>1464</v>
      </c>
      <c r="B29" s="434"/>
      <c r="C29" s="482">
        <f>$C$3^0.75*0.515+5.15*C27+C28</f>
        <v>86.296751157964749</v>
      </c>
      <c r="D29" s="483"/>
      <c r="E29" s="484" t="s">
        <v>1450</v>
      </c>
      <c r="F29" s="485">
        <f>$C$29*F25</f>
        <v>30.203862905287661</v>
      </c>
      <c r="G29" s="486">
        <f t="shared" ref="G29:L29" si="7">$C$29*G25</f>
        <v>38.833538021084138</v>
      </c>
      <c r="H29" s="487">
        <f t="shared" si="7"/>
        <v>12.944512673694712</v>
      </c>
      <c r="I29" s="488">
        <f t="shared" si="7"/>
        <v>0</v>
      </c>
      <c r="J29" s="489">
        <f t="shared" si="7"/>
        <v>0</v>
      </c>
      <c r="K29" s="486">
        <f t="shared" si="7"/>
        <v>0</v>
      </c>
      <c r="L29" s="487">
        <f t="shared" si="7"/>
        <v>12.944512673694712</v>
      </c>
      <c r="M29" s="490">
        <f t="shared" ref="M29:M35" si="8">SUM(F29:L29)</f>
        <v>94.926426273761237</v>
      </c>
      <c r="N29" s="242">
        <f>M29-C29</f>
        <v>8.6296751157964877</v>
      </c>
      <c r="O29" s="188" t="str">
        <f>IF(M29-C29&gt;0,"Ylitys!",IF(M29-C29=0,"Ok","Alitus"))</f>
        <v>Ylitys!</v>
      </c>
      <c r="P29" s="491">
        <f>N29/C29</f>
        <v>0.10000000000000014</v>
      </c>
    </row>
    <row r="30" spans="1:16">
      <c r="A30" s="435" t="s">
        <v>1451</v>
      </c>
      <c r="B30" s="434"/>
      <c r="C30" s="434">
        <f>(0.27*C28)+(0.02*$C$3)-1</f>
        <v>17.399999999999999</v>
      </c>
      <c r="D30" s="17"/>
      <c r="E30" s="25" t="s">
        <v>1452</v>
      </c>
      <c r="F30" s="492">
        <f t="shared" ref="F30:L30" si="9">F29/F6</f>
        <v>2.7760903405595276</v>
      </c>
      <c r="G30" s="59">
        <f t="shared" si="9"/>
        <v>3.0103517845801657</v>
      </c>
      <c r="H30" s="59">
        <f t="shared" si="9"/>
        <v>0.97327162960110614</v>
      </c>
      <c r="I30" s="493">
        <f t="shared" si="9"/>
        <v>0</v>
      </c>
      <c r="J30" s="59">
        <f t="shared" si="9"/>
        <v>0</v>
      </c>
      <c r="K30" s="59">
        <f t="shared" si="9"/>
        <v>0</v>
      </c>
      <c r="L30" s="59">
        <f t="shared" si="9"/>
        <v>1.1063686045892918</v>
      </c>
      <c r="M30" s="494">
        <f t="shared" si="8"/>
        <v>7.8660823593300915</v>
      </c>
      <c r="N30" s="242">
        <f>M30-C30</f>
        <v>-9.5339176406699071</v>
      </c>
      <c r="O30" s="188" t="str">
        <f>IF(M30-C30&gt;0,"Ylitys!",IF(M30-C30=0,"Ok","Alitus"))</f>
        <v>Alitus</v>
      </c>
      <c r="P30" s="491">
        <f>N30/C30</f>
        <v>-0.54792630118792574</v>
      </c>
    </row>
    <row r="31" spans="1:16">
      <c r="A31" s="435" t="s">
        <v>1465</v>
      </c>
      <c r="B31" s="434"/>
      <c r="C31" s="495">
        <f>C26*C29</f>
        <v>8111.8946088486864</v>
      </c>
      <c r="D31" s="496"/>
      <c r="E31" s="12" t="s">
        <v>1454</v>
      </c>
      <c r="F31" s="497">
        <f t="shared" ref="F31:L31" si="10">F30/F5</f>
        <v>10.281816076146399</v>
      </c>
      <c r="G31" s="186">
        <f t="shared" si="10"/>
        <v>3.5004090518374023</v>
      </c>
      <c r="H31" s="186">
        <f t="shared" si="10"/>
        <v>1.1317111972105884</v>
      </c>
      <c r="I31" s="498">
        <f t="shared" si="10"/>
        <v>0</v>
      </c>
      <c r="J31" s="186">
        <f t="shared" si="10"/>
        <v>0</v>
      </c>
      <c r="K31" s="186">
        <f t="shared" si="10"/>
        <v>0</v>
      </c>
      <c r="L31" s="186">
        <f t="shared" si="10"/>
        <v>1.3492300055966973</v>
      </c>
      <c r="M31" s="494">
        <f t="shared" si="8"/>
        <v>16.263166330791087</v>
      </c>
      <c r="N31" s="242"/>
      <c r="P31" s="436"/>
    </row>
    <row r="32" spans="1:16">
      <c r="A32" s="435"/>
      <c r="B32" s="434"/>
      <c r="C32" s="499"/>
      <c r="D32" s="500"/>
      <c r="E32" s="25" t="s">
        <v>1455</v>
      </c>
      <c r="F32" s="501">
        <f>F30*$C$40</f>
        <v>277.60903405595275</v>
      </c>
      <c r="G32" s="19">
        <f t="shared" ref="G32:L32" si="11">G30*$C$26</f>
        <v>282.97306775053556</v>
      </c>
      <c r="H32" s="19">
        <f t="shared" si="11"/>
        <v>91.487533182503981</v>
      </c>
      <c r="I32" s="502">
        <f t="shared" si="11"/>
        <v>0</v>
      </c>
      <c r="J32" s="19">
        <f t="shared" si="11"/>
        <v>0</v>
      </c>
      <c r="K32" s="19">
        <f t="shared" si="11"/>
        <v>0</v>
      </c>
      <c r="L32" s="19">
        <f t="shared" si="11"/>
        <v>103.99864883139342</v>
      </c>
      <c r="M32" s="494">
        <f t="shared" si="8"/>
        <v>756.06828382038566</v>
      </c>
      <c r="N32" s="242"/>
      <c r="P32" s="436"/>
    </row>
    <row r="33" spans="1:16">
      <c r="A33" s="435" t="s">
        <v>1456</v>
      </c>
      <c r="B33" s="434"/>
      <c r="C33" s="434">
        <f>C27*$C$4*1000</f>
        <v>0</v>
      </c>
      <c r="D33" s="17"/>
      <c r="E33" s="25" t="s">
        <v>1457</v>
      </c>
      <c r="F33" s="501">
        <f>F31*$C$26</f>
        <v>966.49071115776144</v>
      </c>
      <c r="G33" s="19">
        <f t="shared" ref="G33:L33" si="12">G31*$C$26</f>
        <v>329.03845087271583</v>
      </c>
      <c r="H33" s="19">
        <f t="shared" si="12"/>
        <v>106.38085253779531</v>
      </c>
      <c r="I33" s="502">
        <f t="shared" si="12"/>
        <v>0</v>
      </c>
      <c r="J33" s="19">
        <f t="shared" si="12"/>
        <v>0</v>
      </c>
      <c r="K33" s="19">
        <f t="shared" si="12"/>
        <v>0</v>
      </c>
      <c r="L33" s="19">
        <f t="shared" si="12"/>
        <v>126.82762052608955</v>
      </c>
      <c r="M33" s="494">
        <f t="shared" si="8"/>
        <v>1528.7376350943621</v>
      </c>
      <c r="N33" s="242"/>
      <c r="P33" s="436"/>
    </row>
    <row r="34" spans="1:16">
      <c r="A34" s="435" t="s">
        <v>1458</v>
      </c>
      <c r="B34" s="434"/>
      <c r="C34" s="437">
        <v>75</v>
      </c>
      <c r="D34" s="17"/>
      <c r="E34" s="25"/>
      <c r="F34" s="501"/>
      <c r="G34" s="19"/>
      <c r="H34" s="19"/>
      <c r="I34" s="502"/>
      <c r="J34" s="19"/>
      <c r="K34" s="19"/>
      <c r="L34" s="19"/>
      <c r="M34" s="494"/>
      <c r="N34" s="242"/>
      <c r="P34" s="436"/>
    </row>
    <row r="35" spans="1:16">
      <c r="A35" s="435" t="s">
        <v>1459</v>
      </c>
      <c r="B35" s="434"/>
      <c r="C35" s="524">
        <f>(1.8*$C$3^0.75)+14*C30+(1.47-(0.0017*C27))*C33+C34</f>
        <v>550.31680016376026</v>
      </c>
      <c r="D35" s="525"/>
      <c r="E35" s="526" t="s">
        <v>1460</v>
      </c>
      <c r="F35" s="527">
        <f t="shared" ref="F35:L35" si="13">F30*F7</f>
        <v>233.19158860700031</v>
      </c>
      <c r="G35" s="528">
        <f t="shared" si="13"/>
        <v>288.9937713196959</v>
      </c>
      <c r="H35" s="529">
        <f t="shared" si="13"/>
        <v>112.89950903372831</v>
      </c>
      <c r="I35" s="530">
        <f t="shared" si="13"/>
        <v>0</v>
      </c>
      <c r="J35" s="531">
        <f t="shared" si="13"/>
        <v>0</v>
      </c>
      <c r="K35" s="528">
        <f t="shared" si="13"/>
        <v>0</v>
      </c>
      <c r="L35" s="529">
        <f t="shared" si="13"/>
        <v>139.40244417825076</v>
      </c>
      <c r="M35" s="511">
        <f t="shared" si="8"/>
        <v>774.4873131386754</v>
      </c>
      <c r="N35" s="242">
        <f>M35-C35</f>
        <v>224.17051297491514</v>
      </c>
      <c r="O35" s="188" t="str">
        <f>IF(M35-C35&gt;0,"Ylitys!",IF(M35-C35=0,"Ok","Alitus"))</f>
        <v>Ylitys!</v>
      </c>
      <c r="P35" s="491">
        <f>N35/C35</f>
        <v>0.40734811822609762</v>
      </c>
    </row>
    <row r="36" spans="1:16">
      <c r="A36" s="435" t="s">
        <v>1461</v>
      </c>
      <c r="B36" s="434"/>
      <c r="C36" s="499">
        <f>C35*C26</f>
        <v>51729.779215393464</v>
      </c>
      <c r="D36" s="500"/>
      <c r="E36" s="25"/>
      <c r="F36" s="532"/>
      <c r="G36" s="7"/>
      <c r="H36" s="7"/>
      <c r="I36" s="533"/>
      <c r="J36" s="7"/>
      <c r="K36" s="7"/>
      <c r="L36" s="7"/>
      <c r="M36" s="520"/>
      <c r="N36" s="521"/>
      <c r="P36" s="436"/>
    </row>
    <row r="37" spans="1:16">
      <c r="A37" s="512"/>
      <c r="B37" s="513"/>
      <c r="C37" s="513"/>
      <c r="D37" s="534"/>
      <c r="E37" s="516"/>
      <c r="F37" s="512"/>
      <c r="G37" s="163"/>
      <c r="H37" s="163"/>
      <c r="I37" s="535"/>
      <c r="J37" s="163"/>
      <c r="K37" s="163"/>
      <c r="L37" s="163"/>
      <c r="M37" s="435"/>
      <c r="N37" s="521"/>
      <c r="P37" s="436"/>
    </row>
    <row r="38" spans="1:16">
      <c r="A38" s="435"/>
      <c r="B38" s="434"/>
      <c r="C38" s="434"/>
      <c r="D38" s="17"/>
      <c r="E38" s="25"/>
      <c r="F38" s="478"/>
      <c r="G38" s="536"/>
      <c r="H38" s="536"/>
      <c r="I38" s="537"/>
      <c r="J38" s="536"/>
      <c r="K38" s="536"/>
      <c r="L38" s="536"/>
      <c r="M38" s="478"/>
      <c r="N38" s="521"/>
      <c r="P38" s="436"/>
    </row>
    <row r="39" spans="1:16" ht="15.75">
      <c r="A39" s="469" t="s">
        <v>1466</v>
      </c>
      <c r="B39" s="470"/>
      <c r="C39" s="470"/>
      <c r="D39" s="471"/>
      <c r="E39" s="522" t="s">
        <v>1463</v>
      </c>
      <c r="F39" s="473">
        <v>0.54</v>
      </c>
      <c r="G39" s="474">
        <v>0.25</v>
      </c>
      <c r="H39" s="475">
        <v>0.11</v>
      </c>
      <c r="I39" s="476">
        <v>0</v>
      </c>
      <c r="J39" s="477">
        <v>0</v>
      </c>
      <c r="K39" s="538">
        <v>0</v>
      </c>
      <c r="L39" s="539">
        <v>0.1</v>
      </c>
      <c r="M39" s="478">
        <f>SUM(F39:L39)</f>
        <v>1</v>
      </c>
      <c r="N39" s="521"/>
      <c r="P39" s="436"/>
    </row>
    <row r="40" spans="1:16">
      <c r="A40" s="479" t="s">
        <v>1445</v>
      </c>
      <c r="B40" s="434"/>
      <c r="C40" s="437">
        <v>100</v>
      </c>
      <c r="D40" s="17"/>
      <c r="F40" s="435"/>
      <c r="I40" s="480"/>
      <c r="M40" s="435"/>
      <c r="N40" s="521"/>
      <c r="P40" s="436"/>
    </row>
    <row r="41" spans="1:16">
      <c r="A41" s="435" t="s">
        <v>1446</v>
      </c>
      <c r="B41" s="434"/>
      <c r="C41" s="523">
        <v>40</v>
      </c>
      <c r="D41" s="17"/>
      <c r="F41" s="435"/>
      <c r="I41" s="480"/>
      <c r="M41" s="435"/>
      <c r="N41" s="521"/>
      <c r="P41" s="436"/>
    </row>
    <row r="42" spans="1:16">
      <c r="A42" s="435" t="s">
        <v>1464</v>
      </c>
      <c r="B42" s="434"/>
      <c r="C42" s="482">
        <f>$C$3^0.75*0.515+5.15*C41</f>
        <v>272.29675115796476</v>
      </c>
      <c r="D42" s="483"/>
      <c r="E42" s="484" t="s">
        <v>1450</v>
      </c>
      <c r="F42" s="485">
        <f t="shared" ref="F42:L42" si="14">$C$42*F39</f>
        <v>147.04024562530097</v>
      </c>
      <c r="G42" s="486">
        <f t="shared" si="14"/>
        <v>68.074187789491191</v>
      </c>
      <c r="H42" s="487">
        <f t="shared" si="14"/>
        <v>29.952642627376125</v>
      </c>
      <c r="I42" s="488">
        <f t="shared" si="14"/>
        <v>0</v>
      </c>
      <c r="J42" s="489">
        <f t="shared" si="14"/>
        <v>0</v>
      </c>
      <c r="K42" s="486">
        <f t="shared" si="14"/>
        <v>0</v>
      </c>
      <c r="L42" s="487">
        <f t="shared" si="14"/>
        <v>27.229675115796478</v>
      </c>
      <c r="M42" s="490">
        <f t="shared" ref="M42:M47" si="15">SUM(F42:L42)</f>
        <v>272.29675115796476</v>
      </c>
      <c r="N42" s="243">
        <f>M42-C42</f>
        <v>0</v>
      </c>
      <c r="O42" s="188" t="str">
        <f>IF(M42-C42&gt;0,"Ylitys!",IF(M42-C42=0,"Ok","Alitus"))</f>
        <v>Ok</v>
      </c>
      <c r="P42" s="491">
        <f>N42/C42</f>
        <v>0</v>
      </c>
    </row>
    <row r="43" spans="1:16">
      <c r="A43" s="435" t="s">
        <v>1451</v>
      </c>
      <c r="B43" s="434"/>
      <c r="C43" s="434">
        <f>(0.27*C41)+(0.02*$C$3)-1</f>
        <v>22.8</v>
      </c>
      <c r="D43" s="17"/>
      <c r="E43" s="25" t="s">
        <v>1452</v>
      </c>
      <c r="F43" s="492">
        <f t="shared" ref="F43:L43" si="16">F42/F6</f>
        <v>13.514728458207809</v>
      </c>
      <c r="G43" s="59">
        <f t="shared" si="16"/>
        <v>5.2770688208907899</v>
      </c>
      <c r="H43" s="59">
        <f t="shared" si="16"/>
        <v>2.2520783930357986</v>
      </c>
      <c r="I43" s="493">
        <f t="shared" si="16"/>
        <v>0</v>
      </c>
      <c r="J43" s="59">
        <f t="shared" si="16"/>
        <v>0</v>
      </c>
      <c r="K43" s="59">
        <f t="shared" si="16"/>
        <v>0</v>
      </c>
      <c r="L43" s="59">
        <f t="shared" si="16"/>
        <v>2.3273226594697847</v>
      </c>
      <c r="M43" s="494">
        <f t="shared" si="15"/>
        <v>23.371198331604184</v>
      </c>
      <c r="N43" s="243">
        <f>M43-C43</f>
        <v>0.5711983316041831</v>
      </c>
      <c r="O43" s="188" t="str">
        <f>IF(M43-C43&gt;0,"Ylitys!",IF(M43-C43=0,"Ok","Alitus"))</f>
        <v>Ylitys!</v>
      </c>
      <c r="P43" s="491">
        <f>N43/C43</f>
        <v>2.5052558403692242E-2</v>
      </c>
    </row>
    <row r="44" spans="1:16">
      <c r="A44" s="435" t="s">
        <v>1465</v>
      </c>
      <c r="B44" s="434"/>
      <c r="C44" s="495">
        <f>C40*C42</f>
        <v>27229.675115796475</v>
      </c>
      <c r="D44" s="496"/>
      <c r="E44" s="12" t="s">
        <v>1454</v>
      </c>
      <c r="F44" s="497">
        <f t="shared" ref="F44:L44" si="17">F43/F5</f>
        <v>50.054549845214105</v>
      </c>
      <c r="G44" s="186">
        <f t="shared" si="17"/>
        <v>6.136126535919523</v>
      </c>
      <c r="H44" s="186">
        <f t="shared" si="17"/>
        <v>2.6186958058555798</v>
      </c>
      <c r="I44" s="498">
        <f t="shared" si="17"/>
        <v>0</v>
      </c>
      <c r="J44" s="186">
        <f t="shared" si="17"/>
        <v>0</v>
      </c>
      <c r="K44" s="186">
        <f t="shared" si="17"/>
        <v>0</v>
      </c>
      <c r="L44" s="186">
        <f t="shared" si="17"/>
        <v>2.8381983652070546</v>
      </c>
      <c r="M44" s="494">
        <f t="shared" si="15"/>
        <v>61.647570552196264</v>
      </c>
      <c r="N44" s="243"/>
      <c r="P44" s="436"/>
    </row>
    <row r="45" spans="1:16">
      <c r="A45" s="435"/>
      <c r="B45" s="434"/>
      <c r="C45" s="499"/>
      <c r="D45" s="500"/>
      <c r="E45" s="25" t="s">
        <v>1455</v>
      </c>
      <c r="F45" s="501">
        <f>F43*$C$40</f>
        <v>1351.472845820781</v>
      </c>
      <c r="G45" s="19">
        <f t="shared" ref="G45:L45" si="18">G43*$C$40</f>
        <v>527.70688208907904</v>
      </c>
      <c r="H45" s="19">
        <f t="shared" si="18"/>
        <v>225.20783930357987</v>
      </c>
      <c r="I45" s="502">
        <f t="shared" si="18"/>
        <v>0</v>
      </c>
      <c r="J45" s="19">
        <f t="shared" si="18"/>
        <v>0</v>
      </c>
      <c r="K45" s="19">
        <f t="shared" si="18"/>
        <v>0</v>
      </c>
      <c r="L45" s="19">
        <f t="shared" si="18"/>
        <v>232.73226594697846</v>
      </c>
      <c r="M45" s="494">
        <f t="shared" si="15"/>
        <v>2337.1198331604182</v>
      </c>
      <c r="N45" s="243"/>
      <c r="P45" s="436"/>
    </row>
    <row r="46" spans="1:16">
      <c r="A46" s="435" t="s">
        <v>1456</v>
      </c>
      <c r="B46" s="434"/>
      <c r="C46" s="434">
        <f>C41*$C$4*1000</f>
        <v>1360</v>
      </c>
      <c r="D46" s="17"/>
      <c r="E46" s="25" t="s">
        <v>1457</v>
      </c>
      <c r="F46" s="501">
        <f>F44*$C$40</f>
        <v>5005.4549845214106</v>
      </c>
      <c r="G46" s="19">
        <f t="shared" ref="G46:L46" si="19">G44*$C$40</f>
        <v>613.61265359195227</v>
      </c>
      <c r="H46" s="19">
        <f t="shared" si="19"/>
        <v>261.86958058555797</v>
      </c>
      <c r="I46" s="502">
        <f t="shared" si="19"/>
        <v>0</v>
      </c>
      <c r="J46" s="19">
        <f t="shared" si="19"/>
        <v>0</v>
      </c>
      <c r="K46" s="19">
        <f t="shared" si="19"/>
        <v>0</v>
      </c>
      <c r="L46" s="19">
        <f t="shared" si="19"/>
        <v>283.81983652070545</v>
      </c>
      <c r="M46" s="494">
        <f t="shared" si="15"/>
        <v>6164.7570552196257</v>
      </c>
      <c r="N46" s="243"/>
      <c r="P46" s="436"/>
    </row>
    <row r="47" spans="1:16">
      <c r="A47" s="435" t="s">
        <v>1459</v>
      </c>
      <c r="B47" s="434"/>
      <c r="C47" s="503">
        <f>(1.8*$C$3^0.75)+14*C43+(1.47-(0.0017*C41))*C46</f>
        <v>2457.6368001637602</v>
      </c>
      <c r="D47" s="504"/>
      <c r="E47" s="505" t="s">
        <v>1460</v>
      </c>
      <c r="F47" s="506">
        <f t="shared" ref="F47:L47" si="20">F43*F7</f>
        <v>1135.237190489456</v>
      </c>
      <c r="G47" s="507">
        <f t="shared" si="20"/>
        <v>506.59860680551583</v>
      </c>
      <c r="H47" s="508">
        <f t="shared" si="20"/>
        <v>261.24109359215265</v>
      </c>
      <c r="I47" s="509">
        <f t="shared" si="20"/>
        <v>0</v>
      </c>
      <c r="J47" s="510">
        <f t="shared" si="20"/>
        <v>0</v>
      </c>
      <c r="K47" s="507">
        <f t="shared" si="20"/>
        <v>0</v>
      </c>
      <c r="L47" s="508">
        <f t="shared" si="20"/>
        <v>293.24265509319287</v>
      </c>
      <c r="M47" s="511">
        <f t="shared" si="15"/>
        <v>2196.3195459803173</v>
      </c>
      <c r="N47" s="243">
        <f>M47-C47</f>
        <v>-261.31725418344286</v>
      </c>
      <c r="O47" s="188" t="str">
        <f>IF(M47-C47&gt;0,"Ylitys!",IF(M47-C47=0,"Ok","Alitus"))</f>
        <v>Alitus</v>
      </c>
      <c r="P47" s="491">
        <f>N47/C47</f>
        <v>-0.10632867076454522</v>
      </c>
    </row>
    <row r="48" spans="1:16">
      <c r="A48" s="435" t="s">
        <v>1461</v>
      </c>
      <c r="B48" s="434"/>
      <c r="C48" s="499">
        <f>C47*C40</f>
        <v>245763.68001637602</v>
      </c>
      <c r="D48" s="500"/>
      <c r="E48" s="25"/>
      <c r="F48" s="532"/>
      <c r="G48" s="7"/>
      <c r="H48" s="7"/>
      <c r="I48" s="533"/>
      <c r="J48" s="7"/>
      <c r="K48" s="7"/>
      <c r="L48" s="7"/>
      <c r="M48" s="520"/>
      <c r="N48" s="521"/>
      <c r="P48" s="436"/>
    </row>
    <row r="49" spans="1:16">
      <c r="A49" s="512"/>
      <c r="B49" s="513"/>
      <c r="C49" s="514"/>
      <c r="D49" s="515"/>
      <c r="E49" s="516"/>
      <c r="F49" s="540"/>
      <c r="G49" s="541"/>
      <c r="H49" s="541"/>
      <c r="I49" s="542"/>
      <c r="J49" s="541"/>
      <c r="K49" s="541"/>
      <c r="L49" s="541"/>
      <c r="M49" s="520"/>
      <c r="N49" s="426"/>
      <c r="P49" s="436"/>
    </row>
    <row r="50" spans="1:16">
      <c r="A50" s="435"/>
      <c r="B50" s="434"/>
      <c r="C50" s="499"/>
      <c r="D50" s="500"/>
      <c r="F50" s="435"/>
      <c r="I50" s="480"/>
      <c r="M50" s="492"/>
      <c r="N50" s="521"/>
      <c r="P50" s="436"/>
    </row>
    <row r="51" spans="1:16" ht="15.75">
      <c r="A51" s="469" t="s">
        <v>1467</v>
      </c>
      <c r="B51" s="543"/>
      <c r="C51" s="470"/>
      <c r="D51" s="471"/>
      <c r="E51" s="522" t="s">
        <v>1463</v>
      </c>
      <c r="F51" s="473">
        <v>0.54</v>
      </c>
      <c r="G51" s="474">
        <v>0.25</v>
      </c>
      <c r="H51" s="475">
        <v>0.22</v>
      </c>
      <c r="I51" s="476">
        <v>0</v>
      </c>
      <c r="J51" s="477">
        <v>0</v>
      </c>
      <c r="K51" s="538">
        <v>0</v>
      </c>
      <c r="L51" s="539">
        <v>0.1</v>
      </c>
      <c r="M51" s="478">
        <f>SUM(F51:L51)</f>
        <v>1.1100000000000001</v>
      </c>
      <c r="N51" s="521"/>
      <c r="P51" s="436"/>
    </row>
    <row r="52" spans="1:16">
      <c r="A52" s="479" t="s">
        <v>1445</v>
      </c>
      <c r="B52" s="434"/>
      <c r="C52" s="437">
        <v>90</v>
      </c>
      <c r="D52" s="17"/>
      <c r="F52" s="435"/>
      <c r="I52" s="480"/>
      <c r="M52" s="435"/>
      <c r="N52" s="521"/>
      <c r="P52" s="436"/>
    </row>
    <row r="53" spans="1:16">
      <c r="A53" s="435" t="s">
        <v>1446</v>
      </c>
      <c r="B53" s="434"/>
      <c r="C53" s="523">
        <v>60</v>
      </c>
      <c r="D53" s="17"/>
      <c r="F53" s="435"/>
      <c r="I53" s="480"/>
      <c r="M53" s="435"/>
      <c r="N53" s="521"/>
      <c r="P53" s="436"/>
    </row>
    <row r="54" spans="1:16">
      <c r="A54" s="435" t="s">
        <v>1464</v>
      </c>
      <c r="B54" s="434"/>
      <c r="C54" s="482">
        <f>$C$3^0.75*0.515+5.15*C53</f>
        <v>375.29675115796476</v>
      </c>
      <c r="D54" s="483"/>
      <c r="E54" s="484" t="s">
        <v>1450</v>
      </c>
      <c r="F54" s="485">
        <f>$C$54*F51</f>
        <v>202.66024562530097</v>
      </c>
      <c r="G54" s="486">
        <f t="shared" ref="G54:L54" si="21">$C$54*G51</f>
        <v>93.824187789491191</v>
      </c>
      <c r="H54" s="487">
        <f t="shared" si="21"/>
        <v>82.565285254752254</v>
      </c>
      <c r="I54" s="488">
        <f t="shared" si="21"/>
        <v>0</v>
      </c>
      <c r="J54" s="489">
        <f t="shared" si="21"/>
        <v>0</v>
      </c>
      <c r="K54" s="486">
        <f t="shared" si="21"/>
        <v>0</v>
      </c>
      <c r="L54" s="487">
        <f t="shared" si="21"/>
        <v>37.529675115796479</v>
      </c>
      <c r="M54" s="490">
        <f t="shared" ref="M54:M59" si="22">SUM(F54:L54)</f>
        <v>416.57939378534093</v>
      </c>
      <c r="N54" s="243">
        <f>M54-C54</f>
        <v>41.282642627376163</v>
      </c>
      <c r="O54" s="188" t="str">
        <f>IF(M54-C54&gt;0,"Ylitys!",IF(M54-C54=0,"Ok","Alitus"))</f>
        <v>Ylitys!</v>
      </c>
      <c r="P54" s="491">
        <f>N54/C54</f>
        <v>0.1100000000000001</v>
      </c>
    </row>
    <row r="55" spans="1:16">
      <c r="A55" s="435" t="s">
        <v>1451</v>
      </c>
      <c r="B55" s="434"/>
      <c r="C55" s="434">
        <f>(0.27*C53)+(0.02*$C$3)-1</f>
        <v>28.200000000000003</v>
      </c>
      <c r="D55" s="17"/>
      <c r="E55" s="25" t="s">
        <v>1452</v>
      </c>
      <c r="F55" s="492">
        <f t="shared" ref="F55:L55" si="23">F54/F6</f>
        <v>18.626860811148987</v>
      </c>
      <c r="G55" s="59">
        <f t="shared" si="23"/>
        <v>7.2731928518985418</v>
      </c>
      <c r="H55" s="59">
        <f t="shared" si="23"/>
        <v>6.2079161845678383</v>
      </c>
      <c r="I55" s="493">
        <f t="shared" si="23"/>
        <v>0</v>
      </c>
      <c r="J55" s="59">
        <f t="shared" si="23"/>
        <v>0</v>
      </c>
      <c r="K55" s="59">
        <f t="shared" si="23"/>
        <v>0</v>
      </c>
      <c r="L55" s="59">
        <f t="shared" si="23"/>
        <v>3.207664539811665</v>
      </c>
      <c r="M55" s="494">
        <f t="shared" si="22"/>
        <v>35.315634387427032</v>
      </c>
      <c r="N55" s="243">
        <f>M55-C55</f>
        <v>7.1156343874270291</v>
      </c>
      <c r="O55" s="188" t="str">
        <f>IF(M55-C55&gt;0,"Ylitys!",IF(M55-C55=0,"Ok","Alitus"))</f>
        <v>Ylitys!</v>
      </c>
      <c r="P55" s="491">
        <f>N55/C55</f>
        <v>0.25232746054705774</v>
      </c>
    </row>
    <row r="56" spans="1:16">
      <c r="A56" s="435" t="s">
        <v>1465</v>
      </c>
      <c r="B56" s="434"/>
      <c r="C56" s="495">
        <f>C52*C54</f>
        <v>33776.707604216826</v>
      </c>
      <c r="D56" s="496"/>
      <c r="E56" s="12" t="s">
        <v>1454</v>
      </c>
      <c r="F56" s="497">
        <f t="shared" ref="F56:L56" si="24">F55/F5</f>
        <v>68.988373374625866</v>
      </c>
      <c r="G56" s="186">
        <f t="shared" si="24"/>
        <v>8.4572009905797003</v>
      </c>
      <c r="H56" s="186">
        <f t="shared" si="24"/>
        <v>7.2185071913579515</v>
      </c>
      <c r="I56" s="498">
        <f t="shared" si="24"/>
        <v>0</v>
      </c>
      <c r="J56" s="186">
        <f t="shared" si="24"/>
        <v>0</v>
      </c>
      <c r="K56" s="186">
        <f t="shared" si="24"/>
        <v>0</v>
      </c>
      <c r="L56" s="186">
        <f t="shared" si="24"/>
        <v>3.9117860241605671</v>
      </c>
      <c r="M56" s="494">
        <f t="shared" si="22"/>
        <v>88.575867580724093</v>
      </c>
      <c r="N56" s="243"/>
      <c r="P56" s="436"/>
    </row>
    <row r="57" spans="1:16">
      <c r="A57" s="435"/>
      <c r="B57" s="434"/>
      <c r="C57" s="499"/>
      <c r="D57" s="500"/>
      <c r="E57" s="25" t="s">
        <v>1455</v>
      </c>
      <c r="F57" s="501">
        <f>F55*$C$52</f>
        <v>1676.4174730034088</v>
      </c>
      <c r="G57" s="19">
        <f t="shared" ref="G57:L57" si="25">G55*$C$52</f>
        <v>654.58735667086876</v>
      </c>
      <c r="H57" s="19">
        <f t="shared" si="25"/>
        <v>558.71245661110549</v>
      </c>
      <c r="I57" s="502">
        <f t="shared" si="25"/>
        <v>0</v>
      </c>
      <c r="J57" s="19">
        <f t="shared" si="25"/>
        <v>0</v>
      </c>
      <c r="K57" s="19">
        <f t="shared" si="25"/>
        <v>0</v>
      </c>
      <c r="L57" s="19">
        <f t="shared" si="25"/>
        <v>288.68980858304985</v>
      </c>
      <c r="M57" s="494">
        <f t="shared" si="22"/>
        <v>3178.407094868433</v>
      </c>
      <c r="N57" s="243"/>
      <c r="P57" s="436"/>
    </row>
    <row r="58" spans="1:16">
      <c r="A58" s="435" t="s">
        <v>1456</v>
      </c>
      <c r="B58" s="434"/>
      <c r="C58" s="434">
        <f>C53*$C$4*1000</f>
        <v>2040</v>
      </c>
      <c r="D58" s="17"/>
      <c r="E58" s="25" t="s">
        <v>1457</v>
      </c>
      <c r="F58" s="501">
        <f>F56*$C$52</f>
        <v>6208.953603716328</v>
      </c>
      <c r="G58" s="19">
        <f t="shared" ref="G58:L58" si="26">G56*$C$52</f>
        <v>761.14808915217304</v>
      </c>
      <c r="H58" s="19">
        <f t="shared" si="26"/>
        <v>649.66564722221563</v>
      </c>
      <c r="I58" s="502">
        <f t="shared" si="26"/>
        <v>0</v>
      </c>
      <c r="J58" s="19">
        <f t="shared" si="26"/>
        <v>0</v>
      </c>
      <c r="K58" s="19">
        <f t="shared" si="26"/>
        <v>0</v>
      </c>
      <c r="L58" s="19">
        <f t="shared" si="26"/>
        <v>352.06074217445104</v>
      </c>
      <c r="M58" s="494">
        <f t="shared" si="22"/>
        <v>7971.8280822651677</v>
      </c>
      <c r="N58" s="243"/>
      <c r="P58" s="436"/>
    </row>
    <row r="59" spans="1:16">
      <c r="A59" s="435" t="s">
        <v>1459</v>
      </c>
      <c r="B59" s="434"/>
      <c r="C59" s="503">
        <f>(1.8*$C$3^0.75)+14*C55+(1.47-(0.0017*C53))*C58</f>
        <v>3417.2368001637601</v>
      </c>
      <c r="D59" s="504"/>
      <c r="E59" s="505" t="s">
        <v>1460</v>
      </c>
      <c r="F59" s="506">
        <f t="shared" ref="F59:L59" si="27">F55*F7</f>
        <v>1564.6563081365148</v>
      </c>
      <c r="G59" s="507">
        <f t="shared" si="27"/>
        <v>698.22651378225999</v>
      </c>
      <c r="H59" s="508">
        <f t="shared" si="27"/>
        <v>720.11827740986928</v>
      </c>
      <c r="I59" s="509">
        <f t="shared" si="27"/>
        <v>0</v>
      </c>
      <c r="J59" s="510">
        <f t="shared" si="27"/>
        <v>0</v>
      </c>
      <c r="K59" s="507">
        <f t="shared" si="27"/>
        <v>0</v>
      </c>
      <c r="L59" s="508">
        <f t="shared" si="27"/>
        <v>404.16573201626977</v>
      </c>
      <c r="M59" s="511">
        <f t="shared" si="22"/>
        <v>3387.166831344914</v>
      </c>
      <c r="N59" s="243">
        <f>M59-C59</f>
        <v>-30.069968818846064</v>
      </c>
      <c r="O59" s="188" t="str">
        <f>IF(M59-C59&gt;0,"Ylitys!",IF(M59-C59=0,"Ok","Alitus"))</f>
        <v>Alitus</v>
      </c>
      <c r="P59" s="491">
        <f>N59/C59</f>
        <v>-8.7994981259142055E-3</v>
      </c>
    </row>
    <row r="60" spans="1:16">
      <c r="A60" s="435" t="s">
        <v>1461</v>
      </c>
      <c r="B60" s="434"/>
      <c r="C60" s="499">
        <f>C59*C52</f>
        <v>307551.31201473839</v>
      </c>
      <c r="D60" s="500"/>
      <c r="E60" s="25"/>
      <c r="F60" s="532"/>
      <c r="G60" s="7"/>
      <c r="H60" s="7"/>
      <c r="I60" s="533"/>
      <c r="J60" s="7"/>
      <c r="K60" s="7"/>
      <c r="L60" s="7"/>
      <c r="M60" s="520"/>
      <c r="N60" s="243"/>
      <c r="P60" s="491"/>
    </row>
    <row r="61" spans="1:16">
      <c r="A61" s="512"/>
      <c r="B61" s="513"/>
      <c r="C61" s="544"/>
      <c r="D61" s="545"/>
      <c r="E61" s="516"/>
      <c r="F61" s="517"/>
      <c r="G61" s="518"/>
      <c r="H61" s="518"/>
      <c r="I61" s="519"/>
      <c r="J61" s="518"/>
      <c r="K61" s="518"/>
      <c r="L61" s="518"/>
      <c r="M61" s="520"/>
      <c r="N61" s="243"/>
      <c r="P61" s="491"/>
    </row>
    <row r="62" spans="1:16">
      <c r="A62" s="435"/>
      <c r="B62" s="434"/>
      <c r="C62" s="499"/>
      <c r="D62" s="500"/>
      <c r="F62" s="435"/>
      <c r="I62" s="480"/>
      <c r="M62" s="492"/>
      <c r="N62" s="243"/>
      <c r="P62" s="436"/>
    </row>
    <row r="63" spans="1:16" ht="15.75">
      <c r="A63" s="469" t="s">
        <v>1468</v>
      </c>
      <c r="B63" s="543"/>
      <c r="C63" s="470"/>
      <c r="D63" s="471"/>
      <c r="E63" s="522" t="s">
        <v>1463</v>
      </c>
      <c r="F63" s="473">
        <v>0.55000000000000004</v>
      </c>
      <c r="G63" s="474">
        <v>0.3</v>
      </c>
      <c r="H63" s="475">
        <v>0</v>
      </c>
      <c r="I63" s="476">
        <v>0</v>
      </c>
      <c r="J63" s="477">
        <v>0</v>
      </c>
      <c r="K63" s="538">
        <v>0</v>
      </c>
      <c r="L63" s="539">
        <v>0.15</v>
      </c>
      <c r="M63" s="478">
        <f>SUM(F63:L63)</f>
        <v>1</v>
      </c>
      <c r="N63" s="243"/>
      <c r="P63" s="436"/>
    </row>
    <row r="64" spans="1:16">
      <c r="A64" s="479" t="s">
        <v>1445</v>
      </c>
      <c r="B64" s="434"/>
      <c r="C64" s="437">
        <v>21</v>
      </c>
      <c r="D64" s="17"/>
      <c r="F64" s="435"/>
      <c r="I64" s="480"/>
      <c r="M64" s="435"/>
      <c r="N64" s="243"/>
      <c r="P64" s="436"/>
    </row>
    <row r="65" spans="1:16">
      <c r="A65" s="435" t="s">
        <v>1446</v>
      </c>
      <c r="B65" s="434"/>
      <c r="C65" s="523">
        <v>15</v>
      </c>
      <c r="D65" s="17"/>
      <c r="F65" s="435"/>
      <c r="I65" s="480"/>
      <c r="M65" s="435"/>
      <c r="N65" s="243"/>
      <c r="P65" s="436"/>
    </row>
    <row r="66" spans="1:16">
      <c r="A66" s="435" t="s">
        <v>1464</v>
      </c>
      <c r="B66" s="434"/>
      <c r="C66" s="482">
        <f>$C$3^0.75*0.515+5.15*C65</f>
        <v>143.54675115796476</v>
      </c>
      <c r="D66" s="483"/>
      <c r="E66" s="484" t="s">
        <v>1450</v>
      </c>
      <c r="F66" s="485">
        <f>$C$66*F63</f>
        <v>78.950713136880623</v>
      </c>
      <c r="G66" s="486">
        <f t="shared" ref="G66:L66" si="28">$C$66*G63</f>
        <v>43.064025347389425</v>
      </c>
      <c r="H66" s="487">
        <f t="shared" si="28"/>
        <v>0</v>
      </c>
      <c r="I66" s="488">
        <f t="shared" si="28"/>
        <v>0</v>
      </c>
      <c r="J66" s="489">
        <f t="shared" si="28"/>
        <v>0</v>
      </c>
      <c r="K66" s="486">
        <f t="shared" si="28"/>
        <v>0</v>
      </c>
      <c r="L66" s="487">
        <f t="shared" si="28"/>
        <v>21.532012673694712</v>
      </c>
      <c r="M66" s="490">
        <f t="shared" ref="M66:M71" si="29">SUM(F66:L66)</f>
        <v>143.54675115796476</v>
      </c>
      <c r="N66" s="243">
        <f>M66-C66</f>
        <v>0</v>
      </c>
      <c r="O66" s="188" t="str">
        <f>IF(M66-C66&gt;0,"Ylitys!",IF(M66-C66=0,"Ok","Alitus"))</f>
        <v>Ok</v>
      </c>
      <c r="P66" s="491">
        <f>N66/C66</f>
        <v>0</v>
      </c>
    </row>
    <row r="67" spans="1:16">
      <c r="A67" s="435" t="s">
        <v>1451</v>
      </c>
      <c r="B67" s="434"/>
      <c r="C67" s="434">
        <f>(0.27*C65)+(0.02*$C$3)-1</f>
        <v>16.05</v>
      </c>
      <c r="D67" s="17"/>
      <c r="E67" s="25" t="s">
        <v>1452</v>
      </c>
      <c r="F67" s="492">
        <f t="shared" ref="F67:L67" si="30">F66/F6</f>
        <v>7.2564993691985862</v>
      </c>
      <c r="G67" s="59">
        <f t="shared" si="30"/>
        <v>3.3382965385573198</v>
      </c>
      <c r="H67" s="59">
        <f t="shared" si="30"/>
        <v>0</v>
      </c>
      <c r="I67" s="493">
        <f t="shared" si="30"/>
        <v>0</v>
      </c>
      <c r="J67" s="59">
        <f t="shared" si="30"/>
        <v>0</v>
      </c>
      <c r="K67" s="59">
        <f t="shared" si="30"/>
        <v>0</v>
      </c>
      <c r="L67" s="59">
        <f t="shared" si="30"/>
        <v>1.8403429635636508</v>
      </c>
      <c r="M67" s="494">
        <f t="shared" si="29"/>
        <v>12.435138871319555</v>
      </c>
      <c r="N67" s="243">
        <f>M67-C67</f>
        <v>-3.6148611286804453</v>
      </c>
      <c r="O67" s="188" t="str">
        <f>IF(M67-C67&gt;0,"Ylitys!",IF(M67-C67=0,"Ok","Alitus"))</f>
        <v>Alitus</v>
      </c>
      <c r="P67" s="491">
        <f>N67/C67</f>
        <v>-0.22522499244114924</v>
      </c>
    </row>
    <row r="68" spans="1:16">
      <c r="A68" s="435" t="s">
        <v>1465</v>
      </c>
      <c r="B68" s="434"/>
      <c r="C68" s="495">
        <f>C64*C66</f>
        <v>3014.4817743172598</v>
      </c>
      <c r="D68" s="496"/>
      <c r="E68" s="12" t="s">
        <v>1454</v>
      </c>
      <c r="F68" s="497">
        <f t="shared" ref="F68:L68" si="31">F67/F5</f>
        <v>26.875923589624392</v>
      </c>
      <c r="G68" s="186">
        <f t="shared" si="31"/>
        <v>3.8817401611131626</v>
      </c>
      <c r="H68" s="186">
        <f t="shared" si="31"/>
        <v>0</v>
      </c>
      <c r="I68" s="498">
        <f t="shared" si="31"/>
        <v>0</v>
      </c>
      <c r="J68" s="186">
        <f t="shared" si="31"/>
        <v>0</v>
      </c>
      <c r="K68" s="186">
        <f t="shared" si="31"/>
        <v>0</v>
      </c>
      <c r="L68" s="186">
        <f t="shared" si="31"/>
        <v>2.244320687272745</v>
      </c>
      <c r="M68" s="494">
        <f t="shared" si="29"/>
        <v>33.001984438010304</v>
      </c>
      <c r="N68" s="243"/>
      <c r="P68" s="436"/>
    </row>
    <row r="69" spans="1:16">
      <c r="A69" s="435"/>
      <c r="B69" s="434"/>
      <c r="C69" s="499"/>
      <c r="D69" s="500"/>
      <c r="E69" s="25" t="s">
        <v>1455</v>
      </c>
      <c r="F69" s="501">
        <f>F67*$C$64</f>
        <v>152.38648675317032</v>
      </c>
      <c r="G69" s="19">
        <f t="shared" ref="G69:L69" si="32">G67*$C$64</f>
        <v>70.104227309703717</v>
      </c>
      <c r="H69" s="19">
        <f t="shared" si="32"/>
        <v>0</v>
      </c>
      <c r="I69" s="502">
        <f t="shared" si="32"/>
        <v>0</v>
      </c>
      <c r="J69" s="19">
        <f t="shared" si="32"/>
        <v>0</v>
      </c>
      <c r="K69" s="19">
        <f t="shared" si="32"/>
        <v>0</v>
      </c>
      <c r="L69" s="19">
        <f t="shared" si="32"/>
        <v>38.647202234836669</v>
      </c>
      <c r="M69" s="494">
        <f t="shared" si="29"/>
        <v>261.13791629771072</v>
      </c>
      <c r="N69" s="243"/>
      <c r="P69" s="436"/>
    </row>
    <row r="70" spans="1:16">
      <c r="A70" s="435" t="s">
        <v>1456</v>
      </c>
      <c r="B70" s="434"/>
      <c r="C70" s="434">
        <f>C65*$C$4*1000</f>
        <v>510</v>
      </c>
      <c r="D70" s="17"/>
      <c r="E70" s="25" t="s">
        <v>1457</v>
      </c>
      <c r="F70" s="501">
        <f>F68*C64</f>
        <v>564.39439538211218</v>
      </c>
      <c r="G70" s="19">
        <f t="shared" ref="G70:L70" si="33">G68*E64</f>
        <v>0</v>
      </c>
      <c r="H70" s="19">
        <f t="shared" si="33"/>
        <v>0</v>
      </c>
      <c r="I70" s="502">
        <f t="shared" si="33"/>
        <v>0</v>
      </c>
      <c r="J70" s="19">
        <f t="shared" si="33"/>
        <v>0</v>
      </c>
      <c r="K70" s="19">
        <f t="shared" si="33"/>
        <v>0</v>
      </c>
      <c r="L70" s="19">
        <f t="shared" si="33"/>
        <v>0</v>
      </c>
      <c r="M70" s="494">
        <f t="shared" si="29"/>
        <v>564.39439538211218</v>
      </c>
      <c r="N70" s="243"/>
      <c r="P70" s="436"/>
    </row>
    <row r="71" spans="1:16">
      <c r="A71" s="435" t="s">
        <v>1459</v>
      </c>
      <c r="B71" s="434"/>
      <c r="C71" s="503">
        <f>(1.8*$C$3^0.75)+14*C67+(1.47-(0.0017*C65))*C70</f>
        <v>1193.1118001637601</v>
      </c>
      <c r="D71" s="504"/>
      <c r="E71" s="505" t="s">
        <v>1460</v>
      </c>
      <c r="F71" s="506">
        <f t="shared" ref="F71:L71" si="34">F67*F7</f>
        <v>609.54594701268127</v>
      </c>
      <c r="G71" s="507">
        <f t="shared" si="34"/>
        <v>320.47646770150271</v>
      </c>
      <c r="H71" s="508">
        <f t="shared" si="34"/>
        <v>0</v>
      </c>
      <c r="I71" s="509">
        <f t="shared" si="34"/>
        <v>0</v>
      </c>
      <c r="J71" s="510">
        <f t="shared" si="34"/>
        <v>0</v>
      </c>
      <c r="K71" s="507">
        <f t="shared" si="34"/>
        <v>0</v>
      </c>
      <c r="L71" s="508">
        <f t="shared" si="34"/>
        <v>231.88321340901999</v>
      </c>
      <c r="M71" s="511">
        <f t="shared" si="29"/>
        <v>1161.905628123204</v>
      </c>
      <c r="N71" s="243">
        <f>M71-C71</f>
        <v>-31.206172040556112</v>
      </c>
      <c r="O71" s="188" t="str">
        <f>IF(M71-C71&gt;0,"Ylitys!",IF(M71-C71=0,"Ok","Alitus"))</f>
        <v>Alitus</v>
      </c>
      <c r="P71" s="491">
        <f>N71/C71</f>
        <v>-2.6155279024373843E-2</v>
      </c>
    </row>
    <row r="72" spans="1:16">
      <c r="A72" s="435" t="s">
        <v>1461</v>
      </c>
      <c r="B72" s="434"/>
      <c r="C72" s="499">
        <f>C71*C64</f>
        <v>25055.347803438963</v>
      </c>
      <c r="D72" s="500"/>
      <c r="E72" s="25"/>
      <c r="F72" s="532"/>
      <c r="G72" s="7"/>
      <c r="H72" s="7"/>
      <c r="I72" s="533"/>
      <c r="J72" s="7"/>
      <c r="K72" s="7"/>
      <c r="L72" s="7"/>
      <c r="M72" s="520"/>
      <c r="N72" s="58"/>
      <c r="P72" s="436"/>
    </row>
    <row r="73" spans="1:16">
      <c r="A73" s="512"/>
      <c r="B73" s="513"/>
      <c r="C73" s="514"/>
      <c r="D73" s="515"/>
      <c r="E73" s="516"/>
      <c r="F73" s="540"/>
      <c r="G73" s="541"/>
      <c r="H73" s="541"/>
      <c r="I73" s="542"/>
      <c r="J73" s="541"/>
      <c r="K73" s="541"/>
      <c r="L73" s="541"/>
      <c r="M73" s="520"/>
      <c r="N73" s="243"/>
      <c r="P73" s="436"/>
    </row>
    <row r="74" spans="1:16">
      <c r="A74" s="435"/>
      <c r="B74" s="434"/>
      <c r="C74" s="499"/>
      <c r="D74" s="500"/>
      <c r="F74" s="435"/>
      <c r="I74" s="480"/>
      <c r="M74" s="435"/>
      <c r="N74" s="58"/>
      <c r="P74" s="436"/>
    </row>
    <row r="75" spans="1:16">
      <c r="A75" s="435"/>
      <c r="B75" s="434"/>
      <c r="C75" s="434"/>
      <c r="D75" s="17"/>
      <c r="E75" s="25" t="s">
        <v>1469</v>
      </c>
      <c r="F75" s="501">
        <f t="shared" ref="F75:L75" si="35">SUM(F19,F32,F45,F57,F69)</f>
        <v>3767.2216204385172</v>
      </c>
      <c r="G75" s="19">
        <f t="shared" si="35"/>
        <v>1615.6475814089915</v>
      </c>
      <c r="H75" s="19">
        <f t="shared" si="35"/>
        <v>914.33869428123353</v>
      </c>
      <c r="I75" s="502">
        <f t="shared" si="35"/>
        <v>0</v>
      </c>
      <c r="J75" s="19">
        <f t="shared" si="35"/>
        <v>0</v>
      </c>
      <c r="K75" s="19">
        <f t="shared" si="35"/>
        <v>0</v>
      </c>
      <c r="L75" s="19">
        <f t="shared" si="35"/>
        <v>686.19529768804421</v>
      </c>
      <c r="M75" s="494">
        <f>SUM(F75:L75)</f>
        <v>6983.4031938167864</v>
      </c>
      <c r="N75" s="58"/>
      <c r="P75" s="436"/>
    </row>
    <row r="76" spans="1:16">
      <c r="A76" s="435"/>
      <c r="B76" s="434"/>
      <c r="C76" s="434"/>
      <c r="D76" s="17"/>
      <c r="E76" s="25"/>
      <c r="F76" s="501"/>
      <c r="I76" s="480"/>
      <c r="M76" s="435"/>
      <c r="N76" s="58"/>
      <c r="P76" s="436"/>
    </row>
    <row r="77" spans="1:16">
      <c r="A77" s="435" t="s">
        <v>97</v>
      </c>
      <c r="B77" s="188"/>
      <c r="C77" s="434"/>
      <c r="D77" s="17"/>
      <c r="F77" s="546" t="str">
        <f t="shared" ref="F77:L77" si="36">F2</f>
        <v>Säilörehu</v>
      </c>
      <c r="G77" s="214" t="str">
        <f t="shared" si="36"/>
        <v>Vilja 1 ohra</v>
      </c>
      <c r="H77" s="214" t="str">
        <f t="shared" si="36"/>
        <v>Rehuherne</v>
      </c>
      <c r="I77" s="547" t="str">
        <f t="shared" si="36"/>
        <v>Aperuokinta</v>
      </c>
      <c r="J77" s="214" t="str">
        <f t="shared" si="36"/>
        <v>Soija</v>
      </c>
      <c r="K77" s="214" t="str">
        <f t="shared" si="36"/>
        <v>Kuiva heinä</v>
      </c>
      <c r="L77" s="214" t="str">
        <f t="shared" si="36"/>
        <v>Luomu-Tähti 250</v>
      </c>
      <c r="M77" s="435"/>
      <c r="N77" s="58"/>
      <c r="P77" s="436"/>
    </row>
    <row r="78" spans="1:16" ht="18">
      <c r="A78" s="435" t="s">
        <v>1470</v>
      </c>
      <c r="B78" t="str">
        <f>IF(C78&gt;365,"Päiviä liikaa!",IF(C78=365,"Päivät ok","Päiviä liian vähän"))</f>
        <v>Päivät ok</v>
      </c>
      <c r="C78" s="548">
        <f>SUM(C13,C26,C40,C52,C64)</f>
        <v>365</v>
      </c>
      <c r="D78" s="549"/>
      <c r="E78" t="s">
        <v>1471</v>
      </c>
      <c r="F78" s="550">
        <f t="shared" ref="F78:L78" si="37">SUM(F20,F33,F46,F58,F70)</f>
        <v>13890.981771833925</v>
      </c>
      <c r="G78" s="38">
        <f t="shared" si="37"/>
        <v>1797.1434349991719</v>
      </c>
      <c r="H78" s="38">
        <f t="shared" si="37"/>
        <v>1063.1845282339923</v>
      </c>
      <c r="I78" s="551">
        <f t="shared" si="37"/>
        <v>0</v>
      </c>
      <c r="J78" s="38">
        <f t="shared" si="37"/>
        <v>0</v>
      </c>
      <c r="K78" s="38">
        <f t="shared" si="37"/>
        <v>0</v>
      </c>
      <c r="L78" s="38">
        <f t="shared" si="37"/>
        <v>789.69279933317989</v>
      </c>
      <c r="M78" s="435"/>
      <c r="N78" s="58"/>
      <c r="P78" s="436"/>
    </row>
    <row r="79" spans="1:16">
      <c r="A79" s="435" t="s">
        <v>1472</v>
      </c>
      <c r="B79" s="434" t="s">
        <v>160</v>
      </c>
      <c r="C79" s="552">
        <f>C13*C14+C26*C27+C40*C41+C52*C53+C64*C65</f>
        <v>9715</v>
      </c>
      <c r="D79" s="549"/>
      <c r="E79" s="52" t="s">
        <v>1473</v>
      </c>
      <c r="F79" s="164">
        <f>F85*F10</f>
        <v>113.01664861315551</v>
      </c>
      <c r="G79" s="164">
        <f t="shared" ref="G79:L79" si="38">G85*G10</f>
        <v>394.51859546033512</v>
      </c>
      <c r="H79" s="164">
        <f t="shared" si="38"/>
        <v>244.53244149381831</v>
      </c>
      <c r="I79" s="164">
        <f t="shared" si="38"/>
        <v>0</v>
      </c>
      <c r="J79" s="164">
        <f t="shared" si="38"/>
        <v>0</v>
      </c>
      <c r="K79" s="164">
        <f t="shared" si="38"/>
        <v>0</v>
      </c>
      <c r="L79" s="164">
        <f t="shared" si="38"/>
        <v>226.77917765056097</v>
      </c>
      <c r="M79" s="553">
        <f>SUM(F79:L79)</f>
        <v>978.8468632178699</v>
      </c>
      <c r="N79" s="58"/>
      <c r="P79" s="436"/>
    </row>
    <row r="80" spans="1:16" ht="15">
      <c r="A80" s="554" t="s">
        <v>1474</v>
      </c>
      <c r="B80" s="555"/>
      <c r="C80" s="556">
        <f>SUM(C18,C31,C44,C56,C68)</f>
        <v>77310.564172657134</v>
      </c>
      <c r="D80" s="557"/>
      <c r="E80" s="558" t="s">
        <v>1475</v>
      </c>
      <c r="F80" s="559">
        <f t="shared" ref="F80:L80" si="39">F16*$C$13+F29*$C$26+F42*$C$40+F54*$C$52+G66*$C$64</f>
        <v>40052.527609360033</v>
      </c>
      <c r="G80" s="559">
        <f t="shared" si="39"/>
        <v>19937.509267880814</v>
      </c>
      <c r="H80" s="560">
        <f t="shared" si="39"/>
        <v>12160.704633940408</v>
      </c>
      <c r="I80" s="561">
        <f t="shared" si="39"/>
        <v>0</v>
      </c>
      <c r="J80" s="562">
        <f t="shared" si="39"/>
        <v>0</v>
      </c>
      <c r="K80" s="559">
        <f t="shared" si="39"/>
        <v>452.17226614758897</v>
      </c>
      <c r="L80" s="560">
        <f t="shared" si="39"/>
        <v>10590.794491119788</v>
      </c>
      <c r="M80" s="563">
        <f>SUM(F80:L80)</f>
        <v>83193.708268448638</v>
      </c>
      <c r="N80" s="243">
        <f>M80-C80</f>
        <v>5883.1440957915038</v>
      </c>
      <c r="O80" s="564" t="str">
        <f>IF(M80-C80&gt;0,"Ylitys!",IF(M80-C80=0,"Ok","Alitus"))</f>
        <v>Ylitys!</v>
      </c>
      <c r="P80" s="565">
        <f>N80/C80</f>
        <v>7.6097544478562068E-2</v>
      </c>
    </row>
    <row r="81" spans="1:16" ht="15">
      <c r="A81" s="566"/>
      <c r="B81" s="555"/>
      <c r="C81" s="567"/>
      <c r="D81" s="557"/>
      <c r="E81" s="558" t="s">
        <v>1476</v>
      </c>
      <c r="F81" s="568">
        <f t="shared" ref="F81:L81" si="40">F80/$C$80</f>
        <v>0.51807315129548148</v>
      </c>
      <c r="G81" s="568">
        <f t="shared" si="40"/>
        <v>0.25788854965997293</v>
      </c>
      <c r="H81" s="569">
        <f t="shared" si="40"/>
        <v>0.15729680366556364</v>
      </c>
      <c r="I81" s="570">
        <f t="shared" si="40"/>
        <v>0</v>
      </c>
      <c r="J81" s="571">
        <f t="shared" si="40"/>
        <v>0</v>
      </c>
      <c r="K81" s="572">
        <f t="shared" si="40"/>
        <v>5.8487772141690214E-3</v>
      </c>
      <c r="L81" s="573">
        <f t="shared" si="40"/>
        <v>0.13699026264337488</v>
      </c>
      <c r="M81" s="574">
        <f>SUM(F81:L81)</f>
        <v>1.0760975444785621</v>
      </c>
      <c r="N81" s="575"/>
      <c r="O81" s="564"/>
      <c r="P81" s="565"/>
    </row>
    <row r="82" spans="1:16" ht="15">
      <c r="A82" s="554" t="s">
        <v>1477</v>
      </c>
      <c r="B82" s="555"/>
      <c r="C82" s="556">
        <f>SUM(C23,C36,C48,C60,C72)</f>
        <v>658583.12705977249</v>
      </c>
      <c r="D82" s="557"/>
      <c r="E82" s="558" t="s">
        <v>1478</v>
      </c>
      <c r="F82" s="576">
        <f>SUM(F22*C13,F35*C26,F47*C40,F59*C52,F71*C64)</f>
        <v>315047.46658519341</v>
      </c>
      <c r="G82" s="576">
        <f t="shared" ref="G82:L82" si="41">SUM(G22,G35,G47,G59,G71)</f>
        <v>1942.7370357510617</v>
      </c>
      <c r="H82" s="577">
        <f t="shared" si="41"/>
        <v>1169.5252193915692</v>
      </c>
      <c r="I82" s="561">
        <f t="shared" si="41"/>
        <v>0</v>
      </c>
      <c r="J82" s="562">
        <f t="shared" si="41"/>
        <v>0</v>
      </c>
      <c r="K82" s="559">
        <f t="shared" si="41"/>
        <v>0</v>
      </c>
      <c r="L82" s="560">
        <f t="shared" si="41"/>
        <v>1115.1615260894837</v>
      </c>
      <c r="M82" s="563">
        <f>SUM(F82:L82)</f>
        <v>319274.8903664255</v>
      </c>
      <c r="N82" s="415">
        <f>M82-C82</f>
        <v>-339308.23669334699</v>
      </c>
      <c r="O82" s="564" t="str">
        <f>IF(M82-C82&gt;0,"Ylitys!",IF(M82-C82=0,"Ok","Alitus"))</f>
        <v>Alitus</v>
      </c>
      <c r="P82" s="565">
        <f>N82/C82</f>
        <v>-0.51520942877504305</v>
      </c>
    </row>
    <row r="83" spans="1:16" ht="15">
      <c r="A83" s="567"/>
      <c r="B83" s="555"/>
      <c r="C83" s="567"/>
      <c r="D83" s="567"/>
      <c r="E83" s="558" t="s">
        <v>1479</v>
      </c>
      <c r="F83" s="568">
        <f>F82/$C$82</f>
        <v>0.47837160358437175</v>
      </c>
      <c r="G83" s="568">
        <f t="shared" ref="G83:L83" si="42">G82/$C$82</f>
        <v>2.9498736847759243E-3</v>
      </c>
      <c r="H83" s="569">
        <f t="shared" si="42"/>
        <v>1.7758201984507021E-3</v>
      </c>
      <c r="I83" s="570">
        <f t="shared" si="42"/>
        <v>0</v>
      </c>
      <c r="J83" s="571">
        <f t="shared" si="42"/>
        <v>0</v>
      </c>
      <c r="K83" s="572">
        <f t="shared" si="42"/>
        <v>0</v>
      </c>
      <c r="L83" s="573">
        <f t="shared" si="42"/>
        <v>1.6932737573586098E-3</v>
      </c>
      <c r="M83" s="574">
        <f>SUM(F83:L83)</f>
        <v>0.484790571224957</v>
      </c>
      <c r="N83" s="575"/>
      <c r="O83" s="564"/>
      <c r="P83" s="578"/>
    </row>
    <row r="84" spans="1:16" ht="15">
      <c r="A84" s="567"/>
      <c r="B84" s="555"/>
      <c r="C84" s="567"/>
      <c r="D84" s="567"/>
      <c r="E84" s="558"/>
      <c r="F84" s="579"/>
      <c r="G84" s="579"/>
      <c r="H84" s="580"/>
      <c r="I84" s="581"/>
      <c r="J84" s="582"/>
      <c r="K84" s="579"/>
      <c r="L84" s="580"/>
      <c r="M84" s="583"/>
      <c r="N84" s="575"/>
      <c r="O84" s="564"/>
      <c r="P84" s="578"/>
    </row>
    <row r="85" spans="1:16" ht="15">
      <c r="A85" s="554" t="s">
        <v>1480</v>
      </c>
      <c r="B85" s="555"/>
      <c r="C85" s="556">
        <f>SUM(C17*C13+C30*C26+C43*C40+C55*C52+C67*C64)</f>
        <v>7510.6500000000005</v>
      </c>
      <c r="D85" s="567"/>
      <c r="E85" s="558" t="s">
        <v>1481</v>
      </c>
      <c r="F85" s="584">
        <f t="shared" ref="F85:L85" si="43">SUM(F19,F32,F45,F57,F69)</f>
        <v>3767.2216204385172</v>
      </c>
      <c r="G85" s="584">
        <f t="shared" si="43"/>
        <v>1615.6475814089915</v>
      </c>
      <c r="H85" s="585">
        <f t="shared" si="43"/>
        <v>914.33869428123353</v>
      </c>
      <c r="I85" s="586">
        <f t="shared" si="43"/>
        <v>0</v>
      </c>
      <c r="J85" s="587">
        <f t="shared" si="43"/>
        <v>0</v>
      </c>
      <c r="K85" s="588">
        <f t="shared" si="43"/>
        <v>0</v>
      </c>
      <c r="L85" s="589">
        <f t="shared" si="43"/>
        <v>686.19529768804421</v>
      </c>
      <c r="M85" s="563">
        <f>SUM(F85:L85)</f>
        <v>6983.4031938167864</v>
      </c>
      <c r="N85" s="243">
        <f>M85-C85</f>
        <v>-527.24680618321418</v>
      </c>
      <c r="O85" s="564" t="str">
        <f>IF(M85-C85&gt;0,"Ylitys!",IF(M85-C85=0,"Ok","Alitus"))</f>
        <v>Alitus</v>
      </c>
      <c r="P85" s="565">
        <f>N85/C85</f>
        <v>-7.0199890313516686E-2</v>
      </c>
    </row>
    <row r="86" spans="1:16" ht="24" customHeight="1">
      <c r="B86" s="434"/>
      <c r="C86" s="434"/>
      <c r="D86" s="590"/>
      <c r="E86" s="558" t="s">
        <v>1482</v>
      </c>
      <c r="F86" s="591">
        <f t="shared" ref="F86:L86" si="44">(F85*F10)/$C$7</f>
        <v>1.1633211385811169E-2</v>
      </c>
      <c r="G86" s="592">
        <f t="shared" si="44"/>
        <v>4.0609222383976851E-2</v>
      </c>
      <c r="H86" s="593">
        <f t="shared" si="44"/>
        <v>2.5170606432714186E-2</v>
      </c>
      <c r="I86" s="594">
        <f t="shared" si="44"/>
        <v>0</v>
      </c>
      <c r="J86" s="595">
        <f t="shared" si="44"/>
        <v>0</v>
      </c>
      <c r="K86" s="592">
        <f t="shared" si="44"/>
        <v>0</v>
      </c>
      <c r="L86" s="593">
        <f t="shared" si="44"/>
        <v>2.33431989346949E-2</v>
      </c>
      <c r="M86" s="596">
        <f>SUM(F86:L86)</f>
        <v>0.1007562391371971</v>
      </c>
      <c r="P86" s="436"/>
    </row>
    <row r="87" spans="1:16">
      <c r="B87" s="434"/>
      <c r="C87" s="434"/>
      <c r="D87" s="590"/>
      <c r="F87" s="435"/>
      <c r="I87" s="480"/>
      <c r="M87" s="435"/>
      <c r="P87" s="436"/>
    </row>
    <row r="88" spans="1:16">
      <c r="B88" s="434"/>
      <c r="C88" s="434"/>
      <c r="D88" s="590"/>
      <c r="E88" s="3" t="s">
        <v>1483</v>
      </c>
      <c r="F88" s="597">
        <v>30000</v>
      </c>
      <c r="G88" s="598">
        <v>4000</v>
      </c>
      <c r="H88" s="599">
        <v>20000</v>
      </c>
      <c r="I88" s="600">
        <v>0</v>
      </c>
      <c r="J88" s="601">
        <v>0</v>
      </c>
      <c r="K88" s="602">
        <v>0</v>
      </c>
      <c r="L88" s="603">
        <v>0</v>
      </c>
      <c r="M88" s="435"/>
      <c r="P88" s="436"/>
    </row>
    <row r="89" spans="1:16">
      <c r="A89" s="435" t="s">
        <v>1484</v>
      </c>
      <c r="B89" s="434"/>
      <c r="C89" s="434"/>
      <c r="D89" s="590"/>
      <c r="F89" s="604"/>
      <c r="I89" s="480"/>
      <c r="M89" s="435"/>
      <c r="P89" s="436"/>
    </row>
    <row r="90" spans="1:16">
      <c r="A90" s="435" t="s">
        <v>1472</v>
      </c>
      <c r="B90" s="434" t="s">
        <v>160</v>
      </c>
      <c r="C90" s="605">
        <f>C79*$C$8</f>
        <v>485750</v>
      </c>
      <c r="D90" s="17"/>
      <c r="F90" s="435"/>
      <c r="I90" s="480"/>
      <c r="M90" s="435"/>
      <c r="P90" s="436"/>
    </row>
    <row r="91" spans="1:16">
      <c r="A91" s="435" t="s">
        <v>1485</v>
      </c>
      <c r="B91" s="434"/>
      <c r="C91" s="605">
        <f>C80*$C$8</f>
        <v>3865528.2086328566</v>
      </c>
      <c r="D91" s="17"/>
      <c r="F91" s="435"/>
      <c r="I91" s="480"/>
      <c r="M91" s="435"/>
      <c r="P91" s="436"/>
    </row>
    <row r="92" spans="1:16" ht="15.75">
      <c r="A92" s="435" t="s">
        <v>1486</v>
      </c>
      <c r="B92" s="434"/>
      <c r="C92" s="605">
        <f>C82*$C$8</f>
        <v>32929156.352988623</v>
      </c>
      <c r="D92" s="17"/>
      <c r="E92" s="1" t="s">
        <v>1487</v>
      </c>
      <c r="F92" s="606">
        <f>F80/(F88*F4*F5*0.016)</f>
        <v>0.45448129549473532</v>
      </c>
      <c r="G92" s="606">
        <f>G80/(G88*G4*G5*0.016)</f>
        <v>0.45279590452127577</v>
      </c>
      <c r="H92" s="607">
        <f>H80/(H88*H4*H5*0.016)</f>
        <v>5.1986596417323908E-2</v>
      </c>
      <c r="I92" s="608"/>
      <c r="J92" s="609"/>
      <c r="K92" s="610"/>
      <c r="L92" s="611"/>
      <c r="M92" s="612">
        <f>SUM(F92:L92)</f>
        <v>0.95926379643333504</v>
      </c>
      <c r="P92" s="436"/>
    </row>
    <row r="93" spans="1:16" ht="15.75">
      <c r="A93" s="435" t="s">
        <v>926</v>
      </c>
      <c r="B93" s="434"/>
      <c r="C93" s="605">
        <f>C85*$C$8</f>
        <v>375532.5</v>
      </c>
      <c r="D93" s="17"/>
      <c r="E93" s="1" t="s">
        <v>1488</v>
      </c>
      <c r="F93" s="613">
        <f>F92*$C$8</f>
        <v>22.724064774736767</v>
      </c>
      <c r="G93" s="613">
        <f>G92*$C$8</f>
        <v>22.639795226063789</v>
      </c>
      <c r="H93" s="614">
        <f>H92*$C$8</f>
        <v>2.5993298208661955</v>
      </c>
      <c r="I93" s="615"/>
      <c r="J93" s="616"/>
      <c r="K93" s="617"/>
      <c r="L93" s="618"/>
      <c r="M93" s="619">
        <f>SUM(G93:L93)</f>
        <v>25.239125046929985</v>
      </c>
      <c r="P93" s="436"/>
    </row>
    <row r="94" spans="1:16">
      <c r="A94" s="435"/>
      <c r="B94" s="434"/>
      <c r="C94" s="605"/>
      <c r="D94" s="17"/>
      <c r="I94" s="480"/>
      <c r="M94" s="435"/>
      <c r="P94" s="436"/>
    </row>
    <row r="95" spans="1:16">
      <c r="A95" s="435"/>
      <c r="B95" s="434"/>
      <c r="C95" s="605"/>
      <c r="D95" s="17"/>
      <c r="I95" s="480"/>
      <c r="M95" s="435"/>
      <c r="P95" s="436"/>
    </row>
    <row r="96" spans="1:16">
      <c r="A96" s="620"/>
      <c r="B96" s="621"/>
      <c r="C96" s="621"/>
      <c r="D96" s="17"/>
      <c r="E96" s="621"/>
      <c r="F96" s="620"/>
      <c r="G96" s="622"/>
      <c r="H96" s="622"/>
      <c r="I96" s="623"/>
      <c r="J96" s="622"/>
      <c r="K96" s="622"/>
      <c r="L96" s="622"/>
      <c r="M96" s="620"/>
      <c r="N96" s="624"/>
      <c r="O96" s="625"/>
      <c r="P96" s="626"/>
    </row>
    <row r="97" spans="14:16">
      <c r="N97"/>
      <c r="O97" s="52"/>
      <c r="P97" s="52"/>
    </row>
  </sheetData>
  <sheetProtection sheet="1" objects="1" scenarios="1" formatCells="0" formatColumns="0" formatRows="0"/>
  <mergeCells count="10">
    <mergeCell ref="F1:H1"/>
    <mergeCell ref="J1:L1"/>
    <mergeCell ref="M1:P1"/>
    <mergeCell ref="F2:F3"/>
    <mergeCell ref="G2:G3"/>
    <mergeCell ref="H2:H3"/>
    <mergeCell ref="I2:I3"/>
    <mergeCell ref="J2:J3"/>
    <mergeCell ref="K2:K3"/>
    <mergeCell ref="L2:L3"/>
  </mergeCells>
  <conditionalFormatting sqref="N16:N17">
    <cfRule type="cellIs" dxfId="39" priority="6" stopIfTrue="1" operator="greaterThan">
      <formula>0</formula>
    </cfRule>
  </conditionalFormatting>
  <conditionalFormatting sqref="N18:N21">
    <cfRule type="cellIs" dxfId="38" priority="1" stopIfTrue="1" operator="lessThan">
      <formula>0</formula>
    </cfRule>
  </conditionalFormatting>
  <conditionalFormatting sqref="N22">
    <cfRule type="cellIs" dxfId="37" priority="9" stopIfTrue="1" operator="greaterThan">
      <formula>0</formula>
    </cfRule>
  </conditionalFormatting>
  <conditionalFormatting sqref="N29:N30">
    <cfRule type="cellIs" dxfId="36" priority="10" stopIfTrue="1" operator="greaterThan">
      <formula>0</formula>
    </cfRule>
  </conditionalFormatting>
  <conditionalFormatting sqref="N31:N34">
    <cfRule type="cellIs" dxfId="35" priority="2" stopIfTrue="1" operator="lessThan">
      <formula>0</formula>
    </cfRule>
  </conditionalFormatting>
  <conditionalFormatting sqref="N35">
    <cfRule type="cellIs" dxfId="34" priority="12" stopIfTrue="1" operator="greaterThan">
      <formula>0</formula>
    </cfRule>
  </conditionalFormatting>
  <conditionalFormatting sqref="N42:N43">
    <cfRule type="cellIs" dxfId="33" priority="13" stopIfTrue="1" operator="greaterThan">
      <formula>0</formula>
    </cfRule>
  </conditionalFormatting>
  <conditionalFormatting sqref="N44:N46">
    <cfRule type="cellIs" dxfId="32" priority="3" stopIfTrue="1" operator="lessThan">
      <formula>0</formula>
    </cfRule>
  </conditionalFormatting>
  <conditionalFormatting sqref="N47">
    <cfRule type="cellIs" dxfId="31" priority="15" stopIfTrue="1" operator="greaterThan">
      <formula>0</formula>
    </cfRule>
  </conditionalFormatting>
  <conditionalFormatting sqref="N54:N55">
    <cfRule type="cellIs" dxfId="30" priority="16" stopIfTrue="1" operator="greaterThan">
      <formula>0</formula>
    </cfRule>
  </conditionalFormatting>
  <conditionalFormatting sqref="N56:N58">
    <cfRule type="cellIs" dxfId="29" priority="4" stopIfTrue="1" operator="lessThan">
      <formula>0</formula>
    </cfRule>
  </conditionalFormatting>
  <conditionalFormatting sqref="N59">
    <cfRule type="cellIs" dxfId="28" priority="18" stopIfTrue="1" operator="greaterThan">
      <formula>0</formula>
    </cfRule>
  </conditionalFormatting>
  <conditionalFormatting sqref="N60 C61:D61">
    <cfRule type="cellIs" dxfId="27" priority="7" stopIfTrue="1" operator="greaterThan">
      <formula>0</formula>
    </cfRule>
  </conditionalFormatting>
  <conditionalFormatting sqref="N66:N67">
    <cfRule type="cellIs" dxfId="26" priority="19" stopIfTrue="1" operator="greaterThan">
      <formula>0</formula>
    </cfRule>
  </conditionalFormatting>
  <conditionalFormatting sqref="N68:N70">
    <cfRule type="cellIs" dxfId="25" priority="5" stopIfTrue="1" operator="lessThan">
      <formula>0</formula>
    </cfRule>
  </conditionalFormatting>
  <conditionalFormatting sqref="N71">
    <cfRule type="cellIs" dxfId="24" priority="21" stopIfTrue="1" operator="greaterThan">
      <formula>0</formula>
    </cfRule>
  </conditionalFormatting>
  <conditionalFormatting sqref="N80">
    <cfRule type="cellIs" dxfId="23" priority="22" stopIfTrue="1" operator="greaterThan">
      <formula>0</formula>
    </cfRule>
  </conditionalFormatting>
  <conditionalFormatting sqref="N81">
    <cfRule type="cellIs" dxfId="22" priority="8" stopIfTrue="1" operator="greaterThan">
      <formula>0</formula>
    </cfRule>
  </conditionalFormatting>
  <conditionalFormatting sqref="N82">
    <cfRule type="cellIs" dxfId="21" priority="23" stopIfTrue="1" operator="greaterThan">
      <formula>0</formula>
    </cfRule>
  </conditionalFormatting>
  <conditionalFormatting sqref="N85">
    <cfRule type="cellIs" dxfId="20" priority="24" stopIfTrue="1" operator="greaterThan">
      <formula>0</formula>
    </cfRule>
  </conditionalFormatting>
  <pageMargins left="0.7" right="0.7" top="0.75" bottom="0.75" header="0.51180555555555551" footer="0.51180555555555551"/>
  <pageSetup paperSize="9" firstPageNumber="0" orientation="landscape" horizontalDpi="300" verticalDpi="300"/>
  <headerFooter alignWithMargins="0"/>
  <colBreaks count="1" manualBreakCount="1">
    <brk id="16" max="1048575" man="1"/>
  </colBreaks>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ul19"/>
  <dimension ref="A1:S68"/>
  <sheetViews>
    <sheetView workbookViewId="0">
      <selection sqref="A1:C1"/>
    </sheetView>
  </sheetViews>
  <sheetFormatPr defaultRowHeight="12.75"/>
  <cols>
    <col min="2" max="2" width="37" customWidth="1"/>
    <col min="3" max="3" width="17" customWidth="1"/>
    <col min="4" max="4" width="12.7109375" customWidth="1"/>
    <col min="5" max="5" width="8.42578125" customWidth="1"/>
    <col min="6" max="6" width="7.85546875" customWidth="1"/>
    <col min="7" max="7" width="7.28515625" customWidth="1"/>
    <col min="8" max="8" width="10.7109375" customWidth="1"/>
    <col min="9" max="9" width="9.28515625" customWidth="1"/>
    <col min="10" max="12" width="10.7109375" customWidth="1"/>
    <col min="13" max="13" width="8.7109375" customWidth="1"/>
    <col min="14" max="14" width="10.7109375" customWidth="1"/>
    <col min="15" max="15" width="9.85546875" customWidth="1"/>
    <col min="16" max="17" width="10.7109375" customWidth="1"/>
    <col min="18" max="18" width="12.42578125" customWidth="1"/>
    <col min="19" max="19" width="10" customWidth="1"/>
  </cols>
  <sheetData>
    <row r="1" spans="1:19">
      <c r="A1" s="2696" t="s">
        <v>1489</v>
      </c>
      <c r="B1" s="2696"/>
      <c r="C1" s="2696"/>
    </row>
    <row r="2" spans="1:19">
      <c r="A2" s="3" t="s">
        <v>1490</v>
      </c>
      <c r="B2" s="2886" t="s">
        <v>1491</v>
      </c>
      <c r="C2" s="2886"/>
      <c r="D2" s="521"/>
      <c r="H2" t="s">
        <v>1463</v>
      </c>
      <c r="J2" t="s">
        <v>1463</v>
      </c>
      <c r="L2" t="s">
        <v>1463</v>
      </c>
      <c r="N2" t="s">
        <v>1463</v>
      </c>
      <c r="O2" s="1998" t="s">
        <v>1434</v>
      </c>
      <c r="P2" s="1998" t="s">
        <v>1492</v>
      </c>
    </row>
    <row r="3" spans="1:19">
      <c r="A3" s="2887" t="s">
        <v>1493</v>
      </c>
      <c r="B3" s="2887"/>
      <c r="C3" s="4" t="s">
        <v>147</v>
      </c>
      <c r="D3" s="4" t="s">
        <v>146</v>
      </c>
      <c r="E3" s="4" t="s">
        <v>159</v>
      </c>
      <c r="F3" s="4" t="s">
        <v>1494</v>
      </c>
      <c r="G3" s="4" t="s">
        <v>1495</v>
      </c>
      <c r="H3" s="4" t="s">
        <v>1496</v>
      </c>
      <c r="I3" s="4" t="s">
        <v>1431</v>
      </c>
      <c r="J3" s="4" t="s">
        <v>1497</v>
      </c>
      <c r="K3" s="1998" t="s">
        <v>1434</v>
      </c>
      <c r="L3" s="1998" t="s">
        <v>1498</v>
      </c>
      <c r="M3" s="1998" t="s">
        <v>1492</v>
      </c>
      <c r="N3" s="403" t="s">
        <v>1499</v>
      </c>
      <c r="O3" s="1998" t="s">
        <v>841</v>
      </c>
      <c r="P3" s="1998" t="s">
        <v>841</v>
      </c>
      <c r="Q3" s="4" t="s">
        <v>1500</v>
      </c>
      <c r="R3" s="4" t="s">
        <v>3</v>
      </c>
      <c r="S3" s="4" t="s">
        <v>159</v>
      </c>
    </row>
    <row r="4" spans="1:19">
      <c r="A4" s="2888"/>
      <c r="B4" s="2888"/>
      <c r="C4" s="404"/>
      <c r="D4" s="404" t="s">
        <v>137</v>
      </c>
      <c r="E4" s="398">
        <f t="shared" ref="E4:E15" si="0">C4/$C$18</f>
        <v>0</v>
      </c>
      <c r="F4" s="405"/>
      <c r="G4" s="406">
        <f>C4*F4</f>
        <v>0</v>
      </c>
      <c r="H4" s="407">
        <f>G4*E4</f>
        <v>0</v>
      </c>
      <c r="I4" s="41"/>
      <c r="J4" s="226">
        <f t="shared" ref="J4:J15" si="1">E4*I4</f>
        <v>0</v>
      </c>
      <c r="K4" s="404"/>
      <c r="L4" s="408">
        <f t="shared" ref="L4:L15" si="2">E4*K4</f>
        <v>0</v>
      </c>
      <c r="M4" s="404"/>
      <c r="N4" s="409">
        <f t="shared" ref="N4:N15" si="3">E4*M4</f>
        <v>0</v>
      </c>
      <c r="O4" s="410">
        <f t="shared" ref="O4:O15" si="4">(K4/1000)*I4*G4</f>
        <v>0</v>
      </c>
      <c r="P4" s="410">
        <f t="shared" ref="P4:P15" si="5">M4*G4</f>
        <v>0</v>
      </c>
      <c r="Q4" s="411">
        <v>0</v>
      </c>
      <c r="R4" s="339">
        <f>G4*Q4</f>
        <v>0</v>
      </c>
      <c r="S4" s="398">
        <f>R4/$R$18</f>
        <v>0</v>
      </c>
    </row>
    <row r="5" spans="1:19">
      <c r="A5" s="2888"/>
      <c r="B5" s="2888"/>
      <c r="C5" s="404"/>
      <c r="D5" s="404" t="s">
        <v>137</v>
      </c>
      <c r="E5" s="398">
        <f t="shared" si="0"/>
        <v>0</v>
      </c>
      <c r="F5" s="405"/>
      <c r="G5" s="406">
        <f>C5*F5</f>
        <v>0</v>
      </c>
      <c r="H5" s="407">
        <f t="shared" ref="H5:H15" si="6">G5*E5</f>
        <v>0</v>
      </c>
      <c r="I5" s="41"/>
      <c r="J5" s="226">
        <f t="shared" si="1"/>
        <v>0</v>
      </c>
      <c r="K5" s="404"/>
      <c r="L5" s="408">
        <f t="shared" si="2"/>
        <v>0</v>
      </c>
      <c r="M5" s="404"/>
      <c r="N5" s="409">
        <f t="shared" si="3"/>
        <v>0</v>
      </c>
      <c r="O5" s="410">
        <f t="shared" si="4"/>
        <v>0</v>
      </c>
      <c r="P5" s="410">
        <f t="shared" si="5"/>
        <v>0</v>
      </c>
      <c r="Q5" s="411">
        <v>0</v>
      </c>
      <c r="R5" s="339">
        <f>G5*Q5</f>
        <v>0</v>
      </c>
      <c r="S5" s="398">
        <f t="shared" ref="S5:S17" si="7">R5/$R$18</f>
        <v>0</v>
      </c>
    </row>
    <row r="6" spans="1:19">
      <c r="A6" s="2885"/>
      <c r="B6" s="2885"/>
      <c r="C6" s="404"/>
      <c r="D6" s="404" t="s">
        <v>137</v>
      </c>
      <c r="E6" s="398">
        <f t="shared" si="0"/>
        <v>0</v>
      </c>
      <c r="F6" s="405"/>
      <c r="G6" s="406">
        <f>C6*F6</f>
        <v>0</v>
      </c>
      <c r="H6" s="407">
        <f t="shared" si="6"/>
        <v>0</v>
      </c>
      <c r="I6" s="41"/>
      <c r="J6" s="226">
        <f t="shared" si="1"/>
        <v>0</v>
      </c>
      <c r="K6" s="404"/>
      <c r="L6" s="408">
        <f t="shared" si="2"/>
        <v>0</v>
      </c>
      <c r="M6" s="404"/>
      <c r="N6" s="409">
        <f t="shared" si="3"/>
        <v>0</v>
      </c>
      <c r="O6" s="410">
        <f t="shared" si="4"/>
        <v>0</v>
      </c>
      <c r="P6" s="410">
        <f t="shared" si="5"/>
        <v>0</v>
      </c>
      <c r="Q6" s="411">
        <v>0</v>
      </c>
      <c r="R6" s="339">
        <f>G6*Q6</f>
        <v>0</v>
      </c>
      <c r="S6" s="398">
        <f t="shared" si="7"/>
        <v>0</v>
      </c>
    </row>
    <row r="7" spans="1:19">
      <c r="A7" s="2885"/>
      <c r="B7" s="2885"/>
      <c r="C7" s="404"/>
      <c r="D7" s="404" t="s">
        <v>137</v>
      </c>
      <c r="E7" s="398">
        <f t="shared" si="0"/>
        <v>0</v>
      </c>
      <c r="F7" s="405"/>
      <c r="G7" s="406">
        <f t="shared" ref="G7:G15" si="8">C7*F7</f>
        <v>0</v>
      </c>
      <c r="H7" s="407">
        <f t="shared" si="6"/>
        <v>0</v>
      </c>
      <c r="I7" s="41"/>
      <c r="J7" s="226">
        <f t="shared" si="1"/>
        <v>0</v>
      </c>
      <c r="K7" s="404"/>
      <c r="L7" s="408">
        <f t="shared" si="2"/>
        <v>0</v>
      </c>
      <c r="M7" s="404"/>
      <c r="N7" s="409">
        <f t="shared" si="3"/>
        <v>0</v>
      </c>
      <c r="O7" s="410">
        <f t="shared" si="4"/>
        <v>0</v>
      </c>
      <c r="P7" s="410">
        <f t="shared" si="5"/>
        <v>0</v>
      </c>
      <c r="Q7" s="411">
        <v>0</v>
      </c>
      <c r="R7" s="339">
        <f t="shared" ref="R7:R17" si="9">C7*Q7</f>
        <v>0</v>
      </c>
      <c r="S7" s="398">
        <f t="shared" si="7"/>
        <v>0</v>
      </c>
    </row>
    <row r="8" spans="1:19">
      <c r="A8" s="2885"/>
      <c r="B8" s="2885"/>
      <c r="C8" s="404"/>
      <c r="D8" s="404" t="s">
        <v>137</v>
      </c>
      <c r="E8" s="398">
        <f t="shared" si="0"/>
        <v>0</v>
      </c>
      <c r="F8" s="405"/>
      <c r="G8" s="406">
        <f t="shared" si="8"/>
        <v>0</v>
      </c>
      <c r="H8" s="407">
        <f t="shared" si="6"/>
        <v>0</v>
      </c>
      <c r="I8" s="41"/>
      <c r="J8" s="226">
        <f t="shared" si="1"/>
        <v>0</v>
      </c>
      <c r="K8" s="404"/>
      <c r="L8" s="408">
        <f t="shared" si="2"/>
        <v>0</v>
      </c>
      <c r="M8" s="404"/>
      <c r="N8" s="409">
        <f t="shared" si="3"/>
        <v>0</v>
      </c>
      <c r="O8" s="410">
        <f t="shared" si="4"/>
        <v>0</v>
      </c>
      <c r="P8" s="410">
        <f t="shared" si="5"/>
        <v>0</v>
      </c>
      <c r="Q8" s="411">
        <v>0</v>
      </c>
      <c r="R8" s="339">
        <f t="shared" si="9"/>
        <v>0</v>
      </c>
      <c r="S8" s="398">
        <f t="shared" si="7"/>
        <v>0</v>
      </c>
    </row>
    <row r="9" spans="1:19">
      <c r="A9" s="2885" t="s">
        <v>1419</v>
      </c>
      <c r="B9" s="2885"/>
      <c r="C9" s="404">
        <v>2700</v>
      </c>
      <c r="D9" s="404" t="s">
        <v>137</v>
      </c>
      <c r="E9" s="398">
        <f t="shared" si="0"/>
        <v>0.79740106320141757</v>
      </c>
      <c r="F9" s="405">
        <v>0.3</v>
      </c>
      <c r="G9" s="406">
        <f t="shared" si="8"/>
        <v>810</v>
      </c>
      <c r="H9" s="407">
        <f t="shared" si="6"/>
        <v>645.89486119314824</v>
      </c>
      <c r="I9" s="41">
        <v>690</v>
      </c>
      <c r="J9" s="226">
        <f t="shared" si="1"/>
        <v>550.20673360897808</v>
      </c>
      <c r="K9" s="404">
        <v>16</v>
      </c>
      <c r="L9" s="408">
        <f t="shared" si="2"/>
        <v>12.758417011222681</v>
      </c>
      <c r="M9" s="404">
        <v>84</v>
      </c>
      <c r="N9" s="409">
        <f t="shared" si="3"/>
        <v>66.981689308919073</v>
      </c>
      <c r="O9" s="410">
        <f t="shared" si="4"/>
        <v>8942.4000000000015</v>
      </c>
      <c r="P9" s="410">
        <f t="shared" si="5"/>
        <v>68040</v>
      </c>
      <c r="Q9" s="412">
        <v>0.02</v>
      </c>
      <c r="R9" s="339">
        <f t="shared" si="9"/>
        <v>54</v>
      </c>
      <c r="S9" s="398">
        <f t="shared" si="7"/>
        <v>0.14843320505772403</v>
      </c>
    </row>
    <row r="10" spans="1:19">
      <c r="A10" s="2885" t="s">
        <v>1501</v>
      </c>
      <c r="B10" s="2885"/>
      <c r="C10" s="404">
        <v>400</v>
      </c>
      <c r="D10" s="404" t="s">
        <v>137</v>
      </c>
      <c r="E10" s="398">
        <f t="shared" si="0"/>
        <v>0.11813349084465447</v>
      </c>
      <c r="F10" s="405">
        <v>0</v>
      </c>
      <c r="G10" s="406">
        <f t="shared" si="8"/>
        <v>0</v>
      </c>
      <c r="H10" s="407">
        <f t="shared" si="6"/>
        <v>0</v>
      </c>
      <c r="I10" s="41">
        <v>800</v>
      </c>
      <c r="J10" s="226">
        <f t="shared" si="1"/>
        <v>94.506792675723574</v>
      </c>
      <c r="K10" s="404">
        <v>13.1</v>
      </c>
      <c r="L10" s="408">
        <f t="shared" si="2"/>
        <v>1.5475487300649735</v>
      </c>
      <c r="M10" s="404">
        <v>95</v>
      </c>
      <c r="N10" s="409">
        <f t="shared" si="3"/>
        <v>11.222681630242175</v>
      </c>
      <c r="O10" s="410">
        <f t="shared" si="4"/>
        <v>0</v>
      </c>
      <c r="P10" s="410">
        <f t="shared" si="5"/>
        <v>0</v>
      </c>
      <c r="Q10" s="411">
        <v>0.4</v>
      </c>
      <c r="R10" s="339">
        <f t="shared" si="9"/>
        <v>160</v>
      </c>
      <c r="S10" s="398">
        <f t="shared" si="7"/>
        <v>0.43980208905992302</v>
      </c>
    </row>
    <row r="11" spans="1:19">
      <c r="A11" s="2885" t="s">
        <v>1502</v>
      </c>
      <c r="B11" s="2885"/>
      <c r="C11" s="404">
        <v>260</v>
      </c>
      <c r="D11" s="404" t="s">
        <v>137</v>
      </c>
      <c r="E11" s="398">
        <f t="shared" si="0"/>
        <v>7.67867690490254E-2</v>
      </c>
      <c r="F11" s="405">
        <v>0</v>
      </c>
      <c r="G11" s="406">
        <f t="shared" si="8"/>
        <v>0</v>
      </c>
      <c r="H11" s="407">
        <f t="shared" si="6"/>
        <v>0</v>
      </c>
      <c r="I11" s="41"/>
      <c r="J11" s="226">
        <f t="shared" si="1"/>
        <v>0</v>
      </c>
      <c r="K11" s="404">
        <v>11.7</v>
      </c>
      <c r="L11" s="408">
        <f t="shared" si="2"/>
        <v>0.89840519787359707</v>
      </c>
      <c r="M11" s="404">
        <v>152</v>
      </c>
      <c r="N11" s="409">
        <f t="shared" si="3"/>
        <v>11.67158889545186</v>
      </c>
      <c r="O11" s="410">
        <f t="shared" si="4"/>
        <v>0</v>
      </c>
      <c r="P11" s="410">
        <f t="shared" si="5"/>
        <v>0</v>
      </c>
      <c r="Q11" s="411">
        <v>0.4</v>
      </c>
      <c r="R11" s="339">
        <f t="shared" si="9"/>
        <v>104</v>
      </c>
      <c r="S11" s="398">
        <f t="shared" si="7"/>
        <v>0.28587135788894996</v>
      </c>
    </row>
    <row r="12" spans="1:19">
      <c r="A12" s="2885" t="s">
        <v>1503</v>
      </c>
      <c r="B12" s="2885"/>
      <c r="C12" s="404">
        <v>6</v>
      </c>
      <c r="D12" s="404" t="s">
        <v>137</v>
      </c>
      <c r="E12" s="398">
        <f t="shared" si="0"/>
        <v>1.7720023626698169E-3</v>
      </c>
      <c r="F12" s="405">
        <v>0</v>
      </c>
      <c r="G12" s="406">
        <f t="shared" si="8"/>
        <v>0</v>
      </c>
      <c r="H12" s="407">
        <f t="shared" si="6"/>
        <v>0</v>
      </c>
      <c r="I12" s="41"/>
      <c r="J12" s="226">
        <f t="shared" si="1"/>
        <v>0</v>
      </c>
      <c r="K12" s="404"/>
      <c r="L12" s="408">
        <f t="shared" si="2"/>
        <v>0</v>
      </c>
      <c r="M12" s="404"/>
      <c r="N12" s="409">
        <f t="shared" si="3"/>
        <v>0</v>
      </c>
      <c r="O12" s="410">
        <f t="shared" si="4"/>
        <v>0</v>
      </c>
      <c r="P12" s="410">
        <f t="shared" si="5"/>
        <v>0</v>
      </c>
      <c r="Q12" s="411">
        <v>0.8</v>
      </c>
      <c r="R12" s="339">
        <f t="shared" si="9"/>
        <v>4.8000000000000007</v>
      </c>
      <c r="S12" s="398">
        <f t="shared" si="7"/>
        <v>1.3194062671797693E-2</v>
      </c>
    </row>
    <row r="13" spans="1:19">
      <c r="A13" s="2885" t="s">
        <v>1504</v>
      </c>
      <c r="B13" s="2885"/>
      <c r="C13" s="404">
        <v>20</v>
      </c>
      <c r="D13" s="404" t="s">
        <v>137</v>
      </c>
      <c r="E13" s="398">
        <f t="shared" si="0"/>
        <v>5.9066745422327229E-3</v>
      </c>
      <c r="F13" s="405">
        <v>0</v>
      </c>
      <c r="G13" s="406">
        <f t="shared" si="8"/>
        <v>0</v>
      </c>
      <c r="H13" s="407">
        <f t="shared" si="6"/>
        <v>0</v>
      </c>
      <c r="I13" s="41"/>
      <c r="J13" s="226">
        <f t="shared" si="1"/>
        <v>0</v>
      </c>
      <c r="K13" s="404"/>
      <c r="L13" s="408">
        <f t="shared" si="2"/>
        <v>0</v>
      </c>
      <c r="M13" s="404"/>
      <c r="N13" s="409">
        <f t="shared" si="3"/>
        <v>0</v>
      </c>
      <c r="O13" s="410">
        <f t="shared" si="4"/>
        <v>0</v>
      </c>
      <c r="P13" s="410">
        <f t="shared" si="5"/>
        <v>0</v>
      </c>
      <c r="Q13" s="411">
        <v>0.8</v>
      </c>
      <c r="R13" s="339">
        <f t="shared" si="9"/>
        <v>16</v>
      </c>
      <c r="S13" s="398">
        <f t="shared" si="7"/>
        <v>4.3980208905992302E-2</v>
      </c>
    </row>
    <row r="14" spans="1:19">
      <c r="A14" s="2885"/>
      <c r="B14" s="2885"/>
      <c r="C14" s="404">
        <v>0</v>
      </c>
      <c r="D14" s="404" t="s">
        <v>137</v>
      </c>
      <c r="E14" s="398">
        <f t="shared" si="0"/>
        <v>0</v>
      </c>
      <c r="F14" s="405">
        <v>0</v>
      </c>
      <c r="G14" s="406">
        <f t="shared" si="8"/>
        <v>0</v>
      </c>
      <c r="H14" s="407">
        <f t="shared" si="6"/>
        <v>0</v>
      </c>
      <c r="I14" s="41"/>
      <c r="J14" s="226">
        <f t="shared" si="1"/>
        <v>0</v>
      </c>
      <c r="K14" s="404"/>
      <c r="L14" s="408">
        <f t="shared" si="2"/>
        <v>0</v>
      </c>
      <c r="M14" s="404"/>
      <c r="N14" s="409">
        <f t="shared" si="3"/>
        <v>0</v>
      </c>
      <c r="O14" s="410">
        <f t="shared" si="4"/>
        <v>0</v>
      </c>
      <c r="P14" s="410">
        <f t="shared" si="5"/>
        <v>0</v>
      </c>
      <c r="Q14" s="411">
        <v>0</v>
      </c>
      <c r="R14" s="339">
        <f t="shared" si="9"/>
        <v>0</v>
      </c>
      <c r="S14" s="398">
        <f t="shared" si="7"/>
        <v>0</v>
      </c>
    </row>
    <row r="15" spans="1:19">
      <c r="A15" s="2885"/>
      <c r="B15" s="2885"/>
      <c r="C15" s="404">
        <v>0</v>
      </c>
      <c r="D15" s="404" t="s">
        <v>137</v>
      </c>
      <c r="E15" s="398">
        <f t="shared" si="0"/>
        <v>0</v>
      </c>
      <c r="F15" s="405">
        <v>0</v>
      </c>
      <c r="G15" s="406">
        <f t="shared" si="8"/>
        <v>0</v>
      </c>
      <c r="H15" s="407">
        <f t="shared" si="6"/>
        <v>0</v>
      </c>
      <c r="I15" s="41"/>
      <c r="J15" s="226">
        <f t="shared" si="1"/>
        <v>0</v>
      </c>
      <c r="K15" s="404"/>
      <c r="L15" s="408">
        <f t="shared" si="2"/>
        <v>0</v>
      </c>
      <c r="M15" s="404"/>
      <c r="N15" s="409">
        <f t="shared" si="3"/>
        <v>0</v>
      </c>
      <c r="O15" s="410">
        <f t="shared" si="4"/>
        <v>0</v>
      </c>
      <c r="P15" s="410">
        <f t="shared" si="5"/>
        <v>0</v>
      </c>
      <c r="Q15" s="411">
        <v>0</v>
      </c>
      <c r="R15" s="339">
        <f t="shared" si="9"/>
        <v>0</v>
      </c>
      <c r="S15" s="398">
        <f t="shared" si="7"/>
        <v>0</v>
      </c>
    </row>
    <row r="16" spans="1:19">
      <c r="A16" s="2885" t="s">
        <v>1505</v>
      </c>
      <c r="B16" s="2885"/>
      <c r="C16" s="404">
        <v>1</v>
      </c>
      <c r="D16" s="404" t="s">
        <v>150</v>
      </c>
      <c r="E16" s="413"/>
      <c r="F16" s="413"/>
      <c r="G16" s="413"/>
      <c r="H16" s="413"/>
      <c r="I16" s="413"/>
      <c r="J16" s="413"/>
      <c r="K16" s="413"/>
      <c r="L16" s="413"/>
      <c r="M16" s="413"/>
      <c r="N16" s="413"/>
      <c r="O16" s="413"/>
      <c r="P16" s="413"/>
      <c r="Q16" s="411">
        <v>10</v>
      </c>
      <c r="R16" s="339">
        <f t="shared" si="9"/>
        <v>10</v>
      </c>
      <c r="S16" s="398">
        <f t="shared" si="7"/>
        <v>2.7487630566245189E-2</v>
      </c>
    </row>
    <row r="17" spans="1:19">
      <c r="A17" s="2885" t="s">
        <v>1506</v>
      </c>
      <c r="B17" s="2885"/>
      <c r="C17" s="404">
        <v>1</v>
      </c>
      <c r="D17" s="404" t="s">
        <v>15</v>
      </c>
      <c r="E17" s="413"/>
      <c r="F17" s="413"/>
      <c r="G17" s="413"/>
      <c r="H17" s="413"/>
      <c r="I17" s="413"/>
      <c r="J17" s="413"/>
      <c r="K17" s="413"/>
      <c r="L17" s="413"/>
      <c r="M17" s="413"/>
      <c r="N17" s="413"/>
      <c r="O17" s="413"/>
      <c r="P17" s="413"/>
      <c r="Q17" s="411">
        <v>15</v>
      </c>
      <c r="R17" s="339">
        <f t="shared" si="9"/>
        <v>15</v>
      </c>
      <c r="S17" s="398">
        <f t="shared" si="7"/>
        <v>4.1231445849367783E-2</v>
      </c>
    </row>
    <row r="18" spans="1:19">
      <c r="B18" s="3" t="s">
        <v>1507</v>
      </c>
      <c r="C18" s="242">
        <f>SUM(C4:C15)</f>
        <v>3386</v>
      </c>
      <c r="D18" s="521"/>
      <c r="E18" s="414">
        <f>SUM(E4:E15)</f>
        <v>0.99999999999999989</v>
      </c>
      <c r="F18" s="414"/>
      <c r="G18" s="415">
        <f>SUM(G4:G17)</f>
        <v>810</v>
      </c>
      <c r="H18" s="243">
        <f>SUM(H4:H15)</f>
        <v>645.89486119314824</v>
      </c>
      <c r="I18" s="242"/>
      <c r="J18" s="243">
        <f>SUM(J4:J15)</f>
        <v>644.71352628470163</v>
      </c>
      <c r="K18" s="414"/>
      <c r="L18" s="416">
        <f>SUM(L4:L17)</f>
        <v>15.204370939161251</v>
      </c>
      <c r="M18" s="414"/>
      <c r="N18" s="416">
        <f>SUM(N4:N17)</f>
        <v>89.875959834613113</v>
      </c>
      <c r="O18" s="415">
        <f>SUM(O4:O17)</f>
        <v>8942.4000000000015</v>
      </c>
      <c r="P18" s="415">
        <f>SUM(P4:P17)</f>
        <v>68040</v>
      </c>
      <c r="Q18" s="9"/>
      <c r="R18" s="9">
        <f>SUM(R4:R17)</f>
        <v>363.8</v>
      </c>
      <c r="S18" s="414">
        <f>SUM(S4:S17)</f>
        <v>0.99999999999999989</v>
      </c>
    </row>
    <row r="19" spans="1:19">
      <c r="B19" t="s">
        <v>1508</v>
      </c>
      <c r="E19" s="3"/>
      <c r="F19" s="26">
        <f>G19/C18</f>
        <v>1.2345679012345679E-3</v>
      </c>
      <c r="G19" s="417">
        <f>C18/G18</f>
        <v>4.1802469135802465</v>
      </c>
      <c r="H19" s="418">
        <f>H18/C18</f>
        <v>0.19075453667842535</v>
      </c>
      <c r="I19" s="3"/>
      <c r="J19" s="243">
        <f>J18</f>
        <v>644.71352628470163</v>
      </c>
      <c r="L19" s="419">
        <f>L18/G18</f>
        <v>1.8770828319952162E-2</v>
      </c>
      <c r="M19" s="3"/>
      <c r="N19" s="419">
        <f>N18/G18</f>
        <v>0.11095797510446063</v>
      </c>
      <c r="O19" s="417">
        <f>O18/C18</f>
        <v>2.6409923213230955</v>
      </c>
      <c r="P19" s="417">
        <f>P18/C18</f>
        <v>20.094506792675723</v>
      </c>
    </row>
    <row r="20" spans="1:19" ht="15.75">
      <c r="B20" s="3" t="s">
        <v>1509</v>
      </c>
      <c r="R20" s="420">
        <f>R18/C18</f>
        <v>0.10744240992321323</v>
      </c>
    </row>
    <row r="21" spans="1:19">
      <c r="I21" t="s">
        <v>1510</v>
      </c>
      <c r="K21" s="421">
        <v>265</v>
      </c>
      <c r="L21" t="s">
        <v>1511</v>
      </c>
      <c r="M21">
        <f>K21+K49</f>
        <v>365</v>
      </c>
      <c r="N21" t="s">
        <v>1512</v>
      </c>
      <c r="Q21" s="15"/>
      <c r="S21" s="422"/>
    </row>
    <row r="22" spans="1:19">
      <c r="B22" s="11" t="s">
        <v>1513</v>
      </c>
      <c r="D22" s="41">
        <v>365</v>
      </c>
      <c r="E22" t="s">
        <v>150</v>
      </c>
      <c r="G22" s="25" t="s">
        <v>1431</v>
      </c>
      <c r="H22" s="243">
        <f>J19</f>
        <v>644.71352628470163</v>
      </c>
    </row>
    <row r="23" spans="1:19">
      <c r="B23" s="11" t="s">
        <v>1514</v>
      </c>
      <c r="D23" s="423">
        <f>C18*D22</f>
        <v>1235890</v>
      </c>
      <c r="E23" t="s">
        <v>137</v>
      </c>
      <c r="G23" s="25" t="s">
        <v>46</v>
      </c>
      <c r="H23" s="414">
        <f>H19</f>
        <v>0.19075453667842535</v>
      </c>
    </row>
    <row r="24" spans="1:19">
      <c r="A24" s="424">
        <v>50</v>
      </c>
      <c r="B24" s="11" t="s">
        <v>1515</v>
      </c>
      <c r="D24" s="425">
        <f>D23/A24</f>
        <v>24717.8</v>
      </c>
      <c r="G24" s="25" t="s">
        <v>1434</v>
      </c>
      <c r="H24" s="426">
        <f>O19</f>
        <v>2.6409923213230955</v>
      </c>
    </row>
    <row r="25" spans="1:19">
      <c r="G25" s="25" t="s">
        <v>1436</v>
      </c>
      <c r="H25" s="426">
        <f>P19</f>
        <v>20.094506792675723</v>
      </c>
    </row>
    <row r="28" spans="1:19">
      <c r="A28" s="2696" t="s">
        <v>1489</v>
      </c>
      <c r="B28" s="2696"/>
      <c r="C28" s="2696"/>
    </row>
    <row r="29" spans="1:19">
      <c r="A29" s="3" t="s">
        <v>1516</v>
      </c>
      <c r="B29" s="2886" t="s">
        <v>1517</v>
      </c>
      <c r="C29" s="2886"/>
      <c r="D29" s="521"/>
      <c r="H29" t="s">
        <v>1463</v>
      </c>
      <c r="J29" t="s">
        <v>1463</v>
      </c>
      <c r="L29" t="s">
        <v>1463</v>
      </c>
      <c r="N29" t="s">
        <v>1463</v>
      </c>
      <c r="O29" s="1998" t="s">
        <v>1434</v>
      </c>
      <c r="P29" s="1998" t="s">
        <v>1492</v>
      </c>
    </row>
    <row r="30" spans="1:19">
      <c r="A30" s="2887" t="s">
        <v>1493</v>
      </c>
      <c r="B30" s="2887"/>
      <c r="C30" s="4" t="s">
        <v>147</v>
      </c>
      <c r="D30" s="4" t="s">
        <v>146</v>
      </c>
      <c r="E30" s="4" t="s">
        <v>159</v>
      </c>
      <c r="F30" s="4" t="s">
        <v>1494</v>
      </c>
      <c r="G30" s="4" t="s">
        <v>1495</v>
      </c>
      <c r="H30" s="4" t="s">
        <v>1496</v>
      </c>
      <c r="I30" s="4" t="s">
        <v>1431</v>
      </c>
      <c r="J30" s="4" t="s">
        <v>1497</v>
      </c>
      <c r="K30" s="1998" t="s">
        <v>1434</v>
      </c>
      <c r="L30" s="1998" t="s">
        <v>1498</v>
      </c>
      <c r="M30" s="1998" t="s">
        <v>1492</v>
      </c>
      <c r="N30" s="403" t="s">
        <v>1499</v>
      </c>
      <c r="O30" s="1998" t="s">
        <v>841</v>
      </c>
      <c r="P30" s="1998" t="s">
        <v>841</v>
      </c>
      <c r="Q30" s="4" t="s">
        <v>1500</v>
      </c>
      <c r="R30" s="4" t="s">
        <v>3</v>
      </c>
      <c r="S30" s="4" t="s">
        <v>159</v>
      </c>
    </row>
    <row r="31" spans="1:19">
      <c r="A31" s="2888"/>
      <c r="B31" s="2888"/>
      <c r="C31" s="404"/>
      <c r="D31" s="404" t="s">
        <v>137</v>
      </c>
      <c r="E31" s="398">
        <f>C31/$C$45</f>
        <v>0</v>
      </c>
      <c r="F31" s="405"/>
      <c r="G31" s="406">
        <f>C31*F31</f>
        <v>0</v>
      </c>
      <c r="H31" s="407">
        <f>G31*E31</f>
        <v>0</v>
      </c>
      <c r="I31" s="41"/>
      <c r="J31" s="226">
        <f t="shared" ref="J31:J42" si="10">E31*I31</f>
        <v>0</v>
      </c>
      <c r="K31" s="404"/>
      <c r="L31" s="408">
        <f t="shared" ref="L31:L42" si="11">E31*K31</f>
        <v>0</v>
      </c>
      <c r="M31" s="404">
        <v>0</v>
      </c>
      <c r="N31" s="409">
        <f t="shared" ref="N31:N42" si="12">E31*M31</f>
        <v>0</v>
      </c>
      <c r="O31" s="410">
        <f t="shared" ref="O31:O42" si="13">(K31/1000)*I31*G31</f>
        <v>0</v>
      </c>
      <c r="P31" s="410">
        <f t="shared" ref="P31:P42" si="14">M31*G31</f>
        <v>0</v>
      </c>
      <c r="Q31" s="411">
        <v>0</v>
      </c>
      <c r="R31" s="339">
        <f>Q31*C31</f>
        <v>0</v>
      </c>
      <c r="S31" s="398">
        <f t="shared" ref="S31:S44" si="15">R31/$R$18</f>
        <v>0</v>
      </c>
    </row>
    <row r="32" spans="1:19">
      <c r="A32" s="2888" t="s">
        <v>1518</v>
      </c>
      <c r="B32" s="2888"/>
      <c r="C32" s="404">
        <v>400</v>
      </c>
      <c r="D32" s="404" t="s">
        <v>137</v>
      </c>
      <c r="E32" s="398">
        <f>C32/$C$45</f>
        <v>0.86767895878524948</v>
      </c>
      <c r="F32" s="405">
        <v>0.6</v>
      </c>
      <c r="G32" s="406">
        <f>C32*F32</f>
        <v>240</v>
      </c>
      <c r="H32" s="407">
        <f t="shared" ref="H32:H42" si="16">G32*E32</f>
        <v>208.24295010845987</v>
      </c>
      <c r="I32" s="41">
        <v>660</v>
      </c>
      <c r="J32" s="226">
        <f t="shared" si="10"/>
        <v>572.6681127982647</v>
      </c>
      <c r="K32" s="404">
        <v>16</v>
      </c>
      <c r="L32" s="408">
        <f t="shared" si="11"/>
        <v>13.882863340563992</v>
      </c>
      <c r="M32" s="404">
        <v>82</v>
      </c>
      <c r="N32" s="409">
        <f t="shared" si="12"/>
        <v>71.149674620390456</v>
      </c>
      <c r="O32" s="410">
        <f t="shared" si="13"/>
        <v>2534.4</v>
      </c>
      <c r="P32" s="410">
        <f t="shared" si="14"/>
        <v>19680</v>
      </c>
      <c r="Q32" s="411">
        <v>0.05</v>
      </c>
      <c r="R32" s="339">
        <f t="shared" ref="R32:R44" si="17">Q32*C32</f>
        <v>20</v>
      </c>
      <c r="S32" s="398">
        <f t="shared" si="15"/>
        <v>5.4975261132490377E-2</v>
      </c>
    </row>
    <row r="33" spans="1:19">
      <c r="A33" s="2885" t="s">
        <v>1502</v>
      </c>
      <c r="B33" s="2885"/>
      <c r="C33" s="404">
        <v>50</v>
      </c>
      <c r="D33" s="404" t="s">
        <v>137</v>
      </c>
      <c r="E33" s="398">
        <f t="shared" ref="E33:E42" si="18">C33/$C$45</f>
        <v>0.10845986984815618</v>
      </c>
      <c r="F33" s="405">
        <v>0</v>
      </c>
      <c r="G33" s="406">
        <f>C33*F33</f>
        <v>0</v>
      </c>
      <c r="H33" s="407">
        <f t="shared" si="16"/>
        <v>0</v>
      </c>
      <c r="I33" s="41"/>
      <c r="J33" s="226">
        <f t="shared" si="10"/>
        <v>0</v>
      </c>
      <c r="K33" s="404">
        <v>11.7</v>
      </c>
      <c r="L33" s="408">
        <f t="shared" si="11"/>
        <v>1.2689804772234272</v>
      </c>
      <c r="M33" s="404">
        <v>152</v>
      </c>
      <c r="N33" s="409">
        <f t="shared" si="12"/>
        <v>16.485900216919742</v>
      </c>
      <c r="O33" s="410">
        <f t="shared" si="13"/>
        <v>0</v>
      </c>
      <c r="P33" s="410">
        <f t="shared" si="14"/>
        <v>0</v>
      </c>
      <c r="Q33" s="411">
        <v>0.4</v>
      </c>
      <c r="R33" s="339">
        <f t="shared" si="17"/>
        <v>20</v>
      </c>
      <c r="S33" s="398">
        <f t="shared" si="15"/>
        <v>5.4975261132490377E-2</v>
      </c>
    </row>
    <row r="34" spans="1:19">
      <c r="A34" s="2885" t="s">
        <v>1519</v>
      </c>
      <c r="B34" s="2885"/>
      <c r="C34" s="404">
        <v>6</v>
      </c>
      <c r="D34" s="404" t="s">
        <v>137</v>
      </c>
      <c r="E34" s="398">
        <f t="shared" si="18"/>
        <v>1.3015184381778741E-2</v>
      </c>
      <c r="F34" s="405">
        <v>0.86</v>
      </c>
      <c r="G34" s="406">
        <f t="shared" ref="G34:G42" si="19">C34*F34</f>
        <v>5.16</v>
      </c>
      <c r="H34" s="407">
        <f t="shared" si="16"/>
        <v>6.7158351409978306E-2</v>
      </c>
      <c r="I34" s="41">
        <v>800</v>
      </c>
      <c r="J34" s="226">
        <f t="shared" si="10"/>
        <v>10.412147505422993</v>
      </c>
      <c r="K34" s="404">
        <v>9.3000000000000007</v>
      </c>
      <c r="L34" s="408">
        <f t="shared" si="11"/>
        <v>0.1210412147505423</v>
      </c>
      <c r="M34" s="404">
        <v>96</v>
      </c>
      <c r="N34" s="409">
        <f t="shared" si="12"/>
        <v>1.2494577006507592</v>
      </c>
      <c r="O34" s="410">
        <f t="shared" si="13"/>
        <v>38.3904</v>
      </c>
      <c r="P34" s="410">
        <f t="shared" si="14"/>
        <v>495.36</v>
      </c>
      <c r="Q34" s="411">
        <v>0</v>
      </c>
      <c r="R34" s="339">
        <f t="shared" si="17"/>
        <v>0</v>
      </c>
      <c r="S34" s="398">
        <f t="shared" si="15"/>
        <v>0</v>
      </c>
    </row>
    <row r="35" spans="1:19">
      <c r="A35" s="2885" t="s">
        <v>1520</v>
      </c>
      <c r="B35" s="2885"/>
      <c r="C35" s="404">
        <v>5</v>
      </c>
      <c r="D35" s="404" t="s">
        <v>137</v>
      </c>
      <c r="E35" s="398">
        <f t="shared" si="18"/>
        <v>1.0845986984815618E-2</v>
      </c>
      <c r="F35" s="405">
        <v>0</v>
      </c>
      <c r="G35" s="406">
        <f t="shared" si="19"/>
        <v>0</v>
      </c>
      <c r="H35" s="407">
        <f t="shared" si="16"/>
        <v>0</v>
      </c>
      <c r="I35" s="41"/>
      <c r="J35" s="226">
        <f t="shared" si="10"/>
        <v>0</v>
      </c>
      <c r="K35" s="404"/>
      <c r="L35" s="408">
        <f t="shared" si="11"/>
        <v>0</v>
      </c>
      <c r="M35" s="404"/>
      <c r="N35" s="409">
        <f t="shared" si="12"/>
        <v>0</v>
      </c>
      <c r="O35" s="410">
        <f t="shared" si="13"/>
        <v>0</v>
      </c>
      <c r="P35" s="410">
        <f t="shared" si="14"/>
        <v>0</v>
      </c>
      <c r="Q35" s="411">
        <v>0</v>
      </c>
      <c r="R35" s="339">
        <f t="shared" si="17"/>
        <v>0</v>
      </c>
      <c r="S35" s="398">
        <f t="shared" si="15"/>
        <v>0</v>
      </c>
    </row>
    <row r="36" spans="1:19">
      <c r="A36" s="2885"/>
      <c r="B36" s="2885"/>
      <c r="C36" s="404"/>
      <c r="D36" s="404" t="s">
        <v>137</v>
      </c>
      <c r="E36" s="398">
        <f t="shared" si="18"/>
        <v>0</v>
      </c>
      <c r="F36" s="405">
        <v>0.3</v>
      </c>
      <c r="G36" s="406">
        <f t="shared" si="19"/>
        <v>0</v>
      </c>
      <c r="H36" s="407">
        <f t="shared" si="16"/>
        <v>0</v>
      </c>
      <c r="I36" s="41">
        <v>690</v>
      </c>
      <c r="J36" s="226">
        <f t="shared" si="10"/>
        <v>0</v>
      </c>
      <c r="K36" s="404">
        <v>16</v>
      </c>
      <c r="L36" s="408">
        <f t="shared" si="11"/>
        <v>0</v>
      </c>
      <c r="M36" s="404">
        <v>84</v>
      </c>
      <c r="N36" s="409">
        <f t="shared" si="12"/>
        <v>0</v>
      </c>
      <c r="O36" s="410">
        <f t="shared" si="13"/>
        <v>0</v>
      </c>
      <c r="P36" s="410">
        <f t="shared" si="14"/>
        <v>0</v>
      </c>
      <c r="Q36" s="411">
        <v>0</v>
      </c>
      <c r="R36" s="339">
        <f t="shared" si="17"/>
        <v>0</v>
      </c>
      <c r="S36" s="398">
        <f t="shared" si="15"/>
        <v>0</v>
      </c>
    </row>
    <row r="37" spans="1:19">
      <c r="A37" s="2885"/>
      <c r="B37" s="2885"/>
      <c r="C37" s="404"/>
      <c r="D37" s="404" t="s">
        <v>137</v>
      </c>
      <c r="E37" s="398">
        <f t="shared" si="18"/>
        <v>0</v>
      </c>
      <c r="F37" s="405">
        <v>0</v>
      </c>
      <c r="G37" s="406">
        <f t="shared" si="19"/>
        <v>0</v>
      </c>
      <c r="H37" s="407">
        <f t="shared" si="16"/>
        <v>0</v>
      </c>
      <c r="I37" s="41">
        <v>800</v>
      </c>
      <c r="J37" s="226">
        <f t="shared" si="10"/>
        <v>0</v>
      </c>
      <c r="K37" s="404">
        <v>31.1</v>
      </c>
      <c r="L37" s="408">
        <f t="shared" si="11"/>
        <v>0</v>
      </c>
      <c r="M37" s="404">
        <v>95</v>
      </c>
      <c r="N37" s="409">
        <f t="shared" si="12"/>
        <v>0</v>
      </c>
      <c r="O37" s="410">
        <f t="shared" si="13"/>
        <v>0</v>
      </c>
      <c r="P37" s="410">
        <f t="shared" si="14"/>
        <v>0</v>
      </c>
      <c r="Q37" s="411">
        <v>0</v>
      </c>
      <c r="R37" s="339">
        <f t="shared" si="17"/>
        <v>0</v>
      </c>
      <c r="S37" s="398">
        <f t="shared" si="15"/>
        <v>0</v>
      </c>
    </row>
    <row r="38" spans="1:19">
      <c r="A38" s="2885"/>
      <c r="B38" s="2885"/>
      <c r="C38" s="404"/>
      <c r="D38" s="404" t="s">
        <v>137</v>
      </c>
      <c r="E38" s="398">
        <f>C38/$C$45</f>
        <v>0</v>
      </c>
      <c r="F38" s="405">
        <v>0</v>
      </c>
      <c r="G38" s="406">
        <f t="shared" si="19"/>
        <v>0</v>
      </c>
      <c r="H38" s="407">
        <f t="shared" si="16"/>
        <v>0</v>
      </c>
      <c r="I38" s="41"/>
      <c r="J38" s="226">
        <f t="shared" si="10"/>
        <v>0</v>
      </c>
      <c r="K38" s="404">
        <v>11.7</v>
      </c>
      <c r="L38" s="408">
        <f t="shared" si="11"/>
        <v>0</v>
      </c>
      <c r="M38" s="404">
        <v>152</v>
      </c>
      <c r="N38" s="409">
        <f t="shared" si="12"/>
        <v>0</v>
      </c>
      <c r="O38" s="410">
        <f t="shared" si="13"/>
        <v>0</v>
      </c>
      <c r="P38" s="410">
        <f t="shared" si="14"/>
        <v>0</v>
      </c>
      <c r="Q38" s="411">
        <v>0</v>
      </c>
      <c r="R38" s="339">
        <f t="shared" si="17"/>
        <v>0</v>
      </c>
      <c r="S38" s="398">
        <f t="shared" si="15"/>
        <v>0</v>
      </c>
    </row>
    <row r="39" spans="1:19">
      <c r="A39" s="2885"/>
      <c r="B39" s="2885"/>
      <c r="C39" s="404"/>
      <c r="D39" s="404" t="s">
        <v>137</v>
      </c>
      <c r="E39" s="398">
        <f t="shared" si="18"/>
        <v>0</v>
      </c>
      <c r="F39" s="405">
        <v>0</v>
      </c>
      <c r="G39" s="406">
        <f t="shared" si="19"/>
        <v>0</v>
      </c>
      <c r="H39" s="407">
        <f t="shared" si="16"/>
        <v>0</v>
      </c>
      <c r="I39" s="41"/>
      <c r="J39" s="226">
        <f t="shared" si="10"/>
        <v>0</v>
      </c>
      <c r="K39" s="404"/>
      <c r="L39" s="408">
        <f t="shared" si="11"/>
        <v>0</v>
      </c>
      <c r="M39" s="404"/>
      <c r="N39" s="409">
        <f t="shared" si="12"/>
        <v>0</v>
      </c>
      <c r="O39" s="410">
        <f t="shared" si="13"/>
        <v>0</v>
      </c>
      <c r="P39" s="410">
        <f t="shared" si="14"/>
        <v>0</v>
      </c>
      <c r="Q39" s="411">
        <v>0</v>
      </c>
      <c r="R39" s="339">
        <f t="shared" si="17"/>
        <v>0</v>
      </c>
      <c r="S39" s="398">
        <f t="shared" si="15"/>
        <v>0</v>
      </c>
    </row>
    <row r="40" spans="1:19">
      <c r="A40" s="2885"/>
      <c r="B40" s="2885"/>
      <c r="C40" s="404"/>
      <c r="D40" s="404" t="s">
        <v>137</v>
      </c>
      <c r="E40" s="398">
        <f t="shared" si="18"/>
        <v>0</v>
      </c>
      <c r="F40" s="405">
        <v>0</v>
      </c>
      <c r="G40" s="406">
        <f t="shared" si="19"/>
        <v>0</v>
      </c>
      <c r="H40" s="407">
        <f t="shared" si="16"/>
        <v>0</v>
      </c>
      <c r="I40" s="41"/>
      <c r="J40" s="226">
        <f t="shared" si="10"/>
        <v>0</v>
      </c>
      <c r="K40" s="404"/>
      <c r="L40" s="408">
        <f t="shared" si="11"/>
        <v>0</v>
      </c>
      <c r="M40" s="404"/>
      <c r="N40" s="409">
        <f t="shared" si="12"/>
        <v>0</v>
      </c>
      <c r="O40" s="410">
        <f t="shared" si="13"/>
        <v>0</v>
      </c>
      <c r="P40" s="410">
        <f t="shared" si="14"/>
        <v>0</v>
      </c>
      <c r="Q40" s="411">
        <v>0</v>
      </c>
      <c r="R40" s="339">
        <f t="shared" si="17"/>
        <v>0</v>
      </c>
      <c r="S40" s="398">
        <f t="shared" si="15"/>
        <v>0</v>
      </c>
    </row>
    <row r="41" spans="1:19">
      <c r="A41" s="2885"/>
      <c r="B41" s="2885"/>
      <c r="C41" s="404"/>
      <c r="D41" s="404" t="s">
        <v>137</v>
      </c>
      <c r="E41" s="398">
        <f t="shared" si="18"/>
        <v>0</v>
      </c>
      <c r="F41" s="405">
        <v>0</v>
      </c>
      <c r="G41" s="406">
        <f t="shared" si="19"/>
        <v>0</v>
      </c>
      <c r="H41" s="407">
        <f t="shared" si="16"/>
        <v>0</v>
      </c>
      <c r="I41" s="41"/>
      <c r="J41" s="226">
        <f t="shared" si="10"/>
        <v>0</v>
      </c>
      <c r="K41" s="404"/>
      <c r="L41" s="408">
        <f t="shared" si="11"/>
        <v>0</v>
      </c>
      <c r="M41" s="404"/>
      <c r="N41" s="409">
        <f t="shared" si="12"/>
        <v>0</v>
      </c>
      <c r="O41" s="410">
        <f t="shared" si="13"/>
        <v>0</v>
      </c>
      <c r="P41" s="410">
        <f t="shared" si="14"/>
        <v>0</v>
      </c>
      <c r="Q41" s="411">
        <v>0</v>
      </c>
      <c r="R41" s="339">
        <f t="shared" si="17"/>
        <v>0</v>
      </c>
      <c r="S41" s="398">
        <f t="shared" si="15"/>
        <v>0</v>
      </c>
    </row>
    <row r="42" spans="1:19">
      <c r="A42" s="2885"/>
      <c r="B42" s="2885"/>
      <c r="C42" s="404"/>
      <c r="D42" s="404" t="s">
        <v>137</v>
      </c>
      <c r="E42" s="398">
        <f t="shared" si="18"/>
        <v>0</v>
      </c>
      <c r="F42" s="405">
        <v>0</v>
      </c>
      <c r="G42" s="406">
        <f t="shared" si="19"/>
        <v>0</v>
      </c>
      <c r="H42" s="407">
        <f t="shared" si="16"/>
        <v>0</v>
      </c>
      <c r="I42" s="41"/>
      <c r="J42" s="226">
        <f t="shared" si="10"/>
        <v>0</v>
      </c>
      <c r="K42" s="404"/>
      <c r="L42" s="408">
        <f t="shared" si="11"/>
        <v>0</v>
      </c>
      <c r="M42" s="404"/>
      <c r="N42" s="409">
        <f t="shared" si="12"/>
        <v>0</v>
      </c>
      <c r="O42" s="410">
        <f t="shared" si="13"/>
        <v>0</v>
      </c>
      <c r="P42" s="410">
        <f t="shared" si="14"/>
        <v>0</v>
      </c>
      <c r="Q42" s="411">
        <v>0</v>
      </c>
      <c r="R42" s="339">
        <f t="shared" si="17"/>
        <v>0</v>
      </c>
      <c r="S42" s="398">
        <f t="shared" si="15"/>
        <v>0</v>
      </c>
    </row>
    <row r="43" spans="1:19">
      <c r="A43" s="2885" t="s">
        <v>1505</v>
      </c>
      <c r="B43" s="2885"/>
      <c r="C43" s="404">
        <v>1</v>
      </c>
      <c r="D43" s="404" t="s">
        <v>150</v>
      </c>
      <c r="E43" s="413"/>
      <c r="F43" s="413"/>
      <c r="G43" s="413"/>
      <c r="H43" s="413"/>
      <c r="I43" s="413"/>
      <c r="J43" s="413"/>
      <c r="K43" s="413"/>
      <c r="L43" s="413"/>
      <c r="M43" s="413"/>
      <c r="N43" s="413"/>
      <c r="O43" s="413"/>
      <c r="P43" s="413"/>
      <c r="Q43" s="411">
        <v>10</v>
      </c>
      <c r="R43" s="339">
        <f t="shared" si="17"/>
        <v>10</v>
      </c>
      <c r="S43" s="398">
        <f t="shared" si="15"/>
        <v>2.7487630566245189E-2</v>
      </c>
    </row>
    <row r="44" spans="1:19">
      <c r="A44" s="2885" t="s">
        <v>1506</v>
      </c>
      <c r="B44" s="2885"/>
      <c r="C44" s="404">
        <v>1</v>
      </c>
      <c r="D44" s="404" t="s">
        <v>15</v>
      </c>
      <c r="E44" s="413"/>
      <c r="F44" s="413"/>
      <c r="G44" s="413"/>
      <c r="H44" s="413"/>
      <c r="I44" s="413"/>
      <c r="J44" s="413"/>
      <c r="K44" s="413"/>
      <c r="L44" s="413"/>
      <c r="M44" s="413"/>
      <c r="N44" s="413"/>
      <c r="O44" s="413"/>
      <c r="P44" s="413"/>
      <c r="Q44" s="411">
        <v>15</v>
      </c>
      <c r="R44" s="339">
        <f t="shared" si="17"/>
        <v>15</v>
      </c>
      <c r="S44" s="398">
        <f t="shared" si="15"/>
        <v>4.1231445849367783E-2</v>
      </c>
    </row>
    <row r="45" spans="1:19">
      <c r="B45" s="3" t="s">
        <v>1507</v>
      </c>
      <c r="C45" s="242">
        <f>SUM(C31:C42)</f>
        <v>461</v>
      </c>
      <c r="D45" s="521"/>
      <c r="E45" s="414">
        <f>SUM(E31:E42)</f>
        <v>1</v>
      </c>
      <c r="F45" s="414"/>
      <c r="G45" s="415">
        <f>SUM(G31:G44)</f>
        <v>245.16</v>
      </c>
      <c r="H45" s="243">
        <f>SUM(H31:H42)</f>
        <v>208.31010845986984</v>
      </c>
      <c r="I45" s="242"/>
      <c r="J45" s="243">
        <f>SUM(J31:J42)</f>
        <v>583.08026030368774</v>
      </c>
      <c r="K45" s="414"/>
      <c r="L45" s="416">
        <f>SUM(L31:L44)</f>
        <v>15.272885032537962</v>
      </c>
      <c r="M45" s="414"/>
      <c r="N45" s="416">
        <f>SUM(N31:N44)</f>
        <v>88.885032537960967</v>
      </c>
      <c r="O45" s="415">
        <f>SUM(O31:O44)</f>
        <v>2572.7903999999999</v>
      </c>
      <c r="P45" s="415">
        <f>SUM(P31:P44)</f>
        <v>20175.36</v>
      </c>
      <c r="Q45" s="9"/>
      <c r="R45" s="9">
        <f>SUM(R31:R44)</f>
        <v>65</v>
      </c>
      <c r="S45" s="414">
        <f>SUM(S31:S44)</f>
        <v>0.17866959868059373</v>
      </c>
    </row>
    <row r="46" spans="1:19">
      <c r="B46" t="s">
        <v>1508</v>
      </c>
      <c r="E46" s="3"/>
      <c r="F46" s="26">
        <f>G46/C45</f>
        <v>4.0789688366780876E-3</v>
      </c>
      <c r="G46" s="417">
        <f>C45/G45</f>
        <v>1.8804046337085984</v>
      </c>
      <c r="H46" s="418">
        <f>H45/C45</f>
        <v>0.45186574503225563</v>
      </c>
      <c r="I46" s="3"/>
      <c r="J46" s="243">
        <f>J45</f>
        <v>583.08026030368774</v>
      </c>
      <c r="L46" s="419">
        <f>L45/G45</f>
        <v>6.2297622093889553E-2</v>
      </c>
      <c r="M46" s="3"/>
      <c r="N46" s="419">
        <f>N45/G45</f>
        <v>0.36255927776946062</v>
      </c>
      <c r="O46" s="417">
        <f>O45/C45</f>
        <v>5.5808902386117136</v>
      </c>
      <c r="P46" s="417">
        <f>P45/C45</f>
        <v>43.764338394793924</v>
      </c>
    </row>
    <row r="47" spans="1:19" ht="15.75">
      <c r="B47" s="3" t="s">
        <v>1509</v>
      </c>
      <c r="R47" s="420">
        <f>R45/C45</f>
        <v>0.14099783080260303</v>
      </c>
    </row>
    <row r="48" spans="1:19">
      <c r="Q48" s="15"/>
      <c r="S48" s="422">
        <f>SUM(S34:S45)</f>
        <v>0.24738867509620671</v>
      </c>
    </row>
    <row r="49" spans="1:14">
      <c r="B49" s="11" t="s">
        <v>1513</v>
      </c>
      <c r="D49" s="41">
        <v>365</v>
      </c>
      <c r="E49" t="s">
        <v>150</v>
      </c>
      <c r="G49" s="25" t="s">
        <v>1431</v>
      </c>
      <c r="H49" s="243">
        <f>J46</f>
        <v>583.08026030368774</v>
      </c>
      <c r="I49" t="s">
        <v>1510</v>
      </c>
      <c r="K49" s="421">
        <v>100</v>
      </c>
      <c r="L49" t="s">
        <v>1511</v>
      </c>
      <c r="M49">
        <f>K49+K21</f>
        <v>365</v>
      </c>
      <c r="N49" t="s">
        <v>1512</v>
      </c>
    </row>
    <row r="50" spans="1:14">
      <c r="B50" s="11" t="s">
        <v>1514</v>
      </c>
      <c r="D50" s="423">
        <f>C45*D49</f>
        <v>168265</v>
      </c>
      <c r="E50" t="s">
        <v>137</v>
      </c>
      <c r="G50" s="25" t="s">
        <v>46</v>
      </c>
      <c r="H50" s="414">
        <f>H46</f>
        <v>0.45186574503225563</v>
      </c>
    </row>
    <row r="51" spans="1:14">
      <c r="A51" s="424">
        <v>50</v>
      </c>
      <c r="B51" s="11" t="s">
        <v>1515</v>
      </c>
      <c r="D51" s="425">
        <f>D50/A51</f>
        <v>3365.3</v>
      </c>
      <c r="G51" s="25" t="s">
        <v>1434</v>
      </c>
      <c r="H51" s="426">
        <f>O46</f>
        <v>5.5808902386117136</v>
      </c>
    </row>
    <row r="52" spans="1:14">
      <c r="G52" s="25" t="s">
        <v>1436</v>
      </c>
      <c r="H52" s="426">
        <f>P46</f>
        <v>43.764338394793924</v>
      </c>
    </row>
    <row r="53" spans="1:14">
      <c r="G53" s="25"/>
      <c r="H53" s="426"/>
    </row>
    <row r="54" spans="1:14">
      <c r="A54" s="3" t="s">
        <v>1521</v>
      </c>
      <c r="G54" s="25"/>
      <c r="H54" s="426"/>
    </row>
    <row r="55" spans="1:14">
      <c r="G55" s="25" t="s">
        <v>1431</v>
      </c>
      <c r="H55" s="427">
        <f>H22/365*K49+H49/365*K21</f>
        <v>599.96608659985588</v>
      </c>
      <c r="I55" t="s">
        <v>1522</v>
      </c>
    </row>
    <row r="56" spans="1:14">
      <c r="B56" t="s">
        <v>1523</v>
      </c>
      <c r="G56" s="25" t="s">
        <v>46</v>
      </c>
      <c r="H56" s="418">
        <f>H50/365*K49+H23/365*K21</f>
        <v>0.26229185403563915</v>
      </c>
      <c r="I56" t="s">
        <v>1522</v>
      </c>
    </row>
    <row r="57" spans="1:14">
      <c r="G57" s="25" t="s">
        <v>1434</v>
      </c>
      <c r="H57" s="426">
        <f>H24/365*K21+H51/365*K49</f>
        <v>3.4464438055117581</v>
      </c>
      <c r="I57" t="s">
        <v>1522</v>
      </c>
    </row>
    <row r="58" spans="1:14">
      <c r="G58" s="25" t="s">
        <v>1436</v>
      </c>
      <c r="H58" s="428">
        <f>H25/365*K21+H52/365*K49</f>
        <v>26.579392163119067</v>
      </c>
      <c r="I58" t="s">
        <v>1522</v>
      </c>
    </row>
    <row r="59" spans="1:14">
      <c r="G59" s="25" t="s">
        <v>1440</v>
      </c>
      <c r="H59" s="426">
        <f>R20/365*K21+R47/365*K49</f>
        <v>0.1166356759175666</v>
      </c>
      <c r="I59" t="s">
        <v>1522</v>
      </c>
    </row>
    <row r="60" spans="1:14">
      <c r="G60" s="25" t="s">
        <v>1524</v>
      </c>
      <c r="H60" s="15">
        <f>H59*H56</f>
        <v>3.059258768311849E-2</v>
      </c>
    </row>
    <row r="63" spans="1:14">
      <c r="A63" t="s">
        <v>1525</v>
      </c>
    </row>
    <row r="64" spans="1:14">
      <c r="D64" s="4" t="s">
        <v>159</v>
      </c>
      <c r="E64" s="4" t="s">
        <v>159</v>
      </c>
    </row>
    <row r="65" spans="2:5">
      <c r="B65" t="s">
        <v>1526</v>
      </c>
      <c r="D65" s="4">
        <v>40</v>
      </c>
      <c r="E65" s="4">
        <v>60</v>
      </c>
    </row>
    <row r="66" spans="2:5">
      <c r="B66" t="s">
        <v>1527</v>
      </c>
      <c r="D66" s="4">
        <v>30</v>
      </c>
      <c r="E66" s="4">
        <v>45</v>
      </c>
    </row>
    <row r="67" spans="2:5">
      <c r="B67" t="s">
        <v>1528</v>
      </c>
      <c r="D67" s="4">
        <v>10</v>
      </c>
      <c r="E67" s="4">
        <v>15</v>
      </c>
    </row>
    <row r="68" spans="2:5">
      <c r="B68" t="s">
        <v>1529</v>
      </c>
      <c r="D68" s="4">
        <v>1</v>
      </c>
      <c r="E68" s="4">
        <v>1</v>
      </c>
    </row>
  </sheetData>
  <sheetProtection sheet="1" formatCells="0" formatColumns="0" formatRows="0" insertRows="0"/>
  <mergeCells count="34">
    <mergeCell ref="A41:B41"/>
    <mergeCell ref="A42:B42"/>
    <mergeCell ref="A43:B43"/>
    <mergeCell ref="A44:B44"/>
    <mergeCell ref="A35:B35"/>
    <mergeCell ref="A36:B36"/>
    <mergeCell ref="A37:B37"/>
    <mergeCell ref="A38:B38"/>
    <mergeCell ref="A39:B39"/>
    <mergeCell ref="A40:B40"/>
    <mergeCell ref="A34:B34"/>
    <mergeCell ref="A13:B13"/>
    <mergeCell ref="A14:B14"/>
    <mergeCell ref="A15:B15"/>
    <mergeCell ref="A16:B16"/>
    <mergeCell ref="A17:B17"/>
    <mergeCell ref="A28:C28"/>
    <mergeCell ref="B29:C29"/>
    <mergeCell ref="A30:B30"/>
    <mergeCell ref="A31:B31"/>
    <mergeCell ref="A32:B32"/>
    <mergeCell ref="A33:B33"/>
    <mergeCell ref="A12:B12"/>
    <mergeCell ref="A1:C1"/>
    <mergeCell ref="B2:C2"/>
    <mergeCell ref="A3:B3"/>
    <mergeCell ref="A4:B4"/>
    <mergeCell ref="A5:B5"/>
    <mergeCell ref="A6:B6"/>
    <mergeCell ref="A7:B7"/>
    <mergeCell ref="A8:B8"/>
    <mergeCell ref="A9:B9"/>
    <mergeCell ref="A10:B10"/>
    <mergeCell ref="A11:B11"/>
  </mergeCells>
  <pageMargins left="0.7" right="0.7" top="0.75" bottom="0.75" header="0.51180555555555551" footer="0.51180555555555551"/>
  <pageSetup paperSize="9" scale="63" firstPageNumber="0"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918B-A578-4F6D-A981-D302AD4A78C2}">
  <dimension ref="A1:O42"/>
  <sheetViews>
    <sheetView showGridLines="0" workbookViewId="0">
      <selection activeCell="C10" sqref="C10"/>
    </sheetView>
  </sheetViews>
  <sheetFormatPr defaultRowHeight="12.75"/>
  <cols>
    <col min="14" max="14" width="2.28515625" customWidth="1"/>
  </cols>
  <sheetData>
    <row r="1" spans="1:5">
      <c r="A1" t="s">
        <v>1863</v>
      </c>
      <c r="D1" t="s">
        <v>112</v>
      </c>
      <c r="E1" s="2428" t="str">
        <f>'Ohje perusmaatila'!E1</f>
        <v>26.1A</v>
      </c>
    </row>
    <row r="2" spans="1:5" ht="47.25" customHeight="1">
      <c r="E2" s="1299" t="s">
        <v>1864</v>
      </c>
    </row>
    <row r="3" spans="1:5" ht="17.25" customHeight="1">
      <c r="A3" t="s">
        <v>1865</v>
      </c>
      <c r="E3" s="1299"/>
    </row>
    <row r="4" spans="1:5" ht="13.5" customHeight="1">
      <c r="A4" t="s">
        <v>1871</v>
      </c>
    </row>
    <row r="5" spans="1:5" ht="7.5" customHeight="1"/>
    <row r="6" spans="1:5" ht="72" customHeight="1"/>
    <row r="7" spans="1:5" ht="18">
      <c r="A7" s="2424" t="s">
        <v>1908</v>
      </c>
    </row>
    <row r="8" spans="1:5" ht="6.75" customHeight="1"/>
    <row r="9" spans="1:5" ht="15">
      <c r="A9" s="86" t="s">
        <v>1867</v>
      </c>
    </row>
    <row r="11" spans="1:5">
      <c r="A11" t="s">
        <v>1887</v>
      </c>
    </row>
    <row r="12" spans="1:5">
      <c r="A12" t="s">
        <v>1888</v>
      </c>
    </row>
    <row r="13" spans="1:5">
      <c r="A13" t="s">
        <v>1889</v>
      </c>
    </row>
    <row r="14" spans="1:5">
      <c r="A14" t="s">
        <v>1890</v>
      </c>
      <c r="B14" s="1617"/>
    </row>
    <row r="15" spans="1:5">
      <c r="A15" t="s">
        <v>1872</v>
      </c>
    </row>
    <row r="16" spans="1:5">
      <c r="A16" t="s">
        <v>1909</v>
      </c>
    </row>
    <row r="17" spans="1:15">
      <c r="A17" t="s">
        <v>1912</v>
      </c>
    </row>
    <row r="18" spans="1:15" ht="15">
      <c r="A18" s="86" t="s">
        <v>1875</v>
      </c>
    </row>
    <row r="19" spans="1:15">
      <c r="A19" t="s">
        <v>1874</v>
      </c>
    </row>
    <row r="20" spans="1:15" ht="15">
      <c r="A20" s="86" t="s">
        <v>1876</v>
      </c>
    </row>
    <row r="21" spans="1:15">
      <c r="A21" t="s">
        <v>1910</v>
      </c>
    </row>
    <row r="22" spans="1:15">
      <c r="A22" t="s">
        <v>1881</v>
      </c>
      <c r="G22" s="1166" t="s">
        <v>1879</v>
      </c>
    </row>
    <row r="23" spans="1:15">
      <c r="A23" t="s">
        <v>1911</v>
      </c>
    </row>
    <row r="24" spans="1:15">
      <c r="A24" t="s">
        <v>1913</v>
      </c>
    </row>
    <row r="25" spans="1:15">
      <c r="A25" t="s">
        <v>1883</v>
      </c>
    </row>
    <row r="26" spans="1:15" ht="14.25">
      <c r="A26" t="s">
        <v>1896</v>
      </c>
      <c r="I26" s="1166" t="s">
        <v>1897</v>
      </c>
    </row>
    <row r="27" spans="1:15" ht="45" customHeight="1">
      <c r="A27" t="s">
        <v>1953</v>
      </c>
      <c r="I27" s="1166"/>
    </row>
    <row r="28" spans="1:15" ht="27" customHeight="1">
      <c r="I28" s="1166"/>
    </row>
    <row r="29" spans="1:15" ht="21.75" customHeight="1">
      <c r="A29" s="2524" t="s">
        <v>1954</v>
      </c>
      <c r="I29" s="1166"/>
    </row>
    <row r="30" spans="1:15" ht="17.25" customHeight="1">
      <c r="A30" s="2524" t="s">
        <v>1955</v>
      </c>
      <c r="I30" s="1166"/>
    </row>
    <row r="31" spans="1:15" ht="18" customHeight="1">
      <c r="A31" s="2525" t="s">
        <v>1956</v>
      </c>
      <c r="I31" s="1166"/>
      <c r="O31" s="1166" t="s">
        <v>111</v>
      </c>
    </row>
    <row r="32" spans="1:15">
      <c r="A32" t="s">
        <v>1915</v>
      </c>
    </row>
    <row r="33" spans="1:13" ht="18" hidden="1">
      <c r="A33" s="2424" t="s">
        <v>1878</v>
      </c>
    </row>
    <row r="34" spans="1:13" hidden="1">
      <c r="A34" t="s">
        <v>1884</v>
      </c>
    </row>
    <row r="35" spans="1:13" hidden="1">
      <c r="A35" t="s">
        <v>1885</v>
      </c>
      <c r="M35" s="1166" t="s">
        <v>1886</v>
      </c>
    </row>
    <row r="36" spans="1:13" hidden="1">
      <c r="A36" t="s">
        <v>1898</v>
      </c>
    </row>
    <row r="37" spans="1:13" hidden="1">
      <c r="A37" t="s">
        <v>1899</v>
      </c>
    </row>
    <row r="38" spans="1:13" ht="13.5" hidden="1" customHeight="1">
      <c r="A38" t="s">
        <v>1893</v>
      </c>
    </row>
    <row r="39" spans="1:13" ht="13.5" hidden="1" customHeight="1">
      <c r="A39" t="s">
        <v>1892</v>
      </c>
    </row>
    <row r="40" spans="1:13" ht="12.75" hidden="1" customHeight="1">
      <c r="A40" t="s">
        <v>1894</v>
      </c>
    </row>
    <row r="41" spans="1:13" hidden="1">
      <c r="A41" t="s">
        <v>1895</v>
      </c>
    </row>
    <row r="42" spans="1:13">
      <c r="A42" s="1166" t="s">
        <v>1914</v>
      </c>
    </row>
  </sheetData>
  <sheetProtection algorithmName="SHA-512" hashValue="2k1Qkdx0xn/DPmuGm16behp2xFFrtIqg6bB126i4jxizgCgLMV2sYKdeDGInaHJxRwSYBveKwU8GzSMab+XIfg==" saltValue="t72ATwYQzSz421FdAuaSgA==" spinCount="100000" sheet="1" formatCells="0" formatColumns="0" formatRows="0"/>
  <hyperlinks>
    <hyperlink ref="G22" location="'Traktorin tuntihinta'!A1" display="Koneen tuntihintalaskuri" xr:uid="{98A605DF-2676-44CC-B19C-2A0F3463AC69}"/>
    <hyperlink ref="M35" location="Peltoalalaskuri!A1" display="Peltoalalaskuri" xr:uid="{13E2A613-C107-45F4-8F20-801B45A1D7BC}"/>
    <hyperlink ref="I26" location="Päästölaskenta!A1" display="Päästölaskenta" xr:uid="{EEE3FE7A-7A98-44CF-AE01-A7081E089119}"/>
    <hyperlink ref="A42" r:id="rId1" xr:uid="{09A9203E-F64D-4F04-A325-ED7C3EB1FF60}"/>
    <hyperlink ref="O31" location="Taimilaskuri!A1" display="Taimilaskuri" xr:uid="{6B7E4D7B-6295-4BF6-9904-437CBD4DEAC2}"/>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ul22">
    <pageSetUpPr fitToPage="1"/>
  </sheetPr>
  <dimension ref="A2:P98"/>
  <sheetViews>
    <sheetView topLeftCell="E1" workbookViewId="0">
      <selection activeCell="E7" sqref="E7"/>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8.7109375" customWidth="1"/>
    <col min="7" max="7" width="12.28515625" customWidth="1"/>
    <col min="8" max="8" width="12" customWidth="1"/>
    <col min="9" max="9" width="10.85546875" customWidth="1"/>
    <col min="10" max="10" width="11.85546875" customWidth="1"/>
    <col min="11" max="11" width="11.7109375" customWidth="1"/>
    <col min="12" max="13" width="12.85546875" customWidth="1"/>
    <col min="14" max="14" width="11.140625" style="4" customWidth="1"/>
    <col min="15" max="15" width="6.7109375" style="188" customWidth="1"/>
    <col min="16" max="16" width="9.42578125" style="188" customWidth="1"/>
  </cols>
  <sheetData>
    <row r="2" spans="1:16" ht="15.75">
      <c r="A2" s="430" t="s">
        <v>1530</v>
      </c>
      <c r="B2" s="431"/>
      <c r="C2" s="431"/>
      <c r="D2" s="17"/>
      <c r="F2" s="2876" t="s">
        <v>1415</v>
      </c>
      <c r="G2" s="2876"/>
      <c r="H2" s="2876"/>
      <c r="I2" s="432"/>
      <c r="J2" s="2877" t="s">
        <v>1416</v>
      </c>
      <c r="K2" s="2877"/>
      <c r="L2" s="2877"/>
      <c r="M2" s="2878" t="s">
        <v>1417</v>
      </c>
      <c r="N2" s="2878"/>
      <c r="O2" s="2878"/>
      <c r="P2" s="2878"/>
    </row>
    <row r="3" spans="1:16" ht="15" customHeight="1">
      <c r="A3" s="639"/>
      <c r="B3" s="640"/>
      <c r="C3" s="434"/>
      <c r="D3" s="17"/>
      <c r="F3" s="641" t="s">
        <v>1419</v>
      </c>
      <c r="G3" s="641" t="s">
        <v>1420</v>
      </c>
      <c r="H3" s="641" t="s">
        <v>1422</v>
      </c>
      <c r="I3" s="641" t="s">
        <v>1422</v>
      </c>
      <c r="J3" s="641" t="s">
        <v>686</v>
      </c>
      <c r="K3" s="641" t="s">
        <v>1531</v>
      </c>
      <c r="L3" s="641" t="s">
        <v>1532</v>
      </c>
      <c r="M3" s="435"/>
      <c r="P3" s="436"/>
    </row>
    <row r="4" spans="1:16" ht="15">
      <c r="A4" s="435" t="s">
        <v>1533</v>
      </c>
      <c r="B4" s="434"/>
      <c r="C4" s="642">
        <v>360</v>
      </c>
      <c r="D4" s="17"/>
      <c r="F4" s="643"/>
      <c r="G4" s="643" t="s">
        <v>689</v>
      </c>
      <c r="H4" s="643"/>
      <c r="I4" s="643"/>
      <c r="J4" s="643" t="s">
        <v>1429</v>
      </c>
      <c r="K4" s="643"/>
      <c r="L4" s="641"/>
      <c r="M4" s="435"/>
      <c r="P4" s="436"/>
    </row>
    <row r="5" spans="1:16">
      <c r="A5" s="435" t="s">
        <v>1534</v>
      </c>
      <c r="B5" s="434"/>
      <c r="C5" s="644"/>
      <c r="D5" s="17"/>
      <c r="E5" s="25" t="s">
        <v>1431</v>
      </c>
      <c r="F5" s="439">
        <v>680</v>
      </c>
      <c r="G5" s="5">
        <v>800</v>
      </c>
      <c r="H5" s="440">
        <v>850</v>
      </c>
      <c r="I5" s="441">
        <v>0</v>
      </c>
      <c r="J5" s="442">
        <v>820</v>
      </c>
      <c r="K5" s="5">
        <v>620</v>
      </c>
      <c r="L5" s="440">
        <v>0</v>
      </c>
      <c r="M5" s="435"/>
      <c r="P5" s="436"/>
    </row>
    <row r="6" spans="1:16">
      <c r="A6" s="435" t="s">
        <v>1535</v>
      </c>
      <c r="B6" s="434"/>
      <c r="C6" s="644"/>
      <c r="D6" s="443"/>
      <c r="E6" s="25" t="s">
        <v>46</v>
      </c>
      <c r="F6" s="444">
        <v>0.27</v>
      </c>
      <c r="G6" s="6">
        <v>0.86</v>
      </c>
      <c r="H6" s="445">
        <v>0.86</v>
      </c>
      <c r="I6" s="446">
        <v>0.91</v>
      </c>
      <c r="J6" s="447">
        <v>0.88</v>
      </c>
      <c r="K6" s="6">
        <v>0.86</v>
      </c>
      <c r="L6" s="445">
        <v>0.82</v>
      </c>
      <c r="M6" s="435"/>
      <c r="P6" s="436"/>
    </row>
    <row r="7" spans="1:16">
      <c r="A7" s="435" t="s">
        <v>1536</v>
      </c>
      <c r="B7" s="434"/>
      <c r="C7" s="645"/>
      <c r="D7" s="443"/>
      <c r="E7" s="25" t="s">
        <v>1434</v>
      </c>
      <c r="F7" s="449">
        <f>16/1000*F5</f>
        <v>10.88</v>
      </c>
      <c r="G7" s="450">
        <v>12.9</v>
      </c>
      <c r="H7" s="451">
        <v>13.3</v>
      </c>
      <c r="I7" s="452">
        <v>1.68</v>
      </c>
      <c r="J7" s="453">
        <v>13</v>
      </c>
      <c r="K7" s="450">
        <v>9.4</v>
      </c>
      <c r="L7" s="451">
        <v>11.7</v>
      </c>
      <c r="M7" s="435"/>
      <c r="P7" s="436"/>
    </row>
    <row r="8" spans="1:16">
      <c r="A8" s="435" t="s">
        <v>1537</v>
      </c>
      <c r="B8" s="434"/>
      <c r="C8" s="434"/>
      <c r="D8" s="454"/>
      <c r="E8" s="25" t="s">
        <v>1436</v>
      </c>
      <c r="F8" s="5">
        <v>84</v>
      </c>
      <c r="G8" s="5">
        <v>96</v>
      </c>
      <c r="H8" s="440">
        <v>116</v>
      </c>
      <c r="I8" s="441">
        <v>149</v>
      </c>
      <c r="J8" s="442">
        <v>173</v>
      </c>
      <c r="K8" s="5">
        <v>82</v>
      </c>
      <c r="L8" s="440">
        <v>126</v>
      </c>
      <c r="M8" s="435"/>
      <c r="P8" s="436"/>
    </row>
    <row r="9" spans="1:16" ht="15">
      <c r="A9" s="435" t="s">
        <v>1538</v>
      </c>
      <c r="B9" s="434"/>
      <c r="C9" s="642">
        <v>100</v>
      </c>
      <c r="D9" s="17"/>
      <c r="E9" s="25" t="s">
        <v>1438</v>
      </c>
      <c r="F9" s="5">
        <v>45</v>
      </c>
      <c r="G9" s="5">
        <v>-17</v>
      </c>
      <c r="H9" s="440">
        <v>62</v>
      </c>
      <c r="I9" s="441">
        <v>106</v>
      </c>
      <c r="J9" s="442">
        <v>285</v>
      </c>
      <c r="K9" s="5">
        <v>0</v>
      </c>
      <c r="L9" s="440">
        <v>73</v>
      </c>
      <c r="M9" s="435"/>
      <c r="P9" s="436"/>
    </row>
    <row r="10" spans="1:16">
      <c r="A10" s="435"/>
      <c r="B10" s="434"/>
      <c r="C10" s="646"/>
      <c r="D10" s="17"/>
      <c r="E10" s="25" t="s">
        <v>1440</v>
      </c>
      <c r="F10" s="456">
        <v>0.03</v>
      </c>
      <c r="G10" s="457">
        <v>0.21</v>
      </c>
      <c r="H10" s="458">
        <v>0.23</v>
      </c>
      <c r="I10" s="459">
        <v>0</v>
      </c>
      <c r="J10" s="460"/>
      <c r="K10" s="457"/>
      <c r="L10" s="458">
        <v>0.27100000000000002</v>
      </c>
      <c r="M10" s="435"/>
      <c r="P10" s="436"/>
    </row>
    <row r="11" spans="1:16">
      <c r="A11" s="435" t="s">
        <v>1539</v>
      </c>
      <c r="C11" s="457">
        <v>3.2</v>
      </c>
      <c r="D11" s="461"/>
      <c r="E11" s="25" t="s">
        <v>1442</v>
      </c>
      <c r="F11" s="456">
        <v>0.03</v>
      </c>
      <c r="G11" s="462">
        <f>G10/G6</f>
        <v>0.2441860465116279</v>
      </c>
      <c r="H11" s="463">
        <f>H10/H6</f>
        <v>0.26744186046511631</v>
      </c>
      <c r="I11" s="464"/>
      <c r="J11" s="465"/>
      <c r="K11" s="462"/>
      <c r="L11" s="463">
        <f>L10/L6</f>
        <v>0.3304878048780488</v>
      </c>
      <c r="M11" s="435"/>
      <c r="P11" s="436"/>
    </row>
    <row r="12" spans="1:16">
      <c r="A12" s="435" t="s">
        <v>593</v>
      </c>
      <c r="B12" s="457">
        <v>0</v>
      </c>
      <c r="C12" s="466">
        <f>C11+B12</f>
        <v>3.2</v>
      </c>
      <c r="D12" s="17"/>
      <c r="F12" s="467"/>
      <c r="G12" s="18"/>
      <c r="H12" s="18"/>
      <c r="I12" s="468"/>
      <c r="J12" s="18"/>
      <c r="K12" s="18"/>
      <c r="L12" s="18"/>
      <c r="M12" s="435"/>
      <c r="P12" s="436"/>
    </row>
    <row r="13" spans="1:16" ht="15.75">
      <c r="A13" s="469" t="s">
        <v>1540</v>
      </c>
      <c r="B13" s="470"/>
      <c r="C13" s="434"/>
      <c r="D13" s="471"/>
      <c r="E13" s="472" t="s">
        <v>1444</v>
      </c>
      <c r="F13" s="473">
        <v>0</v>
      </c>
      <c r="G13" s="474">
        <v>0</v>
      </c>
      <c r="H13" s="475">
        <v>0</v>
      </c>
      <c r="I13" s="476">
        <v>0</v>
      </c>
      <c r="J13" s="477">
        <v>0.85</v>
      </c>
      <c r="K13" s="474">
        <v>0.1</v>
      </c>
      <c r="L13" s="475">
        <v>0.05</v>
      </c>
      <c r="M13" s="478">
        <f>SUM(F13:L13)</f>
        <v>1</v>
      </c>
      <c r="P13" s="436"/>
    </row>
    <row r="14" spans="1:16">
      <c r="A14" s="479" t="s">
        <v>1445</v>
      </c>
      <c r="B14" s="434" t="s">
        <v>1541</v>
      </c>
      <c r="C14" s="437">
        <v>60</v>
      </c>
      <c r="D14" s="17"/>
      <c r="F14" s="435"/>
      <c r="I14" s="480"/>
      <c r="M14" s="435"/>
      <c r="P14" s="436"/>
    </row>
    <row r="15" spans="1:16">
      <c r="A15" s="435"/>
      <c r="B15" s="434"/>
      <c r="C15" s="646"/>
      <c r="D15" s="17"/>
      <c r="F15" s="435"/>
      <c r="I15" s="480"/>
      <c r="M15" s="481" t="s">
        <v>1447</v>
      </c>
      <c r="P15" s="436"/>
    </row>
    <row r="16" spans="1:16">
      <c r="A16" s="435" t="s">
        <v>1542</v>
      </c>
      <c r="B16" s="434"/>
      <c r="C16" s="647"/>
      <c r="D16" s="17"/>
      <c r="F16" s="435"/>
      <c r="I16" s="480"/>
      <c r="M16" s="481"/>
      <c r="P16" s="436"/>
    </row>
    <row r="17" spans="1:16">
      <c r="A17" s="435" t="s">
        <v>1449</v>
      </c>
      <c r="B17" s="434"/>
      <c r="C17" s="482">
        <f>'Sonnin kasvusimulaattori'!H22</f>
        <v>26</v>
      </c>
      <c r="D17" s="483"/>
      <c r="E17" s="484" t="s">
        <v>1450</v>
      </c>
      <c r="F17" s="485">
        <f>$C$17*F13</f>
        <v>0</v>
      </c>
      <c r="G17" s="486">
        <f t="shared" ref="G17:L17" si="0">$C$17*G13</f>
        <v>0</v>
      </c>
      <c r="H17" s="487">
        <f t="shared" si="0"/>
        <v>0</v>
      </c>
      <c r="I17" s="488">
        <f t="shared" si="0"/>
        <v>0</v>
      </c>
      <c r="J17" s="489">
        <f t="shared" si="0"/>
        <v>22.099999999999998</v>
      </c>
      <c r="K17" s="486">
        <f t="shared" si="0"/>
        <v>2.6</v>
      </c>
      <c r="L17" s="487">
        <f t="shared" si="0"/>
        <v>1.3</v>
      </c>
      <c r="M17" s="490">
        <f t="shared" ref="M17:M23" si="1">SUM(F17:L17)</f>
        <v>26</v>
      </c>
      <c r="N17" s="242">
        <f>M17-C17</f>
        <v>0</v>
      </c>
      <c r="O17" s="188" t="str">
        <f>IF(M17-C17&gt;0,"Ylitys!",IF(M17-C17=0,"Ok","Alitus"))</f>
        <v>Ok</v>
      </c>
      <c r="P17" s="491">
        <f>N17/C17</f>
        <v>0</v>
      </c>
    </row>
    <row r="18" spans="1:16">
      <c r="A18" s="435" t="s">
        <v>1451</v>
      </c>
      <c r="B18" s="434"/>
      <c r="C18" s="437"/>
      <c r="D18" s="17"/>
      <c r="E18" s="25" t="s">
        <v>1452</v>
      </c>
      <c r="F18" s="492">
        <f>F17/F7</f>
        <v>0</v>
      </c>
      <c r="G18" s="59">
        <f t="shared" ref="G18:L18" si="2">G17/G7</f>
        <v>0</v>
      </c>
      <c r="H18" s="59">
        <f t="shared" si="2"/>
        <v>0</v>
      </c>
      <c r="I18" s="493">
        <f t="shared" si="2"/>
        <v>0</v>
      </c>
      <c r="J18" s="59">
        <f t="shared" si="2"/>
        <v>1.6999999999999997</v>
      </c>
      <c r="K18" s="59">
        <f t="shared" si="2"/>
        <v>0.27659574468085107</v>
      </c>
      <c r="L18" s="59">
        <f t="shared" si="2"/>
        <v>0.11111111111111112</v>
      </c>
      <c r="M18" s="494">
        <f t="shared" si="1"/>
        <v>2.087706855791962</v>
      </c>
      <c r="N18" s="242">
        <f>M18-C18</f>
        <v>2.087706855791962</v>
      </c>
      <c r="O18" s="188" t="str">
        <f>IF(M18-C18&gt;0,"Ylitys!",IF(M18-C18=0,"Ok","Alitus"))</f>
        <v>Ylitys!</v>
      </c>
      <c r="P18" s="491" t="e">
        <f>N18/C18</f>
        <v>#DIV/0!</v>
      </c>
    </row>
    <row r="19" spans="1:16">
      <c r="A19" s="435" t="s">
        <v>1453</v>
      </c>
      <c r="B19" s="434"/>
      <c r="C19" s="495">
        <f>C14*C17</f>
        <v>1560</v>
      </c>
      <c r="D19" s="496"/>
      <c r="E19" s="12" t="s">
        <v>1454</v>
      </c>
      <c r="F19" s="497">
        <f t="shared" ref="F19:L19" si="3">F18/F6</f>
        <v>0</v>
      </c>
      <c r="G19" s="186">
        <f t="shared" si="3"/>
        <v>0</v>
      </c>
      <c r="H19" s="186">
        <f t="shared" si="3"/>
        <v>0</v>
      </c>
      <c r="I19" s="498">
        <f t="shared" si="3"/>
        <v>0</v>
      </c>
      <c r="J19" s="186">
        <f t="shared" si="3"/>
        <v>1.9318181818181814</v>
      </c>
      <c r="K19" s="186">
        <f t="shared" si="3"/>
        <v>0.32162295893122217</v>
      </c>
      <c r="L19" s="186">
        <f t="shared" si="3"/>
        <v>0.13550135501355015</v>
      </c>
      <c r="M19" s="494">
        <f t="shared" si="1"/>
        <v>2.3889424957629539</v>
      </c>
      <c r="N19" s="242"/>
      <c r="P19" s="436"/>
    </row>
    <row r="20" spans="1:16">
      <c r="A20" s="435"/>
      <c r="B20" s="434"/>
      <c r="C20" s="499"/>
      <c r="D20" s="500"/>
      <c r="E20" s="25" t="s">
        <v>1455</v>
      </c>
      <c r="F20" s="501">
        <f>F18*$C14</f>
        <v>0</v>
      </c>
      <c r="G20" s="19">
        <f t="shared" ref="G20:L20" si="4">G18*$C14</f>
        <v>0</v>
      </c>
      <c r="H20" s="19">
        <f t="shared" si="4"/>
        <v>0</v>
      </c>
      <c r="I20" s="502">
        <f t="shared" si="4"/>
        <v>0</v>
      </c>
      <c r="J20" s="19">
        <f t="shared" si="4"/>
        <v>101.99999999999999</v>
      </c>
      <c r="K20" s="19">
        <f t="shared" si="4"/>
        <v>16.595744680851066</v>
      </c>
      <c r="L20" s="19">
        <f t="shared" si="4"/>
        <v>6.666666666666667</v>
      </c>
      <c r="M20" s="494">
        <f t="shared" si="1"/>
        <v>125.26241134751773</v>
      </c>
      <c r="N20" s="242"/>
      <c r="P20" s="436"/>
    </row>
    <row r="21" spans="1:16">
      <c r="A21" s="435"/>
      <c r="B21" s="434"/>
      <c r="C21" s="434"/>
      <c r="D21" s="17"/>
      <c r="E21" s="25" t="s">
        <v>1457</v>
      </c>
      <c r="F21" s="501">
        <f>F19*$C$14</f>
        <v>0</v>
      </c>
      <c r="G21" s="19">
        <f t="shared" ref="G21:L21" si="5">G19*$C$14</f>
        <v>0</v>
      </c>
      <c r="H21" s="19">
        <f t="shared" si="5"/>
        <v>0</v>
      </c>
      <c r="I21" s="502">
        <f t="shared" si="5"/>
        <v>0</v>
      </c>
      <c r="J21" s="19">
        <f t="shared" si="5"/>
        <v>115.90909090909089</v>
      </c>
      <c r="K21" s="19">
        <f t="shared" si="5"/>
        <v>19.297377535873331</v>
      </c>
      <c r="L21" s="19">
        <f t="shared" si="5"/>
        <v>8.1300813008130088</v>
      </c>
      <c r="M21" s="494">
        <f t="shared" si="1"/>
        <v>143.33654974577723</v>
      </c>
      <c r="N21" s="242"/>
      <c r="P21" s="436"/>
    </row>
    <row r="22" spans="1:16">
      <c r="A22" s="435" t="s">
        <v>1458</v>
      </c>
      <c r="B22" s="434"/>
      <c r="C22" s="437"/>
      <c r="D22" s="17"/>
      <c r="E22" s="25"/>
      <c r="F22" s="501"/>
      <c r="G22" s="19"/>
      <c r="H22" s="19"/>
      <c r="I22" s="502"/>
      <c r="J22" s="19"/>
      <c r="K22" s="19"/>
      <c r="L22" s="19"/>
      <c r="M22" s="494"/>
      <c r="N22" s="242"/>
      <c r="P22" s="436"/>
    </row>
    <row r="23" spans="1:16">
      <c r="A23" s="435" t="s">
        <v>1459</v>
      </c>
      <c r="B23" s="434"/>
      <c r="C23" s="503">
        <f>AVERAGE('Sonnin kasvusimulaattori'!J21:J22)</f>
        <v>232</v>
      </c>
      <c r="D23" s="504"/>
      <c r="E23" s="505" t="s">
        <v>1460</v>
      </c>
      <c r="F23" s="506">
        <f>F18*F8</f>
        <v>0</v>
      </c>
      <c r="G23" s="507">
        <f t="shared" ref="G23:L23" si="6">G18*G8</f>
        <v>0</v>
      </c>
      <c r="H23" s="508">
        <f t="shared" si="6"/>
        <v>0</v>
      </c>
      <c r="I23" s="509">
        <f t="shared" si="6"/>
        <v>0</v>
      </c>
      <c r="J23" s="510">
        <f t="shared" si="6"/>
        <v>294.09999999999997</v>
      </c>
      <c r="K23" s="507">
        <f t="shared" si="6"/>
        <v>22.680851063829788</v>
      </c>
      <c r="L23" s="508">
        <f t="shared" si="6"/>
        <v>14.000000000000002</v>
      </c>
      <c r="M23" s="511">
        <f t="shared" si="1"/>
        <v>330.78085106382974</v>
      </c>
      <c r="N23" s="242">
        <f>M23-C23</f>
        <v>98.780851063829743</v>
      </c>
      <c r="O23" s="188" t="str">
        <f>IF(M23-C23&gt;0,"Ylitys!",IF(M23-C23=0,"Ok","Alitus"))</f>
        <v>Ylitys!</v>
      </c>
      <c r="P23" s="491">
        <f>N23/C23</f>
        <v>0.42577953044754202</v>
      </c>
    </row>
    <row r="24" spans="1:16">
      <c r="A24" s="512" t="s">
        <v>1461</v>
      </c>
      <c r="B24" s="513"/>
      <c r="C24" s="514">
        <f>C23*C14</f>
        <v>13920</v>
      </c>
      <c r="D24" s="515"/>
      <c r="E24" s="516"/>
      <c r="F24" s="517"/>
      <c r="G24" s="518"/>
      <c r="H24" s="518"/>
      <c r="I24" s="519"/>
      <c r="J24" s="518"/>
      <c r="K24" s="518"/>
      <c r="L24" s="518"/>
      <c r="M24" s="520"/>
      <c r="N24" s="521"/>
      <c r="P24" s="436"/>
    </row>
    <row r="25" spans="1:16">
      <c r="A25" s="435"/>
      <c r="B25" s="434"/>
      <c r="C25" s="434"/>
      <c r="D25" s="17"/>
      <c r="F25" s="435"/>
      <c r="I25" s="480"/>
      <c r="M25" s="492"/>
      <c r="N25" s="521"/>
      <c r="P25" s="436"/>
    </row>
    <row r="26" spans="1:16" ht="15.75">
      <c r="A26" s="469" t="s">
        <v>1543</v>
      </c>
      <c r="B26" s="470"/>
      <c r="C26" s="470"/>
      <c r="D26" s="471"/>
      <c r="E26" s="522" t="s">
        <v>1463</v>
      </c>
      <c r="F26" s="473">
        <v>0.5</v>
      </c>
      <c r="G26" s="474">
        <v>0.5</v>
      </c>
      <c r="H26" s="475">
        <v>0</v>
      </c>
      <c r="I26" s="476">
        <v>0</v>
      </c>
      <c r="J26" s="477">
        <v>0</v>
      </c>
      <c r="K26" s="474">
        <v>0</v>
      </c>
      <c r="L26" s="475">
        <v>0</v>
      </c>
      <c r="M26" s="478">
        <f>SUM(F26:L26)</f>
        <v>1</v>
      </c>
      <c r="N26" s="521"/>
      <c r="P26" s="436"/>
    </row>
    <row r="27" spans="1:16">
      <c r="A27" s="479" t="s">
        <v>1445</v>
      </c>
      <c r="B27" s="648" t="s">
        <v>1544</v>
      </c>
      <c r="C27" s="649">
        <v>90</v>
      </c>
      <c r="D27" s="17"/>
      <c r="F27" s="435"/>
      <c r="I27" s="480"/>
      <c r="M27" s="435"/>
      <c r="N27" s="521"/>
      <c r="P27" s="436"/>
    </row>
    <row r="28" spans="1:16">
      <c r="A28" s="435"/>
      <c r="B28" s="434"/>
      <c r="C28" s="523"/>
      <c r="D28" s="17"/>
      <c r="F28" s="435"/>
      <c r="I28" s="480"/>
      <c r="M28" s="435"/>
      <c r="N28" s="521"/>
      <c r="P28" s="436"/>
    </row>
    <row r="29" spans="1:16">
      <c r="A29" s="435"/>
      <c r="B29" s="434"/>
      <c r="C29" s="437"/>
      <c r="D29" s="17"/>
      <c r="F29" s="435"/>
      <c r="I29" s="480"/>
      <c r="M29" s="435"/>
      <c r="N29" s="521"/>
      <c r="P29" s="436"/>
    </row>
    <row r="30" spans="1:16">
      <c r="A30" s="435" t="s">
        <v>1464</v>
      </c>
      <c r="B30" s="434"/>
      <c r="C30" s="482">
        <f>'Sonnin kasvusimulaattori'!H25</f>
        <v>82</v>
      </c>
      <c r="D30" s="483"/>
      <c r="E30" s="484" t="s">
        <v>1450</v>
      </c>
      <c r="F30" s="485">
        <f>$C$30*F26</f>
        <v>41</v>
      </c>
      <c r="G30" s="486">
        <f t="shared" ref="G30:L30" si="7">$C$30*G26</f>
        <v>41</v>
      </c>
      <c r="H30" s="487">
        <f t="shared" si="7"/>
        <v>0</v>
      </c>
      <c r="I30" s="488">
        <f t="shared" si="7"/>
        <v>0</v>
      </c>
      <c r="J30" s="489">
        <f t="shared" si="7"/>
        <v>0</v>
      </c>
      <c r="K30" s="486">
        <f t="shared" si="7"/>
        <v>0</v>
      </c>
      <c r="L30" s="487">
        <f t="shared" si="7"/>
        <v>0</v>
      </c>
      <c r="M30" s="490">
        <f t="shared" ref="M30:M36" si="8">SUM(F30:L30)</f>
        <v>82</v>
      </c>
      <c r="N30" s="242">
        <f>M30-C30</f>
        <v>0</v>
      </c>
      <c r="O30" s="188" t="str">
        <f>IF(M30-C30&gt;0,"Ylitys!",IF(M30-C30=0,"Ok","Alitus"))</f>
        <v>Ok</v>
      </c>
      <c r="P30" s="491">
        <f>N30/C30</f>
        <v>0</v>
      </c>
    </row>
    <row r="31" spans="1:16">
      <c r="A31" s="435" t="s">
        <v>1451</v>
      </c>
      <c r="B31" s="434"/>
      <c r="C31" s="437">
        <v>1</v>
      </c>
      <c r="D31" s="17"/>
      <c r="E31" s="25" t="s">
        <v>1452</v>
      </c>
      <c r="F31" s="492">
        <f t="shared" ref="F31:L31" si="9">F30/F7</f>
        <v>3.7683823529411762</v>
      </c>
      <c r="G31" s="59">
        <f t="shared" si="9"/>
        <v>3.1782945736434107</v>
      </c>
      <c r="H31" s="59">
        <f t="shared" si="9"/>
        <v>0</v>
      </c>
      <c r="I31" s="493">
        <f t="shared" si="9"/>
        <v>0</v>
      </c>
      <c r="J31" s="59">
        <f t="shared" si="9"/>
        <v>0</v>
      </c>
      <c r="K31" s="59">
        <f t="shared" si="9"/>
        <v>0</v>
      </c>
      <c r="L31" s="59">
        <f t="shared" si="9"/>
        <v>0</v>
      </c>
      <c r="M31" s="494">
        <f t="shared" si="8"/>
        <v>6.9466769265845869</v>
      </c>
      <c r="N31" s="242">
        <f>M31-C31</f>
        <v>5.9466769265845869</v>
      </c>
      <c r="O31" s="188" t="str">
        <f>IF(M31-C31&gt;0,"Ylitys!",IF(M31-C31=0,"Ok","Alitus"))</f>
        <v>Ylitys!</v>
      </c>
      <c r="P31" s="491">
        <f>N31/C31</f>
        <v>5.9466769265845869</v>
      </c>
    </row>
    <row r="32" spans="1:16">
      <c r="A32" s="435" t="s">
        <v>1465</v>
      </c>
      <c r="B32" s="434"/>
      <c r="C32" s="495">
        <f>C27*C30</f>
        <v>7380</v>
      </c>
      <c r="D32" s="496"/>
      <c r="E32" s="12" t="s">
        <v>1454</v>
      </c>
      <c r="F32" s="497">
        <f t="shared" ref="F32:L32" si="10">F31/F6</f>
        <v>13.956971677559912</v>
      </c>
      <c r="G32" s="186">
        <f t="shared" si="10"/>
        <v>3.6956913647016405</v>
      </c>
      <c r="H32" s="186">
        <f t="shared" si="10"/>
        <v>0</v>
      </c>
      <c r="I32" s="498">
        <f t="shared" si="10"/>
        <v>0</v>
      </c>
      <c r="J32" s="186">
        <f t="shared" si="10"/>
        <v>0</v>
      </c>
      <c r="K32" s="186">
        <f t="shared" si="10"/>
        <v>0</v>
      </c>
      <c r="L32" s="186">
        <f t="shared" si="10"/>
        <v>0</v>
      </c>
      <c r="M32" s="494">
        <f t="shared" si="8"/>
        <v>17.652663042261551</v>
      </c>
      <c r="N32" s="242"/>
      <c r="P32" s="436"/>
    </row>
    <row r="33" spans="1:16">
      <c r="A33" s="435"/>
      <c r="B33" s="434"/>
      <c r="C33" s="499"/>
      <c r="D33" s="500"/>
      <c r="E33" s="25" t="s">
        <v>1455</v>
      </c>
      <c r="F33" s="501">
        <f>F31*$C$41</f>
        <v>565.25735294117646</v>
      </c>
      <c r="G33" s="19">
        <f t="shared" ref="G33:L34" si="11">G31*$C$27</f>
        <v>286.04651162790697</v>
      </c>
      <c r="H33" s="19">
        <f t="shared" si="11"/>
        <v>0</v>
      </c>
      <c r="I33" s="502">
        <f t="shared" si="11"/>
        <v>0</v>
      </c>
      <c r="J33" s="19">
        <f t="shared" si="11"/>
        <v>0</v>
      </c>
      <c r="K33" s="19">
        <f t="shared" si="11"/>
        <v>0</v>
      </c>
      <c r="L33" s="19">
        <f t="shared" si="11"/>
        <v>0</v>
      </c>
      <c r="M33" s="494">
        <f t="shared" si="8"/>
        <v>851.30386456908343</v>
      </c>
      <c r="N33" s="242"/>
      <c r="P33" s="436"/>
    </row>
    <row r="34" spans="1:16">
      <c r="A34" s="435"/>
      <c r="B34" s="434"/>
      <c r="C34" s="434"/>
      <c r="D34" s="17"/>
      <c r="E34" s="25" t="s">
        <v>1457</v>
      </c>
      <c r="F34" s="501">
        <f>F32*$C$27</f>
        <v>1256.127450980392</v>
      </c>
      <c r="G34" s="19">
        <f t="shared" si="11"/>
        <v>332.61222282314765</v>
      </c>
      <c r="H34" s="19">
        <f t="shared" si="11"/>
        <v>0</v>
      </c>
      <c r="I34" s="502">
        <f t="shared" si="11"/>
        <v>0</v>
      </c>
      <c r="J34" s="19">
        <f t="shared" si="11"/>
        <v>0</v>
      </c>
      <c r="K34" s="19">
        <f t="shared" si="11"/>
        <v>0</v>
      </c>
      <c r="L34" s="19">
        <f t="shared" si="11"/>
        <v>0</v>
      </c>
      <c r="M34" s="494">
        <f t="shared" si="8"/>
        <v>1588.7396738035397</v>
      </c>
      <c r="N34" s="242"/>
      <c r="P34" s="436"/>
    </row>
    <row r="35" spans="1:16">
      <c r="A35" s="435"/>
      <c r="B35" s="434"/>
      <c r="C35" s="437"/>
      <c r="D35" s="17"/>
      <c r="E35" s="25"/>
      <c r="F35" s="501"/>
      <c r="G35" s="19"/>
      <c r="H35" s="19"/>
      <c r="I35" s="502"/>
      <c r="J35" s="19"/>
      <c r="K35" s="19"/>
      <c r="L35" s="19"/>
      <c r="M35" s="494"/>
      <c r="N35" s="242"/>
      <c r="P35" s="436"/>
    </row>
    <row r="36" spans="1:16">
      <c r="A36" s="435" t="s">
        <v>1459</v>
      </c>
      <c r="B36" s="434"/>
      <c r="C36" s="524">
        <f>AVERAGE('Sonnin kasvusimulaattori'!J21:'Sonnin kasvusimulaattori'!J25)</f>
        <v>319</v>
      </c>
      <c r="D36" s="525"/>
      <c r="E36" s="526" t="s">
        <v>1460</v>
      </c>
      <c r="F36" s="527">
        <f t="shared" ref="F36:L36" si="12">F31*F8</f>
        <v>316.54411764705878</v>
      </c>
      <c r="G36" s="528">
        <f t="shared" si="12"/>
        <v>305.11627906976742</v>
      </c>
      <c r="H36" s="529">
        <f t="shared" si="12"/>
        <v>0</v>
      </c>
      <c r="I36" s="530">
        <f t="shared" si="12"/>
        <v>0</v>
      </c>
      <c r="J36" s="531">
        <f t="shared" si="12"/>
        <v>0</v>
      </c>
      <c r="K36" s="528">
        <f t="shared" si="12"/>
        <v>0</v>
      </c>
      <c r="L36" s="529">
        <f t="shared" si="12"/>
        <v>0</v>
      </c>
      <c r="M36" s="511">
        <f t="shared" si="8"/>
        <v>621.6603967168262</v>
      </c>
      <c r="N36" s="242">
        <f>M36-C36</f>
        <v>302.6603967168262</v>
      </c>
      <c r="O36" s="188" t="str">
        <f>IF(M36-C36&gt;0,"Ylitys!",IF(M36-C36=0,"Ok","Alitus"))</f>
        <v>Ylitys!</v>
      </c>
      <c r="P36" s="491">
        <f>N36/C36</f>
        <v>0.94877867309349906</v>
      </c>
    </row>
    <row r="37" spans="1:16">
      <c r="A37" s="435" t="s">
        <v>1461</v>
      </c>
      <c r="B37" s="434"/>
      <c r="C37" s="499">
        <f>C36*C27</f>
        <v>28710</v>
      </c>
      <c r="D37" s="500"/>
      <c r="E37" s="25"/>
      <c r="F37" s="532"/>
      <c r="G37" s="7"/>
      <c r="H37" s="7"/>
      <c r="I37" s="533"/>
      <c r="J37" s="7"/>
      <c r="K37" s="7"/>
      <c r="L37" s="7"/>
      <c r="M37" s="520"/>
      <c r="N37" s="521"/>
      <c r="P37" s="436"/>
    </row>
    <row r="38" spans="1:16">
      <c r="A38" s="512"/>
      <c r="B38" s="513"/>
      <c r="C38" s="513"/>
      <c r="D38" s="534"/>
      <c r="E38" s="516"/>
      <c r="F38" s="512"/>
      <c r="G38" s="163"/>
      <c r="H38" s="163"/>
      <c r="I38" s="535"/>
      <c r="J38" s="163"/>
      <c r="K38" s="163"/>
      <c r="L38" s="163"/>
      <c r="M38" s="435"/>
      <c r="N38" s="521"/>
      <c r="P38" s="436"/>
    </row>
    <row r="39" spans="1:16">
      <c r="A39" s="435"/>
      <c r="B39" s="434"/>
      <c r="C39" s="434"/>
      <c r="D39" s="17"/>
      <c r="E39" s="25"/>
      <c r="F39" s="478"/>
      <c r="G39" s="536"/>
      <c r="H39" s="536"/>
      <c r="I39" s="537"/>
      <c r="J39" s="536"/>
      <c r="K39" s="536"/>
      <c r="L39" s="536"/>
      <c r="M39" s="478"/>
      <c r="N39" s="521"/>
      <c r="P39" s="436"/>
    </row>
    <row r="40" spans="1:16" ht="15.75">
      <c r="A40" s="469" t="s">
        <v>1545</v>
      </c>
      <c r="B40" s="470"/>
      <c r="C40" s="470"/>
      <c r="D40" s="471"/>
      <c r="E40" s="522" t="s">
        <v>1463</v>
      </c>
      <c r="F40" s="473">
        <v>1</v>
      </c>
      <c r="G40" s="474">
        <v>0</v>
      </c>
      <c r="H40" s="475">
        <v>0</v>
      </c>
      <c r="I40" s="476">
        <v>0</v>
      </c>
      <c r="J40" s="477">
        <v>0</v>
      </c>
      <c r="K40" s="538">
        <v>0</v>
      </c>
      <c r="L40" s="539">
        <v>0</v>
      </c>
      <c r="M40" s="478">
        <f>SUM(F40:L40)</f>
        <v>1</v>
      </c>
      <c r="N40" s="521"/>
      <c r="P40" s="436"/>
    </row>
    <row r="41" spans="1:16">
      <c r="A41" s="479" t="s">
        <v>1445</v>
      </c>
      <c r="B41" s="648" t="s">
        <v>1546</v>
      </c>
      <c r="C41" s="437">
        <v>150</v>
      </c>
      <c r="D41" s="17"/>
      <c r="F41" s="435"/>
      <c r="I41" s="480"/>
      <c r="M41" s="435"/>
      <c r="N41" s="521"/>
      <c r="P41" s="436"/>
    </row>
    <row r="42" spans="1:16">
      <c r="A42" s="435"/>
      <c r="B42" s="434"/>
      <c r="C42" s="523">
        <v>0</v>
      </c>
      <c r="D42" s="17"/>
      <c r="F42" s="435"/>
      <c r="I42" s="480"/>
      <c r="M42" s="435"/>
      <c r="N42" s="521"/>
      <c r="P42" s="436"/>
    </row>
    <row r="43" spans="1:16">
      <c r="A43" s="435" t="s">
        <v>1464</v>
      </c>
      <c r="B43" s="434"/>
      <c r="C43" s="482">
        <f>AVERAGE('Sonnin kasvusimulaattori'!H26:H30)</f>
        <v>91.6</v>
      </c>
      <c r="D43" s="483"/>
      <c r="E43" s="484" t="s">
        <v>1450</v>
      </c>
      <c r="F43" s="485">
        <f t="shared" ref="F43:L43" si="13">$C$43*F40</f>
        <v>91.6</v>
      </c>
      <c r="G43" s="486">
        <f t="shared" si="13"/>
        <v>0</v>
      </c>
      <c r="H43" s="487">
        <f t="shared" si="13"/>
        <v>0</v>
      </c>
      <c r="I43" s="488">
        <f t="shared" si="13"/>
        <v>0</v>
      </c>
      <c r="J43" s="489">
        <f t="shared" si="13"/>
        <v>0</v>
      </c>
      <c r="K43" s="486">
        <f t="shared" si="13"/>
        <v>0</v>
      </c>
      <c r="L43" s="487">
        <f t="shared" si="13"/>
        <v>0</v>
      </c>
      <c r="M43" s="490">
        <f t="shared" ref="M43:M48" si="14">SUM(F43:L43)</f>
        <v>91.6</v>
      </c>
      <c r="N43" s="243">
        <f>M43-C43</f>
        <v>0</v>
      </c>
      <c r="O43" s="188" t="str">
        <f>IF(M43-C43&gt;0,"Ylitys!",IF(M43-C43=0,"Ok","Alitus"))</f>
        <v>Ok</v>
      </c>
      <c r="P43" s="491">
        <f>N43/C43</f>
        <v>0</v>
      </c>
    </row>
    <row r="44" spans="1:16">
      <c r="A44" s="435" t="s">
        <v>1451</v>
      </c>
      <c r="B44" s="434"/>
      <c r="C44" s="437"/>
      <c r="D44" s="17"/>
      <c r="E44" s="25" t="s">
        <v>1452</v>
      </c>
      <c r="F44" s="492">
        <f t="shared" ref="F44:L44" si="15">F43/F7</f>
        <v>8.4191176470588225</v>
      </c>
      <c r="G44" s="59">
        <f t="shared" si="15"/>
        <v>0</v>
      </c>
      <c r="H44" s="59">
        <f t="shared" si="15"/>
        <v>0</v>
      </c>
      <c r="I44" s="493">
        <f t="shared" si="15"/>
        <v>0</v>
      </c>
      <c r="J44" s="59">
        <f t="shared" si="15"/>
        <v>0</v>
      </c>
      <c r="K44" s="59">
        <f t="shared" si="15"/>
        <v>0</v>
      </c>
      <c r="L44" s="59">
        <f t="shared" si="15"/>
        <v>0</v>
      </c>
      <c r="M44" s="494">
        <f t="shared" si="14"/>
        <v>8.4191176470588225</v>
      </c>
      <c r="N44" s="243">
        <f>M44-C44</f>
        <v>8.4191176470588225</v>
      </c>
      <c r="O44" s="188" t="str">
        <f>IF(M44-C44&gt;0,"Ylitys!",IF(M44-C44=0,"Ok","Alitus"))</f>
        <v>Ylitys!</v>
      </c>
      <c r="P44" s="491" t="e">
        <f>N44/C44</f>
        <v>#DIV/0!</v>
      </c>
    </row>
    <row r="45" spans="1:16">
      <c r="A45" s="435" t="s">
        <v>1465</v>
      </c>
      <c r="B45" s="434"/>
      <c r="C45" s="495">
        <f>C41*C43</f>
        <v>13740</v>
      </c>
      <c r="D45" s="496"/>
      <c r="E45" s="12" t="s">
        <v>1454</v>
      </c>
      <c r="F45" s="497">
        <f t="shared" ref="F45:L45" si="16">F44/F6</f>
        <v>31.181917211328969</v>
      </c>
      <c r="G45" s="186">
        <f t="shared" si="16"/>
        <v>0</v>
      </c>
      <c r="H45" s="186">
        <f t="shared" si="16"/>
        <v>0</v>
      </c>
      <c r="I45" s="498">
        <f t="shared" si="16"/>
        <v>0</v>
      </c>
      <c r="J45" s="186">
        <f t="shared" si="16"/>
        <v>0</v>
      </c>
      <c r="K45" s="186">
        <f t="shared" si="16"/>
        <v>0</v>
      </c>
      <c r="L45" s="186">
        <f t="shared" si="16"/>
        <v>0</v>
      </c>
      <c r="M45" s="494">
        <f t="shared" si="14"/>
        <v>31.181917211328969</v>
      </c>
      <c r="N45" s="243"/>
      <c r="P45" s="436"/>
    </row>
    <row r="46" spans="1:16">
      <c r="A46" s="435"/>
      <c r="B46" s="434"/>
      <c r="C46" s="499"/>
      <c r="D46" s="500"/>
      <c r="E46" s="25" t="s">
        <v>1455</v>
      </c>
      <c r="F46" s="501">
        <f>F44*$C$41</f>
        <v>1262.8676470588234</v>
      </c>
      <c r="G46" s="19">
        <f t="shared" ref="G46:L47" si="17">G44*$C$41</f>
        <v>0</v>
      </c>
      <c r="H46" s="19">
        <f t="shared" si="17"/>
        <v>0</v>
      </c>
      <c r="I46" s="502">
        <f t="shared" si="17"/>
        <v>0</v>
      </c>
      <c r="J46" s="19">
        <f t="shared" si="17"/>
        <v>0</v>
      </c>
      <c r="K46" s="19">
        <f t="shared" si="17"/>
        <v>0</v>
      </c>
      <c r="L46" s="19">
        <f t="shared" si="17"/>
        <v>0</v>
      </c>
      <c r="M46" s="494">
        <f t="shared" si="14"/>
        <v>1262.8676470588234</v>
      </c>
      <c r="N46" s="243"/>
      <c r="P46" s="436"/>
    </row>
    <row r="47" spans="1:16">
      <c r="A47" s="435"/>
      <c r="B47" s="434"/>
      <c r="C47" s="434"/>
      <c r="D47" s="17"/>
      <c r="E47" s="25" t="s">
        <v>1457</v>
      </c>
      <c r="F47" s="501">
        <f>F45*$C$41</f>
        <v>4677.2875816993455</v>
      </c>
      <c r="G47" s="19">
        <f t="shared" si="17"/>
        <v>0</v>
      </c>
      <c r="H47" s="19">
        <f t="shared" si="17"/>
        <v>0</v>
      </c>
      <c r="I47" s="502">
        <f t="shared" si="17"/>
        <v>0</v>
      </c>
      <c r="J47" s="19">
        <f t="shared" si="17"/>
        <v>0</v>
      </c>
      <c r="K47" s="19">
        <f t="shared" si="17"/>
        <v>0</v>
      </c>
      <c r="L47" s="19">
        <f t="shared" si="17"/>
        <v>0</v>
      </c>
      <c r="M47" s="494">
        <f t="shared" si="14"/>
        <v>4677.2875816993455</v>
      </c>
      <c r="N47" s="243"/>
      <c r="P47" s="436"/>
    </row>
    <row r="48" spans="1:16">
      <c r="A48" s="435" t="s">
        <v>1459</v>
      </c>
      <c r="B48" s="434"/>
      <c r="C48" s="503">
        <v>0.01</v>
      </c>
      <c r="D48" s="504"/>
      <c r="E48" s="505" t="s">
        <v>1460</v>
      </c>
      <c r="F48" s="506">
        <f t="shared" ref="F48:L48" si="18">F44*F8</f>
        <v>707.2058823529411</v>
      </c>
      <c r="G48" s="507">
        <f t="shared" si="18"/>
        <v>0</v>
      </c>
      <c r="H48" s="508">
        <f t="shared" si="18"/>
        <v>0</v>
      </c>
      <c r="I48" s="509">
        <f t="shared" si="18"/>
        <v>0</v>
      </c>
      <c r="J48" s="510">
        <f t="shared" si="18"/>
        <v>0</v>
      </c>
      <c r="K48" s="507">
        <f t="shared" si="18"/>
        <v>0</v>
      </c>
      <c r="L48" s="508">
        <f t="shared" si="18"/>
        <v>0</v>
      </c>
      <c r="M48" s="511">
        <f t="shared" si="14"/>
        <v>707.2058823529411</v>
      </c>
      <c r="N48" s="243">
        <f>M48-C48</f>
        <v>707.19588235294111</v>
      </c>
      <c r="O48" s="188" t="str">
        <f>IF(M48-C48&gt;0,"Ylitys!",IF(M48-C48=0,"Ok","Alitus"))</f>
        <v>Ylitys!</v>
      </c>
      <c r="P48" s="491">
        <f>N48/C48</f>
        <v>70719.588235294112</v>
      </c>
    </row>
    <row r="49" spans="1:16">
      <c r="A49" s="435" t="s">
        <v>1461</v>
      </c>
      <c r="B49" s="434"/>
      <c r="C49" s="499">
        <f>C48*C41</f>
        <v>1.5</v>
      </c>
      <c r="D49" s="500"/>
      <c r="E49" s="25"/>
      <c r="F49" s="532"/>
      <c r="G49" s="7"/>
      <c r="H49" s="7"/>
      <c r="I49" s="533"/>
      <c r="J49" s="7"/>
      <c r="K49" s="7"/>
      <c r="L49" s="7"/>
      <c r="M49" s="520"/>
      <c r="N49" s="521"/>
      <c r="P49" s="436"/>
    </row>
    <row r="50" spans="1:16">
      <c r="A50" s="512"/>
      <c r="B50" s="513"/>
      <c r="C50" s="514"/>
      <c r="D50" s="515"/>
      <c r="E50" s="516"/>
      <c r="F50" s="540"/>
      <c r="G50" s="541"/>
      <c r="H50" s="541"/>
      <c r="I50" s="542"/>
      <c r="J50" s="541"/>
      <c r="K50" s="541"/>
      <c r="L50" s="541"/>
      <c r="M50" s="520"/>
      <c r="N50" s="426"/>
      <c r="P50" s="436"/>
    </row>
    <row r="51" spans="1:16">
      <c r="A51" s="435"/>
      <c r="B51" s="434"/>
      <c r="C51" s="499"/>
      <c r="D51" s="500"/>
      <c r="F51" s="435"/>
      <c r="I51" s="480"/>
      <c r="M51" s="492"/>
      <c r="N51" s="521"/>
      <c r="P51" s="436"/>
    </row>
    <row r="52" spans="1:16" ht="15.75">
      <c r="A52" s="469" t="s">
        <v>1547</v>
      </c>
      <c r="B52" s="543"/>
      <c r="C52" s="470"/>
      <c r="D52" s="471"/>
      <c r="E52" s="522" t="s">
        <v>1463</v>
      </c>
      <c r="F52" s="473">
        <v>1</v>
      </c>
      <c r="G52" s="474">
        <v>0</v>
      </c>
      <c r="H52" s="475">
        <v>0</v>
      </c>
      <c r="I52" s="476">
        <v>0</v>
      </c>
      <c r="J52" s="477">
        <v>0</v>
      </c>
      <c r="K52" s="538">
        <v>0</v>
      </c>
      <c r="L52" s="539">
        <v>0</v>
      </c>
      <c r="M52" s="478">
        <f>SUM(F52:L52)</f>
        <v>1</v>
      </c>
      <c r="N52" s="521"/>
      <c r="P52" s="436"/>
    </row>
    <row r="53" spans="1:16">
      <c r="A53" s="479" t="s">
        <v>1445</v>
      </c>
      <c r="B53" s="648" t="s">
        <v>1548</v>
      </c>
      <c r="C53" s="437">
        <v>180</v>
      </c>
      <c r="D53" s="17"/>
      <c r="F53" s="435"/>
      <c r="I53" s="480"/>
      <c r="M53" s="435"/>
      <c r="N53" s="521"/>
      <c r="P53" s="436"/>
    </row>
    <row r="54" spans="1:16">
      <c r="A54" s="435"/>
      <c r="B54" s="434"/>
      <c r="C54" s="523"/>
      <c r="D54" s="17"/>
      <c r="F54" s="435"/>
      <c r="I54" s="480"/>
      <c r="M54" s="435"/>
      <c r="N54" s="521"/>
      <c r="P54" s="436"/>
    </row>
    <row r="55" spans="1:16">
      <c r="A55" s="435" t="s">
        <v>1464</v>
      </c>
      <c r="B55" s="434"/>
      <c r="C55" s="482">
        <f>AVERAGE('Sonnin kasvusimulaattori'!H31:H36)</f>
        <v>92.5</v>
      </c>
      <c r="D55" s="483"/>
      <c r="E55" s="484" t="s">
        <v>1450</v>
      </c>
      <c r="F55" s="485">
        <f>$C$55*F52</f>
        <v>92.5</v>
      </c>
      <c r="G55" s="486">
        <f t="shared" ref="G55:L55" si="19">$C$55*G52</f>
        <v>0</v>
      </c>
      <c r="H55" s="487">
        <f t="shared" si="19"/>
        <v>0</v>
      </c>
      <c r="I55" s="488">
        <f t="shared" si="19"/>
        <v>0</v>
      </c>
      <c r="J55" s="489">
        <f t="shared" si="19"/>
        <v>0</v>
      </c>
      <c r="K55" s="486">
        <f t="shared" si="19"/>
        <v>0</v>
      </c>
      <c r="L55" s="487">
        <f t="shared" si="19"/>
        <v>0</v>
      </c>
      <c r="M55" s="490">
        <f t="shared" ref="M55:M60" si="20">SUM(F55:L55)</f>
        <v>92.5</v>
      </c>
      <c r="N55" s="243">
        <f>M55-C55</f>
        <v>0</v>
      </c>
      <c r="O55" s="188" t="str">
        <f>IF(M55-C55&gt;0,"Ylitys!",IF(M55-C55=0,"Ok","Alitus"))</f>
        <v>Ok</v>
      </c>
      <c r="P55" s="491">
        <f>N55/C55</f>
        <v>0</v>
      </c>
    </row>
    <row r="56" spans="1:16">
      <c r="A56" s="435" t="s">
        <v>1451</v>
      </c>
      <c r="B56" s="434"/>
      <c r="C56" s="437"/>
      <c r="D56" s="17"/>
      <c r="E56" s="25" t="s">
        <v>1452</v>
      </c>
      <c r="F56" s="492">
        <f t="shared" ref="F56:L56" si="21">F55/F7</f>
        <v>8.5018382352941178</v>
      </c>
      <c r="G56" s="59">
        <f t="shared" si="21"/>
        <v>0</v>
      </c>
      <c r="H56" s="59">
        <f t="shared" si="21"/>
        <v>0</v>
      </c>
      <c r="I56" s="493">
        <f t="shared" si="21"/>
        <v>0</v>
      </c>
      <c r="J56" s="59">
        <f t="shared" si="21"/>
        <v>0</v>
      </c>
      <c r="K56" s="59">
        <f t="shared" si="21"/>
        <v>0</v>
      </c>
      <c r="L56" s="59">
        <f t="shared" si="21"/>
        <v>0</v>
      </c>
      <c r="M56" s="494">
        <f t="shared" si="20"/>
        <v>8.5018382352941178</v>
      </c>
      <c r="N56" s="243">
        <f>M56-C56</f>
        <v>8.5018382352941178</v>
      </c>
      <c r="O56" s="188" t="str">
        <f>IF(M56-C56&gt;0,"Ylitys!",IF(M56-C56=0,"Ok","Alitus"))</f>
        <v>Ylitys!</v>
      </c>
      <c r="P56" s="491" t="e">
        <f>N56/C56</f>
        <v>#DIV/0!</v>
      </c>
    </row>
    <row r="57" spans="1:16">
      <c r="A57" s="435" t="s">
        <v>1465</v>
      </c>
      <c r="B57" s="434"/>
      <c r="C57" s="495">
        <f>C53*C55</f>
        <v>16650</v>
      </c>
      <c r="D57" s="496"/>
      <c r="E57" s="12" t="s">
        <v>1454</v>
      </c>
      <c r="F57" s="497">
        <f t="shared" ref="F57:L57" si="22">F56/F6</f>
        <v>31.488289760348582</v>
      </c>
      <c r="G57" s="186">
        <f t="shared" si="22"/>
        <v>0</v>
      </c>
      <c r="H57" s="186">
        <f t="shared" si="22"/>
        <v>0</v>
      </c>
      <c r="I57" s="498">
        <f t="shared" si="22"/>
        <v>0</v>
      </c>
      <c r="J57" s="186">
        <f t="shared" si="22"/>
        <v>0</v>
      </c>
      <c r="K57" s="186">
        <f t="shared" si="22"/>
        <v>0</v>
      </c>
      <c r="L57" s="186">
        <f t="shared" si="22"/>
        <v>0</v>
      </c>
      <c r="M57" s="494">
        <f t="shared" si="20"/>
        <v>31.488289760348582</v>
      </c>
      <c r="N57" s="243"/>
      <c r="P57" s="436"/>
    </row>
    <row r="58" spans="1:16">
      <c r="A58" s="435"/>
      <c r="B58" s="434"/>
      <c r="C58" s="499"/>
      <c r="D58" s="500"/>
      <c r="E58" s="25" t="s">
        <v>1455</v>
      </c>
      <c r="F58" s="501">
        <f>F56*$C$53</f>
        <v>1530.3308823529412</v>
      </c>
      <c r="G58" s="19">
        <f t="shared" ref="G58:L59" si="23">G56*$C$53</f>
        <v>0</v>
      </c>
      <c r="H58" s="19">
        <f t="shared" si="23"/>
        <v>0</v>
      </c>
      <c r="I58" s="502">
        <f t="shared" si="23"/>
        <v>0</v>
      </c>
      <c r="J58" s="19">
        <f t="shared" si="23"/>
        <v>0</v>
      </c>
      <c r="K58" s="19">
        <f t="shared" si="23"/>
        <v>0</v>
      </c>
      <c r="L58" s="19">
        <f t="shared" si="23"/>
        <v>0</v>
      </c>
      <c r="M58" s="494">
        <f t="shared" si="20"/>
        <v>1530.3308823529412</v>
      </c>
      <c r="N58" s="243"/>
      <c r="P58" s="436"/>
    </row>
    <row r="59" spans="1:16">
      <c r="A59" s="435"/>
      <c r="B59" s="434"/>
      <c r="C59" s="434"/>
      <c r="D59" s="17"/>
      <c r="E59" s="25" t="s">
        <v>1457</v>
      </c>
      <c r="F59" s="501">
        <f>F57*$C$53</f>
        <v>5667.8921568627447</v>
      </c>
      <c r="G59" s="19">
        <f t="shared" si="23"/>
        <v>0</v>
      </c>
      <c r="H59" s="19">
        <f t="shared" si="23"/>
        <v>0</v>
      </c>
      <c r="I59" s="502">
        <f t="shared" si="23"/>
        <v>0</v>
      </c>
      <c r="J59" s="19">
        <f t="shared" si="23"/>
        <v>0</v>
      </c>
      <c r="K59" s="19">
        <f t="shared" si="23"/>
        <v>0</v>
      </c>
      <c r="L59" s="19">
        <f t="shared" si="23"/>
        <v>0</v>
      </c>
      <c r="M59" s="494">
        <f t="shared" si="20"/>
        <v>5667.8921568627447</v>
      </c>
      <c r="N59" s="243"/>
      <c r="P59" s="436"/>
    </row>
    <row r="60" spans="1:16">
      <c r="A60" s="435" t="s">
        <v>1459</v>
      </c>
      <c r="B60" s="434"/>
      <c r="C60" s="503">
        <v>0</v>
      </c>
      <c r="D60" s="504"/>
      <c r="E60" s="505" t="s">
        <v>1460</v>
      </c>
      <c r="F60" s="506">
        <f t="shared" ref="F60:L60" si="24">F56*F8</f>
        <v>714.15441176470586</v>
      </c>
      <c r="G60" s="507">
        <f t="shared" si="24"/>
        <v>0</v>
      </c>
      <c r="H60" s="508">
        <f t="shared" si="24"/>
        <v>0</v>
      </c>
      <c r="I60" s="509">
        <f t="shared" si="24"/>
        <v>0</v>
      </c>
      <c r="J60" s="510">
        <f t="shared" si="24"/>
        <v>0</v>
      </c>
      <c r="K60" s="507">
        <f t="shared" si="24"/>
        <v>0</v>
      </c>
      <c r="L60" s="508">
        <f t="shared" si="24"/>
        <v>0</v>
      </c>
      <c r="M60" s="511">
        <f t="shared" si="20"/>
        <v>714.15441176470586</v>
      </c>
      <c r="N60" s="243">
        <f>M60-C60</f>
        <v>714.15441176470586</v>
      </c>
      <c r="O60" s="188" t="str">
        <f>IF(M60-C60&gt;0,"Ylitys!",IF(M60-C60=0,"Ok","Alitus"))</f>
        <v>Ylitys!</v>
      </c>
      <c r="P60" s="491" t="e">
        <f>N60/C60</f>
        <v>#DIV/0!</v>
      </c>
    </row>
    <row r="61" spans="1:16">
      <c r="A61" s="435" t="s">
        <v>1461</v>
      </c>
      <c r="B61" s="434"/>
      <c r="C61" s="499">
        <f>C60*C53</f>
        <v>0</v>
      </c>
      <c r="D61" s="500"/>
      <c r="E61" s="25"/>
      <c r="F61" s="532"/>
      <c r="G61" s="7"/>
      <c r="H61" s="7"/>
      <c r="I61" s="533"/>
      <c r="J61" s="7"/>
      <c r="K61" s="7"/>
      <c r="L61" s="7"/>
      <c r="M61" s="520"/>
      <c r="N61" s="243"/>
      <c r="P61" s="491"/>
    </row>
    <row r="62" spans="1:16">
      <c r="A62" s="512"/>
      <c r="B62" s="513"/>
      <c r="C62" s="544"/>
      <c r="D62" s="545"/>
      <c r="E62" s="516"/>
      <c r="F62" s="517"/>
      <c r="G62" s="518"/>
      <c r="H62" s="518"/>
      <c r="I62" s="519"/>
      <c r="J62" s="518"/>
      <c r="K62" s="518"/>
      <c r="L62" s="518"/>
      <c r="M62" s="520"/>
      <c r="N62" s="243"/>
      <c r="P62" s="491"/>
    </row>
    <row r="63" spans="1:16">
      <c r="A63" s="435"/>
      <c r="B63" s="434"/>
      <c r="C63" s="499"/>
      <c r="D63" s="500"/>
      <c r="F63" s="435"/>
      <c r="I63" s="480"/>
      <c r="M63" s="492"/>
      <c r="N63" s="243"/>
      <c r="P63" s="436"/>
    </row>
    <row r="64" spans="1:16" ht="15.75">
      <c r="A64" s="469" t="s">
        <v>1549</v>
      </c>
      <c r="B64" s="543"/>
      <c r="C64" s="470"/>
      <c r="D64" s="471"/>
      <c r="E64" s="522" t="s">
        <v>1463</v>
      </c>
      <c r="F64" s="473">
        <v>1</v>
      </c>
      <c r="G64" s="474">
        <v>0</v>
      </c>
      <c r="H64" s="475">
        <v>0</v>
      </c>
      <c r="I64" s="476">
        <v>0</v>
      </c>
      <c r="J64" s="477">
        <v>0</v>
      </c>
      <c r="K64" s="538">
        <v>0</v>
      </c>
      <c r="L64" s="539">
        <v>0</v>
      </c>
      <c r="M64" s="478">
        <f>SUM(F64:L64)</f>
        <v>1</v>
      </c>
      <c r="N64" s="243"/>
      <c r="P64" s="436"/>
    </row>
    <row r="65" spans="1:16">
      <c r="A65" s="479" t="s">
        <v>1445</v>
      </c>
      <c r="B65" s="648" t="s">
        <v>1550</v>
      </c>
      <c r="C65" s="437">
        <v>30</v>
      </c>
      <c r="D65" s="17"/>
      <c r="F65" s="435"/>
      <c r="I65" s="480"/>
      <c r="M65" s="435"/>
      <c r="N65" s="243"/>
      <c r="P65" s="436"/>
    </row>
    <row r="66" spans="1:16">
      <c r="A66" s="435"/>
      <c r="B66" s="434"/>
      <c r="C66" s="523"/>
      <c r="D66" s="17"/>
      <c r="F66" s="435"/>
      <c r="I66" s="480"/>
      <c r="M66" s="435"/>
      <c r="N66" s="243"/>
      <c r="P66" s="436"/>
    </row>
    <row r="67" spans="1:16">
      <c r="A67" s="435" t="s">
        <v>1464</v>
      </c>
      <c r="B67" s="434"/>
      <c r="C67" s="482">
        <f>AVERAGE('Sonnin kasvusimulaattori'!H43:'Sonnin kasvusimulaattori'!H36:H45)</f>
        <v>94.5</v>
      </c>
      <c r="D67" s="483"/>
      <c r="E67" s="484" t="s">
        <v>1450</v>
      </c>
      <c r="F67" s="485">
        <f>$C$67*F64</f>
        <v>94.5</v>
      </c>
      <c r="G67" s="486">
        <f t="shared" ref="G67:L67" si="25">$C$67*G64</f>
        <v>0</v>
      </c>
      <c r="H67" s="487">
        <f t="shared" si="25"/>
        <v>0</v>
      </c>
      <c r="I67" s="488">
        <f t="shared" si="25"/>
        <v>0</v>
      </c>
      <c r="J67" s="489">
        <f t="shared" si="25"/>
        <v>0</v>
      </c>
      <c r="K67" s="486">
        <f t="shared" si="25"/>
        <v>0</v>
      </c>
      <c r="L67" s="487">
        <f t="shared" si="25"/>
        <v>0</v>
      </c>
      <c r="M67" s="490">
        <f t="shared" ref="M67:M72" si="26">SUM(F67:L67)</f>
        <v>94.5</v>
      </c>
      <c r="N67" s="243">
        <f>M67-C67</f>
        <v>0</v>
      </c>
      <c r="O67" s="188" t="str">
        <f>IF(M67-C67&gt;0,"Ylitys!",IF(M67-C67=0,"Ok","Alitus"))</f>
        <v>Ok</v>
      </c>
      <c r="P67" s="491">
        <f>N67/C67</f>
        <v>0</v>
      </c>
    </row>
    <row r="68" spans="1:16">
      <c r="A68" s="435" t="s">
        <v>1451</v>
      </c>
      <c r="B68" s="434"/>
      <c r="C68" s="437"/>
      <c r="D68" s="17"/>
      <c r="E68" s="25" t="s">
        <v>1452</v>
      </c>
      <c r="F68" s="492">
        <f t="shared" ref="F68:L68" si="27">F67/F7</f>
        <v>8.6856617647058822</v>
      </c>
      <c r="G68" s="59">
        <f t="shared" si="27"/>
        <v>0</v>
      </c>
      <c r="H68" s="59">
        <f t="shared" si="27"/>
        <v>0</v>
      </c>
      <c r="I68" s="493">
        <f t="shared" si="27"/>
        <v>0</v>
      </c>
      <c r="J68" s="59">
        <f t="shared" si="27"/>
        <v>0</v>
      </c>
      <c r="K68" s="59">
        <f t="shared" si="27"/>
        <v>0</v>
      </c>
      <c r="L68" s="59">
        <f t="shared" si="27"/>
        <v>0</v>
      </c>
      <c r="M68" s="494">
        <f t="shared" si="26"/>
        <v>8.6856617647058822</v>
      </c>
      <c r="N68" s="243">
        <f>M68-C68</f>
        <v>8.6856617647058822</v>
      </c>
      <c r="O68" s="188" t="str">
        <f>IF(M68-C68&gt;0,"Ylitys!",IF(M68-C68=0,"Ok","Alitus"))</f>
        <v>Ylitys!</v>
      </c>
      <c r="P68" s="491" t="e">
        <f>N68/C68</f>
        <v>#DIV/0!</v>
      </c>
    </row>
    <row r="69" spans="1:16">
      <c r="A69" s="435" t="s">
        <v>1465</v>
      </c>
      <c r="B69" s="434"/>
      <c r="C69" s="495">
        <f>C65*C67</f>
        <v>2835</v>
      </c>
      <c r="D69" s="496"/>
      <c r="E69" s="12" t="s">
        <v>1454</v>
      </c>
      <c r="F69" s="497">
        <f t="shared" ref="F69:L69" si="28">F68/F6</f>
        <v>32.169117647058819</v>
      </c>
      <c r="G69" s="186">
        <f t="shared" si="28"/>
        <v>0</v>
      </c>
      <c r="H69" s="186">
        <f t="shared" si="28"/>
        <v>0</v>
      </c>
      <c r="I69" s="498">
        <f t="shared" si="28"/>
        <v>0</v>
      </c>
      <c r="J69" s="186">
        <f t="shared" si="28"/>
        <v>0</v>
      </c>
      <c r="K69" s="186">
        <f t="shared" si="28"/>
        <v>0</v>
      </c>
      <c r="L69" s="186">
        <f t="shared" si="28"/>
        <v>0</v>
      </c>
      <c r="M69" s="494">
        <f t="shared" si="26"/>
        <v>32.169117647058819</v>
      </c>
      <c r="N69" s="243"/>
      <c r="P69" s="436"/>
    </row>
    <row r="70" spans="1:16">
      <c r="A70" s="435"/>
      <c r="B70" s="434"/>
      <c r="C70" s="499"/>
      <c r="D70" s="500"/>
      <c r="E70" s="25" t="s">
        <v>1455</v>
      </c>
      <c r="F70" s="501">
        <f>F68*$C$65</f>
        <v>260.56985294117646</v>
      </c>
      <c r="G70" s="19">
        <f t="shared" ref="G70:L70" si="29">G68*$C$65</f>
        <v>0</v>
      </c>
      <c r="H70" s="19">
        <f t="shared" si="29"/>
        <v>0</v>
      </c>
      <c r="I70" s="502">
        <f t="shared" si="29"/>
        <v>0</v>
      </c>
      <c r="J70" s="19">
        <f t="shared" si="29"/>
        <v>0</v>
      </c>
      <c r="K70" s="19">
        <f t="shared" si="29"/>
        <v>0</v>
      </c>
      <c r="L70" s="19">
        <f t="shared" si="29"/>
        <v>0</v>
      </c>
      <c r="M70" s="494">
        <f t="shared" si="26"/>
        <v>260.56985294117646</v>
      </c>
      <c r="N70" s="243"/>
      <c r="P70" s="436"/>
    </row>
    <row r="71" spans="1:16">
      <c r="A71" s="435"/>
      <c r="B71" s="434"/>
      <c r="C71" s="434"/>
      <c r="D71" s="17"/>
      <c r="E71" s="25" t="s">
        <v>1457</v>
      </c>
      <c r="F71" s="501">
        <f>F69*C65</f>
        <v>965.07352941176453</v>
      </c>
      <c r="G71" s="19">
        <f t="shared" ref="G71:L71" si="30">G69*E65</f>
        <v>0</v>
      </c>
      <c r="H71" s="19">
        <f t="shared" si="30"/>
        <v>0</v>
      </c>
      <c r="I71" s="502">
        <f t="shared" si="30"/>
        <v>0</v>
      </c>
      <c r="J71" s="19">
        <f t="shared" si="30"/>
        <v>0</v>
      </c>
      <c r="K71" s="19">
        <f t="shared" si="30"/>
        <v>0</v>
      </c>
      <c r="L71" s="19">
        <f t="shared" si="30"/>
        <v>0</v>
      </c>
      <c r="M71" s="494">
        <f t="shared" si="26"/>
        <v>965.07352941176453</v>
      </c>
      <c r="N71" s="243"/>
      <c r="P71" s="436"/>
    </row>
    <row r="72" spans="1:16">
      <c r="A72" s="435" t="s">
        <v>1459</v>
      </c>
      <c r="B72" s="434"/>
      <c r="C72" s="503">
        <v>0</v>
      </c>
      <c r="D72" s="504"/>
      <c r="E72" s="505" t="s">
        <v>1460</v>
      </c>
      <c r="F72" s="506">
        <f t="shared" ref="F72:L72" si="31">F68*F8</f>
        <v>729.59558823529414</v>
      </c>
      <c r="G72" s="507">
        <f t="shared" si="31"/>
        <v>0</v>
      </c>
      <c r="H72" s="508">
        <f t="shared" si="31"/>
        <v>0</v>
      </c>
      <c r="I72" s="509">
        <f t="shared" si="31"/>
        <v>0</v>
      </c>
      <c r="J72" s="510">
        <f t="shared" si="31"/>
        <v>0</v>
      </c>
      <c r="K72" s="507">
        <f t="shared" si="31"/>
        <v>0</v>
      </c>
      <c r="L72" s="508">
        <f t="shared" si="31"/>
        <v>0</v>
      </c>
      <c r="M72" s="511">
        <f t="shared" si="26"/>
        <v>729.59558823529414</v>
      </c>
      <c r="N72" s="243">
        <f>M72-C72</f>
        <v>729.59558823529414</v>
      </c>
      <c r="O72" s="188" t="str">
        <f>IF(M72-C72&gt;0,"Ylitys!",IF(M72-C72=0,"Ok","Alitus"))</f>
        <v>Ylitys!</v>
      </c>
      <c r="P72" s="491" t="e">
        <f>N72/C72</f>
        <v>#DIV/0!</v>
      </c>
    </row>
    <row r="73" spans="1:16">
      <c r="A73" s="435" t="s">
        <v>1461</v>
      </c>
      <c r="B73" s="434"/>
      <c r="C73" s="499">
        <f>C72*C65</f>
        <v>0</v>
      </c>
      <c r="D73" s="500"/>
      <c r="E73" s="25"/>
      <c r="F73" s="532"/>
      <c r="G73" s="7"/>
      <c r="H73" s="7"/>
      <c r="I73" s="533"/>
      <c r="J73" s="7"/>
      <c r="K73" s="7"/>
      <c r="L73" s="7"/>
      <c r="M73" s="520"/>
      <c r="N73" s="58"/>
      <c r="P73" s="436"/>
    </row>
    <row r="74" spans="1:16">
      <c r="A74" s="512"/>
      <c r="B74" s="513"/>
      <c r="C74" s="514"/>
      <c r="D74" s="515"/>
      <c r="E74" s="516"/>
      <c r="F74" s="540"/>
      <c r="G74" s="541"/>
      <c r="H74" s="541"/>
      <c r="I74" s="542"/>
      <c r="J74" s="541"/>
      <c r="K74" s="541"/>
      <c r="L74" s="541"/>
      <c r="M74" s="520"/>
      <c r="N74" s="243"/>
      <c r="P74" s="436"/>
    </row>
    <row r="75" spans="1:16">
      <c r="A75" s="435"/>
      <c r="B75" s="434"/>
      <c r="C75" s="499"/>
      <c r="D75" s="500"/>
      <c r="F75" s="435"/>
      <c r="I75" s="480"/>
      <c r="M75" s="435"/>
      <c r="N75" s="58"/>
      <c r="P75" s="436"/>
    </row>
    <row r="76" spans="1:16">
      <c r="A76" s="435"/>
      <c r="B76" s="434"/>
      <c r="C76" s="434"/>
      <c r="D76" s="17"/>
      <c r="E76" s="25" t="s">
        <v>1469</v>
      </c>
      <c r="F76" s="501">
        <f t="shared" ref="F76:L76" si="32">SUM(F20,F33,F46,F58,F70)</f>
        <v>3619.025735294118</v>
      </c>
      <c r="G76" s="19">
        <f t="shared" si="32"/>
        <v>286.04651162790697</v>
      </c>
      <c r="H76" s="19">
        <f t="shared" si="32"/>
        <v>0</v>
      </c>
      <c r="I76" s="502">
        <f t="shared" si="32"/>
        <v>0</v>
      </c>
      <c r="J76" s="19">
        <f t="shared" si="32"/>
        <v>101.99999999999999</v>
      </c>
      <c r="K76" s="19">
        <f t="shared" si="32"/>
        <v>16.595744680851066</v>
      </c>
      <c r="L76" s="19">
        <f t="shared" si="32"/>
        <v>6.666666666666667</v>
      </c>
      <c r="M76" s="494">
        <f>SUM(F76:L76)</f>
        <v>4030.3346582695426</v>
      </c>
      <c r="N76" s="58"/>
      <c r="P76" s="436"/>
    </row>
    <row r="77" spans="1:16">
      <c r="A77" s="435"/>
      <c r="B77" s="434"/>
      <c r="C77" s="434"/>
      <c r="D77" s="17"/>
      <c r="E77" s="25"/>
      <c r="F77" s="501"/>
      <c r="I77" s="480"/>
      <c r="M77" s="435"/>
      <c r="N77" s="58"/>
      <c r="P77" s="436"/>
    </row>
    <row r="78" spans="1:16">
      <c r="A78" s="435" t="s">
        <v>97</v>
      </c>
      <c r="B78" s="188"/>
      <c r="C78" s="434"/>
      <c r="D78" s="17"/>
      <c r="F78" s="546" t="str">
        <f t="shared" ref="F78:L78" si="33">F3</f>
        <v>Säilörehu</v>
      </c>
      <c r="G78" s="214" t="str">
        <f t="shared" si="33"/>
        <v>Vilja 1 ohra</v>
      </c>
      <c r="H78" s="214" t="str">
        <f t="shared" si="33"/>
        <v>Aperuokinta</v>
      </c>
      <c r="I78" s="547" t="str">
        <f t="shared" si="33"/>
        <v>Aperuokinta</v>
      </c>
      <c r="J78" s="214" t="str">
        <f t="shared" si="33"/>
        <v>Juomarehu</v>
      </c>
      <c r="K78" s="214" t="str">
        <f t="shared" si="33"/>
        <v>Pikku Mullin herkku</v>
      </c>
      <c r="L78" s="214" t="str">
        <f t="shared" si="33"/>
        <v>Mullin herkku 1</v>
      </c>
      <c r="M78" s="435"/>
      <c r="N78" s="58"/>
      <c r="P78" s="436"/>
    </row>
    <row r="79" spans="1:16" ht="18">
      <c r="A79" s="481" t="s">
        <v>1551</v>
      </c>
      <c r="B79" t="str">
        <f>IF(C79&gt;=541,"Päiviä liikaa!",IF(C79=480,"Päivät ok",""))</f>
        <v/>
      </c>
      <c r="C79" s="650">
        <f>SUM(C14,C27,C41,C53,C65)/30</f>
        <v>17</v>
      </c>
      <c r="D79" s="549"/>
      <c r="E79" t="s">
        <v>1552</v>
      </c>
      <c r="F79" s="550">
        <f t="shared" ref="F79:L79" si="34">SUM(F21,F34,F47,F59,F71)</f>
        <v>12566.380718954246</v>
      </c>
      <c r="G79" s="38">
        <f t="shared" si="34"/>
        <v>332.61222282314765</v>
      </c>
      <c r="H79" s="38">
        <f t="shared" si="34"/>
        <v>0</v>
      </c>
      <c r="I79" s="551">
        <f t="shared" si="34"/>
        <v>0</v>
      </c>
      <c r="J79" s="38">
        <f t="shared" si="34"/>
        <v>115.90909090909089</v>
      </c>
      <c r="K79" s="38">
        <f t="shared" si="34"/>
        <v>19.297377535873331</v>
      </c>
      <c r="L79" s="38">
        <f t="shared" si="34"/>
        <v>8.1300813008130088</v>
      </c>
      <c r="M79" s="435"/>
      <c r="N79" s="58"/>
      <c r="P79" s="436"/>
    </row>
    <row r="80" spans="1:16">
      <c r="A80" s="435" t="s">
        <v>1553</v>
      </c>
      <c r="B80" s="434" t="s">
        <v>1554</v>
      </c>
      <c r="C80" s="552">
        <f>C4</f>
        <v>360</v>
      </c>
      <c r="D80" s="549"/>
      <c r="E80" s="52" t="s">
        <v>1555</v>
      </c>
      <c r="F80" s="164">
        <f t="shared" ref="F80:L80" si="35">F86*F11</f>
        <v>108.57077205882354</v>
      </c>
      <c r="G80" s="164">
        <f t="shared" si="35"/>
        <v>69.848566792861007</v>
      </c>
      <c r="H80" s="164">
        <f t="shared" si="35"/>
        <v>0</v>
      </c>
      <c r="I80" s="164">
        <f t="shared" si="35"/>
        <v>0</v>
      </c>
      <c r="J80" s="164">
        <f t="shared" si="35"/>
        <v>0</v>
      </c>
      <c r="K80" s="164">
        <f t="shared" si="35"/>
        <v>0</v>
      </c>
      <c r="L80" s="164">
        <f t="shared" si="35"/>
        <v>2.2032520325203255</v>
      </c>
      <c r="M80" s="553">
        <f>SUM(F80:L80)</f>
        <v>180.62259088420487</v>
      </c>
      <c r="N80" s="58"/>
      <c r="P80" s="436"/>
    </row>
    <row r="81" spans="1:16" ht="15">
      <c r="A81" s="583" t="s">
        <v>1556</v>
      </c>
      <c r="B81" s="555"/>
      <c r="C81" s="556">
        <f>SUM(C19,C32,C45,C57,C69)</f>
        <v>42165</v>
      </c>
      <c r="D81" s="557"/>
      <c r="E81" s="558" t="s">
        <v>1557</v>
      </c>
      <c r="F81" s="559">
        <f>F17*$C$14+F30*$C$27+F43*$C$41+F55*$C$53+G67*$C$65</f>
        <v>34080</v>
      </c>
      <c r="G81" s="559">
        <f t="shared" ref="G81:L81" si="36">G17*$C$14+G30*$C$27+G43*$C$41+G55*$C$53+H67*$C$65</f>
        <v>3690</v>
      </c>
      <c r="H81" s="560">
        <f t="shared" si="36"/>
        <v>0</v>
      </c>
      <c r="I81" s="561">
        <f t="shared" si="36"/>
        <v>0</v>
      </c>
      <c r="J81" s="562">
        <f t="shared" si="36"/>
        <v>1325.9999999999998</v>
      </c>
      <c r="K81" s="559">
        <f t="shared" si="36"/>
        <v>156</v>
      </c>
      <c r="L81" s="560">
        <f t="shared" si="36"/>
        <v>2913</v>
      </c>
      <c r="M81" s="563">
        <f>SUM(F81:L81)</f>
        <v>42165</v>
      </c>
      <c r="N81" s="243">
        <f>M81-C81</f>
        <v>0</v>
      </c>
      <c r="O81" s="564" t="str">
        <f>IF(M81-C81&gt;0,"Ylitys!",IF(M81-C81=0,"Ok","Alitus"))</f>
        <v>Ok</v>
      </c>
      <c r="P81" s="565">
        <f>N81/C81</f>
        <v>0</v>
      </c>
    </row>
    <row r="82" spans="1:16" ht="15">
      <c r="A82" s="558"/>
      <c r="B82" s="555"/>
      <c r="C82" s="567"/>
      <c r="D82" s="557"/>
      <c r="E82" s="558" t="s">
        <v>1476</v>
      </c>
      <c r="F82" s="568">
        <f t="shared" ref="F82:L82" si="37">F81/$C$81</f>
        <v>0.80825329064389895</v>
      </c>
      <c r="G82" s="568">
        <f t="shared" si="37"/>
        <v>8.7513340448239066E-2</v>
      </c>
      <c r="H82" s="569">
        <f t="shared" si="37"/>
        <v>0</v>
      </c>
      <c r="I82" s="570">
        <f t="shared" si="37"/>
        <v>0</v>
      </c>
      <c r="J82" s="571">
        <f t="shared" si="37"/>
        <v>3.1447883315546064E-2</v>
      </c>
      <c r="K82" s="572">
        <f t="shared" si="37"/>
        <v>3.6997509782995376E-3</v>
      </c>
      <c r="L82" s="573">
        <f t="shared" si="37"/>
        <v>6.9085734614016361E-2</v>
      </c>
      <c r="M82" s="574">
        <f>SUM(F82:L82)</f>
        <v>1</v>
      </c>
      <c r="N82" s="575"/>
      <c r="O82" s="564"/>
      <c r="P82" s="565"/>
    </row>
    <row r="83" spans="1:16" ht="15">
      <c r="A83" s="583" t="s">
        <v>1558</v>
      </c>
      <c r="B83" s="555"/>
      <c r="C83" s="556">
        <f>SUM(C24,C37,C49,C61,C73)</f>
        <v>42631.5</v>
      </c>
      <c r="D83" s="557"/>
      <c r="E83" s="558" t="s">
        <v>1559</v>
      </c>
      <c r="F83" s="576">
        <f>SUM(F23*C14,F36*C27,F48*C41,F60*C53,F72*C65)</f>
        <v>285005.51470588229</v>
      </c>
      <c r="G83" s="576">
        <f t="shared" ref="G83:L83" si="38">SUM(G23,G36,G48,G60,G72)</f>
        <v>305.11627906976742</v>
      </c>
      <c r="H83" s="577">
        <f t="shared" si="38"/>
        <v>0</v>
      </c>
      <c r="I83" s="561">
        <f t="shared" si="38"/>
        <v>0</v>
      </c>
      <c r="J83" s="562">
        <f t="shared" si="38"/>
        <v>294.09999999999997</v>
      </c>
      <c r="K83" s="559">
        <f t="shared" si="38"/>
        <v>22.680851063829788</v>
      </c>
      <c r="L83" s="560">
        <f t="shared" si="38"/>
        <v>14.000000000000002</v>
      </c>
      <c r="M83" s="563">
        <f>SUM(F83:L83)</f>
        <v>285641.41183601582</v>
      </c>
      <c r="N83" s="415">
        <f>M83-C83</f>
        <v>243009.91183601582</v>
      </c>
      <c r="O83" s="564" t="str">
        <f>IF(M83-C83&gt;0,"Ylitys!",IF(M83-C83=0,"Ok","Alitus"))</f>
        <v>Ylitys!</v>
      </c>
      <c r="P83" s="565">
        <f>N83/C83</f>
        <v>5.7002430558628205</v>
      </c>
    </row>
    <row r="84" spans="1:16" ht="15">
      <c r="A84" s="567"/>
      <c r="B84" s="555"/>
      <c r="C84" s="567"/>
      <c r="D84" s="567"/>
      <c r="E84" s="558" t="s">
        <v>1479</v>
      </c>
      <c r="F84" s="568">
        <f>F83/$C$83</f>
        <v>6.6853269227187004</v>
      </c>
      <c r="G84" s="568">
        <f t="shared" ref="G84:L84" si="39">G83/$C$83</f>
        <v>7.1570617752077081E-3</v>
      </c>
      <c r="H84" s="569">
        <f t="shared" si="39"/>
        <v>0</v>
      </c>
      <c r="I84" s="570">
        <f t="shared" si="39"/>
        <v>0</v>
      </c>
      <c r="J84" s="571">
        <f t="shared" si="39"/>
        <v>6.8986547505952168E-3</v>
      </c>
      <c r="K84" s="572">
        <f t="shared" si="39"/>
        <v>5.3202094844961563E-4</v>
      </c>
      <c r="L84" s="573">
        <f t="shared" si="39"/>
        <v>3.2839566986852446E-4</v>
      </c>
      <c r="M84" s="574">
        <f>SUM(F84:L84)</f>
        <v>6.7002430558628214</v>
      </c>
      <c r="N84" s="575"/>
      <c r="O84" s="564"/>
      <c r="P84" s="578"/>
    </row>
    <row r="85" spans="1:16" ht="15">
      <c r="A85" s="567"/>
      <c r="B85" s="555"/>
      <c r="C85" s="567"/>
      <c r="D85" s="567"/>
      <c r="E85" s="558"/>
      <c r="F85" s="579"/>
      <c r="G85" s="579"/>
      <c r="H85" s="580"/>
      <c r="I85" s="581"/>
      <c r="J85" s="582"/>
      <c r="K85" s="579"/>
      <c r="L85" s="580"/>
      <c r="M85" s="583"/>
      <c r="N85" s="575"/>
      <c r="O85" s="564"/>
      <c r="P85" s="578"/>
    </row>
    <row r="86" spans="1:16" ht="15">
      <c r="A86" s="554" t="s">
        <v>1560</v>
      </c>
      <c r="B86" s="555"/>
      <c r="C86" s="556">
        <f>SUM(C18*C14+C31*C27+C44*C41+C56*C53+C68*C65)</f>
        <v>90</v>
      </c>
      <c r="D86" s="567"/>
      <c r="E86" s="651" t="s">
        <v>1561</v>
      </c>
      <c r="F86" s="584">
        <f t="shared" ref="F86:L86" si="40">SUM(F20,F33,F46,F58,F70)</f>
        <v>3619.025735294118</v>
      </c>
      <c r="G86" s="584">
        <f t="shared" si="40"/>
        <v>286.04651162790697</v>
      </c>
      <c r="H86" s="585">
        <f t="shared" si="40"/>
        <v>0</v>
      </c>
      <c r="I86" s="586">
        <f t="shared" si="40"/>
        <v>0</v>
      </c>
      <c r="J86" s="587">
        <f t="shared" si="40"/>
        <v>101.99999999999999</v>
      </c>
      <c r="K86" s="588">
        <f t="shared" si="40"/>
        <v>16.595744680851066</v>
      </c>
      <c r="L86" s="589">
        <f t="shared" si="40"/>
        <v>6.666666666666667</v>
      </c>
      <c r="M86" s="563">
        <f>SUM(F86:L86)</f>
        <v>4030.3346582695426</v>
      </c>
      <c r="N86" s="243">
        <f>M86-C86</f>
        <v>3940.3346582695426</v>
      </c>
      <c r="O86" s="564" t="str">
        <f>IF(M86-C86&gt;0,"Ylitys!",IF(M86-C86=0,"Ok","Alitus"))</f>
        <v>Ylitys!</v>
      </c>
      <c r="P86" s="565">
        <f>N86/C86</f>
        <v>43.781496202994916</v>
      </c>
    </row>
    <row r="87" spans="1:16" ht="24" customHeight="1">
      <c r="B87" s="434"/>
      <c r="C87" s="434"/>
      <c r="D87" s="590"/>
      <c r="E87" s="652" t="s">
        <v>1562</v>
      </c>
      <c r="F87" s="591">
        <f>(F86*F11)/$C$4</f>
        <v>0.30158547794117652</v>
      </c>
      <c r="G87" s="591">
        <f t="shared" ref="G87:L87" si="41">(G86*G11)/$C$4</f>
        <v>0.19402379664683614</v>
      </c>
      <c r="H87" s="591">
        <f t="shared" si="41"/>
        <v>0</v>
      </c>
      <c r="I87" s="591">
        <f t="shared" si="41"/>
        <v>0</v>
      </c>
      <c r="J87" s="591">
        <f t="shared" si="41"/>
        <v>0</v>
      </c>
      <c r="K87" s="591">
        <f t="shared" si="41"/>
        <v>0</v>
      </c>
      <c r="L87" s="591">
        <f t="shared" si="41"/>
        <v>6.1201445347786824E-3</v>
      </c>
      <c r="M87" s="596">
        <f>SUM(F87:L87)</f>
        <v>0.50172941912279134</v>
      </c>
      <c r="P87" s="436"/>
    </row>
    <row r="88" spans="1:16">
      <c r="B88" s="434"/>
      <c r="C88" s="434"/>
      <c r="D88" s="590"/>
      <c r="F88" s="435"/>
      <c r="I88" s="480"/>
      <c r="M88" s="435"/>
      <c r="P88" s="436"/>
    </row>
    <row r="89" spans="1:16">
      <c r="B89" s="434"/>
      <c r="C89" s="434"/>
      <c r="D89" s="590"/>
      <c r="E89" s="3" t="s">
        <v>1483</v>
      </c>
      <c r="F89" s="597">
        <v>30000</v>
      </c>
      <c r="G89" s="598">
        <v>4000</v>
      </c>
      <c r="H89" s="599">
        <v>20000</v>
      </c>
      <c r="I89" s="600">
        <v>0</v>
      </c>
      <c r="J89" s="601">
        <v>0</v>
      </c>
      <c r="K89" s="602">
        <v>0</v>
      </c>
      <c r="L89" s="603">
        <v>0</v>
      </c>
      <c r="M89" s="435"/>
      <c r="P89" s="436"/>
    </row>
    <row r="90" spans="1:16">
      <c r="A90" s="435" t="s">
        <v>1563</v>
      </c>
      <c r="B90" s="434"/>
      <c r="C90" s="434"/>
      <c r="D90" s="590"/>
      <c r="F90" s="604"/>
      <c r="I90" s="480"/>
      <c r="M90" s="435"/>
      <c r="P90" s="436"/>
    </row>
    <row r="91" spans="1:16">
      <c r="A91" s="435" t="s">
        <v>1553</v>
      </c>
      <c r="B91" s="434" t="s">
        <v>137</v>
      </c>
      <c r="C91" s="605">
        <f>C80*$C$9</f>
        <v>36000</v>
      </c>
      <c r="D91" s="17"/>
      <c r="F91" s="435"/>
      <c r="I91" s="480"/>
      <c r="M91" s="435"/>
      <c r="P91" s="436"/>
    </row>
    <row r="92" spans="1:16">
      <c r="A92" s="435" t="s">
        <v>1485</v>
      </c>
      <c r="B92" s="434"/>
      <c r="C92" s="605">
        <f>C81*$C$9</f>
        <v>4216500</v>
      </c>
      <c r="D92" s="17"/>
      <c r="F92" s="435"/>
      <c r="I92" s="480"/>
      <c r="M92" s="435"/>
      <c r="P92" s="436"/>
    </row>
    <row r="93" spans="1:16" ht="15.75">
      <c r="A93" s="435" t="s">
        <v>1486</v>
      </c>
      <c r="B93" s="434"/>
      <c r="C93" s="605">
        <f>C83*$C$9</f>
        <v>4263150</v>
      </c>
      <c r="D93" s="17"/>
      <c r="E93" s="1" t="s">
        <v>1564</v>
      </c>
      <c r="F93" s="606">
        <f>F81/(F89*F5*F6*0.016)</f>
        <v>0.3867102396514161</v>
      </c>
      <c r="G93" s="606">
        <f>G81/(G89*G5*G6*0.016)</f>
        <v>8.3802688953488372E-2</v>
      </c>
      <c r="H93" s="607">
        <f>H81/(H89*H5*H6*0.016)</f>
        <v>0</v>
      </c>
      <c r="I93" s="608"/>
      <c r="J93" s="609"/>
      <c r="K93" s="610"/>
      <c r="L93" s="611"/>
      <c r="M93" s="612">
        <f>SUM(F93:L93)</f>
        <v>0.47051292860490446</v>
      </c>
      <c r="P93" s="436"/>
    </row>
    <row r="94" spans="1:16" ht="15.75">
      <c r="A94" s="435" t="s">
        <v>926</v>
      </c>
      <c r="B94" s="434"/>
      <c r="C94" s="605">
        <f>C86*$C$9</f>
        <v>9000</v>
      </c>
      <c r="D94" s="17"/>
      <c r="E94" s="1" t="s">
        <v>1488</v>
      </c>
      <c r="F94" s="613">
        <f>F93*$C$9</f>
        <v>38.671023965141607</v>
      </c>
      <c r="G94" s="613">
        <f>G93*$C$9</f>
        <v>8.3802688953488378</v>
      </c>
      <c r="H94" s="614">
        <f>H93*$C$9</f>
        <v>0</v>
      </c>
      <c r="I94" s="615"/>
      <c r="J94" s="616"/>
      <c r="K94" s="617"/>
      <c r="L94" s="618"/>
      <c r="M94" s="619">
        <f>SUM(G94:L94)</f>
        <v>8.3802688953488378</v>
      </c>
      <c r="P94" s="436"/>
    </row>
    <row r="95" spans="1:16">
      <c r="A95" s="435"/>
      <c r="B95" s="434"/>
      <c r="C95" s="605"/>
      <c r="D95" s="17"/>
      <c r="I95" s="480"/>
      <c r="M95" s="435"/>
      <c r="P95" s="436"/>
    </row>
    <row r="96" spans="1:16">
      <c r="A96" s="435"/>
      <c r="B96" s="434"/>
      <c r="C96" s="605"/>
      <c r="D96" s="17"/>
      <c r="I96" s="480"/>
      <c r="M96" s="435"/>
      <c r="P96" s="436"/>
    </row>
    <row r="97" spans="1:16">
      <c r="A97" s="620"/>
      <c r="B97" s="621"/>
      <c r="C97" s="621"/>
      <c r="D97" s="17"/>
      <c r="E97" s="621"/>
      <c r="F97" s="620"/>
      <c r="G97" s="622"/>
      <c r="H97" s="622"/>
      <c r="I97" s="623"/>
      <c r="J97" s="622"/>
      <c r="K97" s="622"/>
      <c r="L97" s="622"/>
      <c r="M97" s="620"/>
      <c r="N97" s="624"/>
      <c r="O97" s="625"/>
      <c r="P97" s="626"/>
    </row>
    <row r="98" spans="1:16">
      <c r="N98"/>
      <c r="O98" s="52"/>
      <c r="P98" s="52"/>
    </row>
  </sheetData>
  <sheetProtection sheet="1" formatCells="0" formatColumns="0"/>
  <mergeCells count="3">
    <mergeCell ref="F2:H2"/>
    <mergeCell ref="J2:L2"/>
    <mergeCell ref="M2:P2"/>
  </mergeCells>
  <conditionalFormatting sqref="N17:N18">
    <cfRule type="cellIs" dxfId="19" priority="6" stopIfTrue="1" operator="greaterThan">
      <formula>0</formula>
    </cfRule>
  </conditionalFormatting>
  <conditionalFormatting sqref="N19:N22">
    <cfRule type="cellIs" dxfId="18" priority="1" stopIfTrue="1" operator="lessThan">
      <formula>0</formula>
    </cfRule>
  </conditionalFormatting>
  <conditionalFormatting sqref="N23">
    <cfRule type="cellIs" dxfId="17" priority="9" stopIfTrue="1" operator="greaterThan">
      <formula>0</formula>
    </cfRule>
  </conditionalFormatting>
  <conditionalFormatting sqref="N30:N31">
    <cfRule type="cellIs" dxfId="16" priority="10" stopIfTrue="1" operator="greaterThan">
      <formula>0</formula>
    </cfRule>
  </conditionalFormatting>
  <conditionalFormatting sqref="N32:N35">
    <cfRule type="cellIs" dxfId="15" priority="2" stopIfTrue="1" operator="lessThan">
      <formula>0</formula>
    </cfRule>
  </conditionalFormatting>
  <conditionalFormatting sqref="N36">
    <cfRule type="cellIs" dxfId="14" priority="12" stopIfTrue="1" operator="greaterThan">
      <formula>0</formula>
    </cfRule>
  </conditionalFormatting>
  <conditionalFormatting sqref="N43:N44">
    <cfRule type="cellIs" dxfId="13" priority="13" stopIfTrue="1" operator="greaterThan">
      <formula>0</formula>
    </cfRule>
  </conditionalFormatting>
  <conditionalFormatting sqref="N45:N47">
    <cfRule type="cellIs" dxfId="12" priority="3" stopIfTrue="1" operator="lessThan">
      <formula>0</formula>
    </cfRule>
  </conditionalFormatting>
  <conditionalFormatting sqref="N48">
    <cfRule type="cellIs" dxfId="11" priority="15" stopIfTrue="1" operator="greaterThan">
      <formula>0</formula>
    </cfRule>
  </conditionalFormatting>
  <conditionalFormatting sqref="N55:N56">
    <cfRule type="cellIs" dxfId="10" priority="16" stopIfTrue="1" operator="greaterThan">
      <formula>0</formula>
    </cfRule>
  </conditionalFormatting>
  <conditionalFormatting sqref="N57:N59">
    <cfRule type="cellIs" dxfId="9" priority="4" stopIfTrue="1" operator="lessThan">
      <formula>0</formula>
    </cfRule>
  </conditionalFormatting>
  <conditionalFormatting sqref="N60">
    <cfRule type="cellIs" dxfId="8" priority="18" stopIfTrue="1" operator="greaterThan">
      <formula>0</formula>
    </cfRule>
  </conditionalFormatting>
  <conditionalFormatting sqref="N61 C62:D62">
    <cfRule type="cellIs" dxfId="7" priority="7" stopIfTrue="1" operator="greaterThan">
      <formula>0</formula>
    </cfRule>
  </conditionalFormatting>
  <conditionalFormatting sqref="N67:N68">
    <cfRule type="cellIs" dxfId="6" priority="19" stopIfTrue="1" operator="greaterThan">
      <formula>0</formula>
    </cfRule>
  </conditionalFormatting>
  <conditionalFormatting sqref="N69:N71">
    <cfRule type="cellIs" dxfId="5" priority="5" stopIfTrue="1" operator="lessThan">
      <formula>0</formula>
    </cfRule>
  </conditionalFormatting>
  <conditionalFormatting sqref="N72">
    <cfRule type="cellIs" dxfId="4" priority="21" stopIfTrue="1" operator="greaterThan">
      <formula>0</formula>
    </cfRule>
  </conditionalFormatting>
  <conditionalFormatting sqref="N81">
    <cfRule type="cellIs" dxfId="3" priority="22" stopIfTrue="1" operator="greaterThan">
      <formula>0</formula>
    </cfRule>
  </conditionalFormatting>
  <conditionalFormatting sqref="N82">
    <cfRule type="cellIs" dxfId="2" priority="8" stopIfTrue="1" operator="greaterThan">
      <formula>0</formula>
    </cfRule>
  </conditionalFormatting>
  <conditionalFormatting sqref="N83">
    <cfRule type="cellIs" dxfId="1" priority="23" stopIfTrue="1" operator="greaterThan">
      <formula>0</formula>
    </cfRule>
  </conditionalFormatting>
  <conditionalFormatting sqref="N86">
    <cfRule type="cellIs" dxfId="0" priority="24" stopIfTrue="1" operator="greaterThan">
      <formula>0</formula>
    </cfRule>
  </conditionalFormatting>
  <pageMargins left="0.7" right="0.7" top="0.75" bottom="0.75" header="0.51180555555555551" footer="0.51180555555555551"/>
  <pageSetup paperSize="9" firstPageNumber="0" orientation="landscape" horizontalDpi="300" verticalDpi="300" r:id="rId1"/>
  <headerFooter alignWithMargins="0"/>
  <colBreaks count="1" manualBreakCount="1">
    <brk id="16"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2C47-B575-4D30-B092-425C9A590028}">
  <dimension ref="A1:M37"/>
  <sheetViews>
    <sheetView showGridLines="0" tabSelected="1" zoomScale="90" zoomScaleNormal="90" workbookViewId="0">
      <selection activeCell="E1" sqref="E1"/>
    </sheetView>
  </sheetViews>
  <sheetFormatPr defaultRowHeight="12.75"/>
  <cols>
    <col min="12" max="12" width="3.7109375" customWidth="1"/>
  </cols>
  <sheetData>
    <row r="1" spans="1:5">
      <c r="A1" t="s">
        <v>1863</v>
      </c>
      <c r="D1" t="s">
        <v>112</v>
      </c>
      <c r="E1" s="2425" t="s">
        <v>1962</v>
      </c>
    </row>
    <row r="2" spans="1:5" ht="47.25" customHeight="1">
      <c r="E2" s="1299" t="s">
        <v>1864</v>
      </c>
    </row>
    <row r="3" spans="1:5" ht="17.25" customHeight="1">
      <c r="A3" t="s">
        <v>1865</v>
      </c>
      <c r="E3" s="1299"/>
    </row>
    <row r="4" spans="1:5" ht="13.5" customHeight="1">
      <c r="A4" t="s">
        <v>1871</v>
      </c>
    </row>
    <row r="6" spans="1:5" ht="47.25" customHeight="1"/>
    <row r="7" spans="1:5" ht="18">
      <c r="A7" s="2424" t="s">
        <v>1866</v>
      </c>
    </row>
    <row r="8" spans="1:5" ht="6.75" customHeight="1"/>
    <row r="9" spans="1:5">
      <c r="A9" s="3" t="s">
        <v>1867</v>
      </c>
    </row>
    <row r="10" spans="1:5">
      <c r="A10" t="s">
        <v>1887</v>
      </c>
    </row>
    <row r="11" spans="1:5">
      <c r="A11" t="s">
        <v>1888</v>
      </c>
    </row>
    <row r="12" spans="1:5">
      <c r="A12" t="s">
        <v>1889</v>
      </c>
    </row>
    <row r="13" spans="1:5">
      <c r="A13" t="s">
        <v>1890</v>
      </c>
      <c r="B13" s="1617"/>
    </row>
    <row r="14" spans="1:5">
      <c r="A14" t="s">
        <v>1872</v>
      </c>
    </row>
    <row r="15" spans="1:5">
      <c r="A15" t="s">
        <v>1873</v>
      </c>
    </row>
    <row r="16" spans="1:5">
      <c r="A16" t="s">
        <v>1880</v>
      </c>
    </row>
    <row r="17" spans="1:13">
      <c r="A17" s="3" t="s">
        <v>1875</v>
      </c>
    </row>
    <row r="18" spans="1:13">
      <c r="A18" t="s">
        <v>1874</v>
      </c>
    </row>
    <row r="19" spans="1:13">
      <c r="A19" s="3" t="s">
        <v>1876</v>
      </c>
    </row>
    <row r="20" spans="1:13">
      <c r="A20" t="s">
        <v>1877</v>
      </c>
    </row>
    <row r="21" spans="1:13">
      <c r="A21" t="s">
        <v>1881</v>
      </c>
      <c r="G21" s="1166" t="s">
        <v>1879</v>
      </c>
    </row>
    <row r="22" spans="1:13">
      <c r="A22" t="s">
        <v>1882</v>
      </c>
    </row>
    <row r="23" spans="1:13">
      <c r="A23" s="3" t="s">
        <v>1958</v>
      </c>
    </row>
    <row r="24" spans="1:13" ht="42" customHeight="1">
      <c r="A24" t="s">
        <v>1883</v>
      </c>
    </row>
    <row r="25" spans="1:13" ht="14.25">
      <c r="A25" t="s">
        <v>1896</v>
      </c>
      <c r="I25" s="1166" t="s">
        <v>1897</v>
      </c>
    </row>
    <row r="27" spans="1:13" ht="18">
      <c r="A27" s="2424" t="s">
        <v>1878</v>
      </c>
    </row>
    <row r="28" spans="1:13">
      <c r="A28" t="s">
        <v>1884</v>
      </c>
    </row>
    <row r="29" spans="1:13" ht="14.25">
      <c r="A29" s="2525" t="s">
        <v>1957</v>
      </c>
      <c r="M29" s="1166" t="s">
        <v>1886</v>
      </c>
    </row>
    <row r="30" spans="1:13">
      <c r="A30" t="s">
        <v>1898</v>
      </c>
    </row>
    <row r="31" spans="1:13">
      <c r="A31" t="s">
        <v>1899</v>
      </c>
    </row>
    <row r="32" spans="1:13" ht="13.5" customHeight="1">
      <c r="A32" t="s">
        <v>1893</v>
      </c>
    </row>
    <row r="33" spans="1:1" ht="13.5" customHeight="1">
      <c r="A33" t="s">
        <v>1892</v>
      </c>
    </row>
    <row r="34" spans="1:1" ht="12.75" customHeight="1">
      <c r="A34" s="3" t="s">
        <v>1894</v>
      </c>
    </row>
    <row r="35" spans="1:1">
      <c r="A35" t="s">
        <v>1895</v>
      </c>
    </row>
    <row r="37" spans="1:1">
      <c r="A37" t="s">
        <v>1902</v>
      </c>
    </row>
  </sheetData>
  <sheetProtection algorithmName="SHA-512" hashValue="q1faPDU+1YHWzVwZm9grjvlGC9bHh5FV5gvnOwx/H+aVo5jMgYv+gHQEnDHgMtt33Ve0mj2usTVW01omLQJ39w==" saltValue="OuddakNSvc0dTcH8IM0mdg==" spinCount="100000" sheet="1" formatCells="0" formatColumns="0" formatRows="0"/>
  <hyperlinks>
    <hyperlink ref="G21" location="'Traktorin tuntihinta'!A1" display="Koneen tuntihintalaskuri" xr:uid="{DDDED79F-3044-4E4B-8BAE-971797DE44DA}"/>
    <hyperlink ref="M29" location="Peltoalalaskuri!A1" display="Peltoalalaskuri" xr:uid="{8267BE84-D12B-4C69-B231-0BA4A5ED549D}"/>
    <hyperlink ref="I25" location="Päästölaskenta!A1" display="Päästölaskenta" xr:uid="{07BE4869-66D2-4E33-8C09-C3660BE1C2B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2"/>
  <sheetViews>
    <sheetView zoomScale="90" zoomScaleNormal="90" zoomScaleSheetLayoutView="82" workbookViewId="0">
      <selection activeCell="A10" sqref="A10"/>
    </sheetView>
  </sheetViews>
  <sheetFormatPr defaultColWidth="8.85546875" defaultRowHeight="12.75"/>
  <cols>
    <col min="1" max="1" width="79.85546875" customWidth="1"/>
    <col min="2" max="2" width="15.140625" customWidth="1"/>
    <col min="3" max="3" width="21.85546875" customWidth="1"/>
    <col min="4" max="4" width="19" customWidth="1"/>
    <col min="5" max="5" width="15" customWidth="1"/>
    <col min="6" max="6" width="15.42578125" customWidth="1"/>
    <col min="7" max="7" width="11.7109375" customWidth="1"/>
    <col min="8" max="8" width="13.28515625" customWidth="1"/>
    <col min="9" max="9" width="10.5703125" customWidth="1"/>
    <col min="10" max="10" width="10.85546875" bestFit="1" customWidth="1"/>
    <col min="12" max="12" width="11.85546875" customWidth="1"/>
  </cols>
  <sheetData>
    <row r="1" spans="1:12" ht="18.75" thickBot="1">
      <c r="A1" s="79" t="s">
        <v>178</v>
      </c>
      <c r="B1" s="2618" t="s">
        <v>1493</v>
      </c>
      <c r="C1" s="2619"/>
      <c r="D1" s="2619"/>
      <c r="E1" s="2620"/>
      <c r="H1" s="2401" t="s">
        <v>179</v>
      </c>
      <c r="I1" s="2402" t="str">
        <f>'Ohje perusmaatila'!E1</f>
        <v>26.1A</v>
      </c>
    </row>
    <row r="2" spans="1:12" ht="18.75" thickBot="1">
      <c r="A2" s="79" t="s">
        <v>180</v>
      </c>
      <c r="B2" s="2618"/>
      <c r="C2" s="2619"/>
      <c r="D2" s="2619"/>
      <c r="E2" s="2620"/>
      <c r="H2" s="2403" t="s">
        <v>181</v>
      </c>
    </row>
    <row r="3" spans="1:12" ht="18.75" thickBot="1">
      <c r="A3" s="79" t="s">
        <v>182</v>
      </c>
      <c r="B3" s="1469">
        <v>1</v>
      </c>
      <c r="C3" s="303" t="s">
        <v>183</v>
      </c>
      <c r="D3" s="2621"/>
      <c r="E3" s="2621"/>
      <c r="F3" s="25" t="s">
        <v>184</v>
      </c>
      <c r="G3" s="1230">
        <f ca="1">TODAY()</f>
        <v>46037</v>
      </c>
      <c r="H3" s="1173" t="s">
        <v>185</v>
      </c>
      <c r="I3" s="1166" t="s">
        <v>186</v>
      </c>
    </row>
    <row r="4" spans="1:12" ht="18.75" thickBot="1">
      <c r="A4" s="79" t="s">
        <v>187</v>
      </c>
      <c r="B4" s="689" t="s">
        <v>188</v>
      </c>
      <c r="C4" s="1456">
        <v>2027</v>
      </c>
      <c r="D4" s="689" t="s">
        <v>189</v>
      </c>
      <c r="E4" s="1228" t="s">
        <v>190</v>
      </c>
      <c r="F4" s="689" t="s">
        <v>191</v>
      </c>
      <c r="H4" s="1173" t="s">
        <v>192</v>
      </c>
    </row>
    <row r="5" spans="1:12">
      <c r="B5" s="4"/>
      <c r="C5" s="521" t="s">
        <v>115</v>
      </c>
      <c r="F5" s="2404">
        <v>0.255</v>
      </c>
      <c r="G5" t="s">
        <v>193</v>
      </c>
    </row>
    <row r="6" spans="1:12" ht="13.5" thickBot="1">
      <c r="A6" t="s">
        <v>194</v>
      </c>
      <c r="B6" s="4"/>
      <c r="C6" s="807">
        <v>0</v>
      </c>
      <c r="D6" s="886" t="s">
        <v>99</v>
      </c>
      <c r="F6" s="2404">
        <v>0.14000000000000001</v>
      </c>
      <c r="G6" t="s">
        <v>195</v>
      </c>
    </row>
    <row r="7" spans="1:12" ht="17.25" customHeight="1" thickBot="1">
      <c r="A7" t="s">
        <v>196</v>
      </c>
      <c r="C7" s="807">
        <v>0</v>
      </c>
      <c r="D7" s="886" t="s">
        <v>99</v>
      </c>
      <c r="F7" s="2405">
        <v>0.1</v>
      </c>
      <c r="G7" t="s">
        <v>197</v>
      </c>
      <c r="J7" s="2592" t="s">
        <v>1813</v>
      </c>
      <c r="K7" s="2593"/>
      <c r="L7" s="2625"/>
    </row>
    <row r="8" spans="1:12" ht="13.5" customHeight="1" thickBot="1">
      <c r="A8" s="3" t="s">
        <v>3</v>
      </c>
      <c r="C8" s="164">
        <f>SUM(C6:C7)</f>
        <v>0</v>
      </c>
      <c r="D8" s="18"/>
      <c r="E8" s="1571" t="s">
        <v>5</v>
      </c>
      <c r="F8" s="1618" t="s">
        <v>6</v>
      </c>
      <c r="G8" s="1560" t="s">
        <v>198</v>
      </c>
      <c r="H8" s="1560"/>
      <c r="I8" s="1560"/>
      <c r="J8" s="2626"/>
      <c r="K8" s="2627"/>
      <c r="L8" s="2628"/>
    </row>
    <row r="9" spans="1:12" ht="15.75" thickBot="1">
      <c r="A9" s="86" t="s">
        <v>199</v>
      </c>
      <c r="C9" s="4"/>
      <c r="E9" s="1568" t="s">
        <v>200</v>
      </c>
      <c r="F9" s="2623" t="s">
        <v>1812</v>
      </c>
      <c r="G9" s="2624"/>
      <c r="H9" s="2372" t="s">
        <v>204</v>
      </c>
      <c r="I9" s="2372" t="s">
        <v>236</v>
      </c>
      <c r="J9" s="2398" t="s">
        <v>201</v>
      </c>
      <c r="K9" s="2399" t="s">
        <v>202</v>
      </c>
      <c r="L9" s="2400" t="s">
        <v>203</v>
      </c>
    </row>
    <row r="10" spans="1:12" ht="15.75" customHeight="1">
      <c r="A10" s="165" t="s">
        <v>1869</v>
      </c>
      <c r="C10" s="1383">
        <v>0</v>
      </c>
      <c r="D10" s="1564" t="s">
        <v>99</v>
      </c>
      <c r="E10" s="1569" t="str">
        <f>IF(C10=0,"",C10/$C$8)</f>
        <v/>
      </c>
      <c r="F10" s="1566" t="s">
        <v>204</v>
      </c>
      <c r="G10" s="2622" t="str">
        <f>IF(AND(F10&lt;&gt;$C$102,C10&gt;0),"&lt;&lt;&lt;&gt;&gt;&gt;","")</f>
        <v/>
      </c>
      <c r="H10" s="2622"/>
      <c r="I10" s="2629" t="str">
        <f>IF(OR(D103&gt;0,D104&gt;0,D105&gt;0,D106&gt;0),"Muista kohdistaa Kone- ja Rakennus- sekä Muut kustannustiedot rekistereihin vastaamaan tässä tekemääsi kohdistusta! Muutoin kustannukset eivät kohdistu oikein...","")</f>
        <v/>
      </c>
      <c r="J10" s="2629"/>
      <c r="K10" s="2629"/>
      <c r="L10" s="2629"/>
    </row>
    <row r="11" spans="1:12" ht="15" customHeight="1">
      <c r="A11" s="165" t="s">
        <v>1870</v>
      </c>
      <c r="C11" s="1383">
        <v>0</v>
      </c>
      <c r="D11" s="1564" t="s">
        <v>99</v>
      </c>
      <c r="E11" s="1569" t="str">
        <f t="shared" ref="E11:E20" si="0">IF(C11=0,"",C11/$C$8)</f>
        <v/>
      </c>
      <c r="F11" s="1566" t="s">
        <v>204</v>
      </c>
      <c r="G11" s="2622" t="str">
        <f t="shared" ref="G11:G20" si="1">IF(AND(F11&lt;&gt;$C$102,C11&gt;0),"&lt;&lt;&lt;&gt;&gt;&gt;","")</f>
        <v/>
      </c>
      <c r="H11" s="2622"/>
      <c r="I11" s="2629"/>
      <c r="J11" s="2629"/>
      <c r="K11" s="2629"/>
      <c r="L11" s="2629"/>
    </row>
    <row r="12" spans="1:12" ht="15" customHeight="1">
      <c r="A12" s="165" t="s">
        <v>1856</v>
      </c>
      <c r="C12" s="1383">
        <v>0</v>
      </c>
      <c r="D12" s="1564" t="s">
        <v>99</v>
      </c>
      <c r="E12" s="1569" t="str">
        <f t="shared" si="0"/>
        <v/>
      </c>
      <c r="F12" s="1566" t="s">
        <v>204</v>
      </c>
      <c r="G12" s="2622" t="str">
        <f t="shared" si="1"/>
        <v/>
      </c>
      <c r="H12" s="2622"/>
      <c r="I12" s="2629"/>
      <c r="J12" s="2629"/>
      <c r="K12" s="2629"/>
      <c r="L12" s="2629"/>
    </row>
    <row r="13" spans="1:12" ht="15" customHeight="1">
      <c r="A13" s="165" t="s">
        <v>1961</v>
      </c>
      <c r="C13" s="1383">
        <v>0</v>
      </c>
      <c r="D13" s="1564" t="s">
        <v>99</v>
      </c>
      <c r="E13" s="1569" t="str">
        <f t="shared" si="0"/>
        <v/>
      </c>
      <c r="F13" s="1566" t="s">
        <v>204</v>
      </c>
      <c r="G13" s="2622" t="str">
        <f t="shared" si="1"/>
        <v/>
      </c>
      <c r="H13" s="2622"/>
      <c r="I13" s="2629"/>
      <c r="J13" s="2629"/>
      <c r="K13" s="2629"/>
      <c r="L13" s="2629"/>
    </row>
    <row r="14" spans="1:12" ht="15" customHeight="1">
      <c r="A14" s="165" t="s">
        <v>1861</v>
      </c>
      <c r="C14" s="1383">
        <v>0</v>
      </c>
      <c r="D14" s="1564" t="s">
        <v>99</v>
      </c>
      <c r="E14" s="1569" t="str">
        <f t="shared" si="0"/>
        <v/>
      </c>
      <c r="F14" s="1566" t="s">
        <v>204</v>
      </c>
      <c r="G14" s="2622" t="str">
        <f t="shared" si="1"/>
        <v/>
      </c>
      <c r="H14" s="2622"/>
      <c r="I14" s="2629"/>
      <c r="J14" s="2629"/>
      <c r="K14" s="2629"/>
      <c r="L14" s="2629"/>
    </row>
    <row r="15" spans="1:12" ht="15.75" hidden="1" customHeight="1">
      <c r="A15" s="165" t="s">
        <v>1857</v>
      </c>
      <c r="C15" s="1383">
        <v>0</v>
      </c>
      <c r="D15" s="1564" t="s">
        <v>99</v>
      </c>
      <c r="E15" s="1569" t="str">
        <f t="shared" si="0"/>
        <v/>
      </c>
      <c r="F15" s="1566" t="s">
        <v>204</v>
      </c>
      <c r="G15" s="2622" t="str">
        <f t="shared" si="1"/>
        <v/>
      </c>
      <c r="H15" s="2622"/>
      <c r="I15" s="2629"/>
      <c r="J15" s="2629"/>
      <c r="K15" s="2629"/>
      <c r="L15" s="2629"/>
    </row>
    <row r="16" spans="1:12" ht="15" hidden="1" customHeight="1">
      <c r="A16" s="165" t="s">
        <v>1906</v>
      </c>
      <c r="C16" s="1383">
        <v>0</v>
      </c>
      <c r="D16" s="1564" t="s">
        <v>99</v>
      </c>
      <c r="E16" s="1569" t="str">
        <f>IF(C16=0,"",C16/$C$8)</f>
        <v/>
      </c>
      <c r="F16" s="1566" t="s">
        <v>204</v>
      </c>
      <c r="G16" s="2622" t="str">
        <f t="shared" si="1"/>
        <v/>
      </c>
      <c r="H16" s="2622"/>
      <c r="I16" s="2629"/>
      <c r="J16" s="2629"/>
      <c r="K16" s="2629"/>
      <c r="L16" s="2629"/>
    </row>
    <row r="17" spans="1:12" ht="15" hidden="1" customHeight="1">
      <c r="A17" s="165" t="s">
        <v>1907</v>
      </c>
      <c r="C17" s="1383">
        <v>0</v>
      </c>
      <c r="D17" s="1564" t="s">
        <v>99</v>
      </c>
      <c r="E17" s="1569" t="str">
        <f t="shared" ref="E17:E19" si="2">IF(C17=0,"",C17/$C$8)</f>
        <v/>
      </c>
      <c r="F17" s="1566" t="s">
        <v>204</v>
      </c>
      <c r="G17" s="2622" t="str">
        <f t="shared" si="1"/>
        <v/>
      </c>
      <c r="H17" s="2622"/>
      <c r="I17" s="2629"/>
      <c r="J17" s="2629"/>
      <c r="K17" s="2629"/>
      <c r="L17" s="2629"/>
    </row>
    <row r="18" spans="1:12" ht="15" hidden="1" customHeight="1">
      <c r="A18" s="165" t="s">
        <v>1858</v>
      </c>
      <c r="C18" s="1383">
        <v>0</v>
      </c>
      <c r="D18" s="1564" t="s">
        <v>99</v>
      </c>
      <c r="E18" s="1569" t="str">
        <f t="shared" si="2"/>
        <v/>
      </c>
      <c r="F18" s="1566" t="s">
        <v>204</v>
      </c>
      <c r="G18" s="2622" t="str">
        <f t="shared" si="1"/>
        <v/>
      </c>
      <c r="H18" s="2622"/>
      <c r="I18" s="2629"/>
      <c r="J18" s="2629"/>
      <c r="K18" s="2629"/>
      <c r="L18" s="2629"/>
    </row>
    <row r="19" spans="1:12" ht="15" hidden="1" customHeight="1">
      <c r="A19" s="165" t="s">
        <v>1859</v>
      </c>
      <c r="C19" s="1383">
        <v>0</v>
      </c>
      <c r="D19" s="1564" t="s">
        <v>99</v>
      </c>
      <c r="E19" s="1569" t="str">
        <f t="shared" si="2"/>
        <v/>
      </c>
      <c r="F19" s="1566" t="s">
        <v>204</v>
      </c>
      <c r="G19" s="2622" t="str">
        <f t="shared" si="1"/>
        <v/>
      </c>
      <c r="H19" s="2622"/>
      <c r="I19" s="2629"/>
      <c r="J19" s="2629"/>
      <c r="K19" s="2629"/>
      <c r="L19" s="2629"/>
    </row>
    <row r="20" spans="1:12" ht="15.75" hidden="1">
      <c r="A20" s="165" t="s">
        <v>1860</v>
      </c>
      <c r="C20" s="1383">
        <v>0</v>
      </c>
      <c r="D20" s="1564" t="s">
        <v>99</v>
      </c>
      <c r="E20" s="1569" t="str">
        <f t="shared" si="0"/>
        <v/>
      </c>
      <c r="F20" s="1566" t="s">
        <v>204</v>
      </c>
      <c r="G20" s="2622" t="str">
        <f t="shared" si="1"/>
        <v/>
      </c>
      <c r="H20" s="2622"/>
      <c r="I20" s="2629"/>
      <c r="J20" s="2629"/>
      <c r="K20" s="2629"/>
      <c r="L20" s="2629"/>
    </row>
    <row r="21" spans="1:12" ht="16.5" hidden="1">
      <c r="A21" s="165" t="s">
        <v>205</v>
      </c>
      <c r="C21" s="1384">
        <v>0</v>
      </c>
      <c r="D21" s="1565" t="s">
        <v>206</v>
      </c>
      <c r="E21" s="1569"/>
      <c r="F21" s="1567" t="s">
        <v>207</v>
      </c>
    </row>
    <row r="22" spans="1:12" ht="16.5" customHeight="1" thickBot="1">
      <c r="A22" s="12" t="s">
        <v>3</v>
      </c>
      <c r="C22" s="164">
        <f>SUM(C10:C20)</f>
        <v>0</v>
      </c>
      <c r="D22" s="18"/>
      <c r="E22" s="1570">
        <f>SUM(E10:E21)</f>
        <v>0</v>
      </c>
    </row>
    <row r="23" spans="1:12" ht="12" hidden="1" customHeight="1">
      <c r="F23" s="1114" t="s">
        <v>208</v>
      </c>
      <c r="G23" t="s">
        <v>209</v>
      </c>
    </row>
    <row r="24" spans="1:12" hidden="1">
      <c r="F24" s="1114" t="s">
        <v>210</v>
      </c>
      <c r="G24" t="s">
        <v>209</v>
      </c>
    </row>
    <row r="25" spans="1:12" hidden="1">
      <c r="F25" s="1114" t="s">
        <v>211</v>
      </c>
      <c r="G25" t="s">
        <v>209</v>
      </c>
    </row>
    <row r="26" spans="1:12" hidden="1">
      <c r="F26" s="1114" t="s">
        <v>212</v>
      </c>
      <c r="G26" t="s">
        <v>209</v>
      </c>
    </row>
    <row r="27" spans="1:12" hidden="1">
      <c r="F27" s="1114" t="s">
        <v>213</v>
      </c>
      <c r="G27" t="s">
        <v>209</v>
      </c>
    </row>
    <row r="28" spans="1:12" hidden="1">
      <c r="F28" s="1114"/>
      <c r="G28" t="s">
        <v>209</v>
      </c>
    </row>
    <row r="29" spans="1:12" hidden="1">
      <c r="F29" s="1114"/>
      <c r="G29" t="s">
        <v>209</v>
      </c>
    </row>
    <row r="30" spans="1:12" ht="13.5" hidden="1" customHeight="1">
      <c r="F30" s="1114"/>
      <c r="G30" t="s">
        <v>209</v>
      </c>
    </row>
    <row r="31" spans="1:12" ht="13.5" thickBot="1"/>
    <row r="32" spans="1:12" ht="15.75" thickBot="1">
      <c r="A32" s="868" t="s">
        <v>214</v>
      </c>
      <c r="B32" s="885">
        <v>0.15</v>
      </c>
      <c r="C32" s="1178">
        <v>60000</v>
      </c>
      <c r="D32" s="1177">
        <f>B32*C32</f>
        <v>9000</v>
      </c>
      <c r="E32" s="911">
        <v>2</v>
      </c>
      <c r="F32" t="str">
        <f>"yrittäjäjäsentä, jolloin henkeä kohden "&amp;C32/E32&amp;" €"</f>
        <v>yrittäjäjäsentä, jolloin henkeä kohden 30000 €</v>
      </c>
    </row>
    <row r="33" spans="1:7" ht="15">
      <c r="A33" s="1173" t="s">
        <v>215</v>
      </c>
      <c r="D33" s="1174">
        <v>3000</v>
      </c>
    </row>
    <row r="34" spans="1:7" ht="15">
      <c r="A34" s="868" t="s">
        <v>216</v>
      </c>
      <c r="D34" s="1174">
        <v>1500</v>
      </c>
    </row>
    <row r="35" spans="1:7" ht="15">
      <c r="A35" s="898" t="s">
        <v>3</v>
      </c>
      <c r="B35" s="168"/>
      <c r="D35" s="1176">
        <f>SUM(D32:D34)</f>
        <v>13500</v>
      </c>
    </row>
    <row r="37" spans="1:7">
      <c r="E37" t="s">
        <v>217</v>
      </c>
    </row>
    <row r="38" spans="1:7" ht="15.75" thickBot="1">
      <c r="A38" s="86" t="s">
        <v>218</v>
      </c>
      <c r="B38" t="s">
        <v>219</v>
      </c>
      <c r="C38" s="3" t="s">
        <v>1862</v>
      </c>
      <c r="E38" s="3" t="s">
        <v>220</v>
      </c>
      <c r="F38" s="521" t="s">
        <v>159</v>
      </c>
    </row>
    <row r="39" spans="1:7" ht="15.75" thickBot="1">
      <c r="A39" s="165" t="s">
        <v>1854</v>
      </c>
      <c r="B39" s="90">
        <v>1</v>
      </c>
      <c r="C39" s="166">
        <v>0</v>
      </c>
      <c r="D39" t="s">
        <v>150</v>
      </c>
      <c r="E39" s="1018">
        <f>C39*B39</f>
        <v>0</v>
      </c>
      <c r="F39" s="2418" t="str">
        <f t="shared" ref="F39:F45" si="3">IF(C39=0,"",C39*B39/$E$46)</f>
        <v/>
      </c>
      <c r="G39" s="2370" t="s">
        <v>210</v>
      </c>
    </row>
    <row r="40" spans="1:7" ht="15.75" thickBot="1">
      <c r="A40" s="165" t="s">
        <v>221</v>
      </c>
      <c r="B40" s="90">
        <v>1</v>
      </c>
      <c r="C40" s="166">
        <v>0</v>
      </c>
      <c r="D40" t="s">
        <v>150</v>
      </c>
      <c r="E40" s="1018">
        <f t="shared" ref="E40:E42" si="4">C40*B40</f>
        <v>0</v>
      </c>
      <c r="F40" s="1019" t="str">
        <f t="shared" si="3"/>
        <v/>
      </c>
      <c r="G40" s="2370" t="s">
        <v>210</v>
      </c>
    </row>
    <row r="41" spans="1:7" ht="15.75" thickBot="1">
      <c r="A41" s="165" t="s">
        <v>222</v>
      </c>
      <c r="B41" s="90">
        <v>1</v>
      </c>
      <c r="C41" s="166">
        <v>0</v>
      </c>
      <c r="D41" t="s">
        <v>150</v>
      </c>
      <c r="E41" s="1018">
        <f t="shared" si="4"/>
        <v>0</v>
      </c>
      <c r="F41" s="1019" t="str">
        <f t="shared" si="3"/>
        <v/>
      </c>
      <c r="G41" s="2370" t="s">
        <v>210</v>
      </c>
    </row>
    <row r="42" spans="1:7" ht="15.75" thickBot="1">
      <c r="A42" s="165" t="s">
        <v>1901</v>
      </c>
      <c r="B42" s="90">
        <v>1</v>
      </c>
      <c r="C42" s="166">
        <v>0</v>
      </c>
      <c r="D42" t="s">
        <v>150</v>
      </c>
      <c r="E42" s="1018">
        <f t="shared" si="4"/>
        <v>0</v>
      </c>
      <c r="F42" s="1019" t="str">
        <f t="shared" si="3"/>
        <v/>
      </c>
      <c r="G42" s="2370" t="s">
        <v>210</v>
      </c>
    </row>
    <row r="43" spans="1:7" ht="15.75" thickBot="1">
      <c r="A43" s="165" t="s">
        <v>1868</v>
      </c>
      <c r="B43" s="90">
        <v>0.6</v>
      </c>
      <c r="C43" s="166">
        <v>0</v>
      </c>
      <c r="D43" t="s">
        <v>150</v>
      </c>
      <c r="E43" s="1018">
        <f>C43*B43</f>
        <v>0</v>
      </c>
      <c r="F43" s="1019" t="str">
        <f t="shared" si="3"/>
        <v/>
      </c>
      <c r="G43" s="2370" t="s">
        <v>210</v>
      </c>
    </row>
    <row r="44" spans="1:7" ht="15.75" thickBot="1">
      <c r="A44" s="165" t="s">
        <v>1900</v>
      </c>
      <c r="B44" s="90">
        <v>0.6</v>
      </c>
      <c r="C44" s="166">
        <v>0</v>
      </c>
      <c r="D44" t="s">
        <v>150</v>
      </c>
      <c r="E44" s="1018">
        <f>C44*B44</f>
        <v>0</v>
      </c>
      <c r="F44" s="1019" t="str">
        <f t="shared" si="3"/>
        <v/>
      </c>
      <c r="G44" s="2370" t="s">
        <v>210</v>
      </c>
    </row>
    <row r="45" spans="1:7" ht="15.75" thickBot="1">
      <c r="A45" s="165" t="s">
        <v>223</v>
      </c>
      <c r="B45" s="90">
        <v>0.6</v>
      </c>
      <c r="C45" s="166">
        <v>0</v>
      </c>
      <c r="D45" t="s">
        <v>150</v>
      </c>
      <c r="E45" s="1018">
        <f>C45*B45</f>
        <v>0</v>
      </c>
      <c r="F45" s="1019" t="str">
        <f t="shared" si="3"/>
        <v/>
      </c>
      <c r="G45" s="2370" t="s">
        <v>210</v>
      </c>
    </row>
    <row r="46" spans="1:7" ht="13.5" thickBot="1">
      <c r="C46" s="164">
        <f>SUM(C39:C45)</f>
        <v>0</v>
      </c>
      <c r="D46" t="s">
        <v>150</v>
      </c>
      <c r="E46" s="869">
        <f>SUM(E39:E45)</f>
        <v>0</v>
      </c>
      <c r="F46" s="1019" t="str">
        <f>IF(C46=0,"",C46/$C$46)</f>
        <v/>
      </c>
    </row>
    <row r="48" spans="1:7" ht="15">
      <c r="A48" s="886" t="s">
        <v>224</v>
      </c>
      <c r="D48" s="1174">
        <v>5000</v>
      </c>
    </row>
    <row r="49" spans="1:11" ht="15">
      <c r="A49" s="886" t="s">
        <v>225</v>
      </c>
      <c r="D49" s="1174">
        <v>1500</v>
      </c>
    </row>
    <row r="50" spans="1:11" ht="15.75">
      <c r="A50" s="902" t="s">
        <v>3</v>
      </c>
      <c r="D50" s="1175">
        <f>SUM(D48:D49)</f>
        <v>6500</v>
      </c>
    </row>
    <row r="51" spans="1:11" ht="15.75" hidden="1">
      <c r="A51" s="902"/>
      <c r="D51" s="391"/>
    </row>
    <row r="52" spans="1:11" ht="15.75" hidden="1">
      <c r="A52" s="86" t="s">
        <v>226</v>
      </c>
      <c r="C52" s="4"/>
      <c r="D52" s="391"/>
    </row>
    <row r="53" spans="1:11" ht="15.75" hidden="1">
      <c r="A53" s="165" t="s">
        <v>227</v>
      </c>
      <c r="C53" s="166">
        <v>0</v>
      </c>
      <c r="D53" s="391" t="s">
        <v>99</v>
      </c>
    </row>
    <row r="54" spans="1:11" ht="15" hidden="1">
      <c r="A54" s="886" t="s">
        <v>228</v>
      </c>
      <c r="D54" s="867">
        <v>0</v>
      </c>
    </row>
    <row r="55" spans="1:11" ht="15" hidden="1">
      <c r="A55" s="886" t="s">
        <v>229</v>
      </c>
      <c r="D55" s="867">
        <v>0</v>
      </c>
    </row>
    <row r="56" spans="1:11" ht="15.75" hidden="1">
      <c r="A56" s="902" t="s">
        <v>3</v>
      </c>
      <c r="D56" s="391">
        <f>SUM(D54:D55)</f>
        <v>0</v>
      </c>
    </row>
    <row r="57" spans="1:11" ht="15.75">
      <c r="A57" s="902"/>
      <c r="D57" s="391"/>
    </row>
    <row r="58" spans="1:11" ht="15">
      <c r="A58" s="2612" t="s">
        <v>21</v>
      </c>
      <c r="B58" s="2612"/>
      <c r="C58" s="2612"/>
      <c r="D58" s="2612"/>
      <c r="E58" s="2612"/>
      <c r="F58" s="2612"/>
      <c r="G58" s="2612"/>
      <c r="H58" s="1544"/>
      <c r="I58" s="1544"/>
      <c r="J58" s="2616" t="s">
        <v>230</v>
      </c>
      <c r="K58" s="2617"/>
    </row>
    <row r="59" spans="1:11" ht="35.25" customHeight="1" thickBot="1">
      <c r="A59" s="814"/>
      <c r="B59" s="4" t="s">
        <v>99</v>
      </c>
      <c r="D59" t="s">
        <v>231</v>
      </c>
      <c r="E59" t="s">
        <v>232</v>
      </c>
      <c r="F59" s="1543" t="s">
        <v>233</v>
      </c>
      <c r="G59" s="188" t="s">
        <v>234</v>
      </c>
      <c r="H59" t="s">
        <v>3</v>
      </c>
      <c r="J59" s="2614" t="s">
        <v>235</v>
      </c>
      <c r="K59" s="2615"/>
    </row>
    <row r="60" spans="1:11" ht="13.5" thickBot="1">
      <c r="A60" s="903" t="s">
        <v>204</v>
      </c>
      <c r="B60" s="1493">
        <f t="shared" ref="B60:B70" si="5">SUMIF($F$10:$F$20,A60,$C$10:$C$20)</f>
        <v>0</v>
      </c>
      <c r="C60" s="868"/>
      <c r="D60" s="1238">
        <f>SUMIF(Konerekisteri!$E$29:$E$39,A60,Konerekisteri!$M$29:$M$39)</f>
        <v>0</v>
      </c>
      <c r="E60" s="1238">
        <f>SUMIF(Rakennukset!$G$24:$G$34,A60,Rakennukset!$V$24:$V$34)</f>
        <v>0</v>
      </c>
      <c r="F60" s="1542">
        <f>SUMIF('Muut kustannustiedot'!$H$24:$H$34,A60,'Muut kustannustiedot'!$V$24:$V$34)</f>
        <v>0</v>
      </c>
      <c r="G60" s="2366">
        <f>SUMIF($F$10:$F$20,A60,$E$10:$E$20)*$D$35</f>
        <v>0</v>
      </c>
      <c r="H60" s="1238">
        <f>SUM(D60:G60)</f>
        <v>0</v>
      </c>
      <c r="I60" s="991" t="str">
        <f t="shared" ref="I60:I71" si="6">IFERROR(H60/$H$82,"")</f>
        <v/>
      </c>
      <c r="J60" s="2613" t="str">
        <f>IFERROR(H60/B60,"")</f>
        <v/>
      </c>
      <c r="K60" s="2613"/>
    </row>
    <row r="61" spans="1:11" ht="13.5" thickBot="1">
      <c r="A61" s="903" t="s">
        <v>236</v>
      </c>
      <c r="B61" s="1493">
        <f t="shared" si="5"/>
        <v>0</v>
      </c>
      <c r="C61" s="868"/>
      <c r="D61" s="1238">
        <f>SUMIF(Konerekisteri!$E$29:$E$39,A61,Konerekisteri!$M$29:$M$39)</f>
        <v>0</v>
      </c>
      <c r="E61" s="1238">
        <f>SUMIF(Rakennukset!$G$24:$G$34,A61,Rakennukset!$V$24:$V$34)</f>
        <v>0</v>
      </c>
      <c r="F61" s="1542">
        <f>SUMIF('Muut kustannustiedot'!$H$24:$H$34,A61,'Muut kustannustiedot'!$V$24:$V$34)</f>
        <v>0</v>
      </c>
      <c r="G61" s="2367">
        <f t="shared" ref="G61:G70" si="7">SUMIF($F$10:$F$20,A61,$E$10:$E$20)*$D$35</f>
        <v>0</v>
      </c>
      <c r="H61" s="1238">
        <f t="shared" ref="H61:H70" si="8">SUM(D61:G61)</f>
        <v>0</v>
      </c>
      <c r="I61" s="991" t="str">
        <f t="shared" si="6"/>
        <v/>
      </c>
      <c r="J61" s="2613" t="str">
        <f t="shared" ref="J61:J63" si="9">IFERROR(H61/B61,"")</f>
        <v/>
      </c>
      <c r="K61" s="2613"/>
    </row>
    <row r="62" spans="1:11" ht="13.5" thickBot="1">
      <c r="A62" s="903" t="s">
        <v>210</v>
      </c>
      <c r="B62" s="1493">
        <f t="shared" si="5"/>
        <v>0</v>
      </c>
      <c r="C62" s="868"/>
      <c r="D62" s="1238">
        <f>SUMIF(Konerekisteri!$E$29:$E$39,A62,Konerekisteri!$M$29:$M$39)</f>
        <v>0</v>
      </c>
      <c r="E62" s="1238">
        <f>SUMIF(Rakennukset!$G$24:$G$34,A62,Rakennukset!$V$24:$V$34)</f>
        <v>0</v>
      </c>
      <c r="F62" s="1542">
        <f>SUMIF('Muut kustannustiedot'!$H$24:$H$34,A62,'Muut kustannustiedot'!$V$24:$V$34)</f>
        <v>0</v>
      </c>
      <c r="G62" s="2367">
        <f>IF(C46&gt;0,SUM(D50),0)</f>
        <v>0</v>
      </c>
      <c r="H62" s="1238">
        <f t="shared" si="8"/>
        <v>0</v>
      </c>
      <c r="I62" s="991" t="str">
        <f t="shared" si="6"/>
        <v/>
      </c>
      <c r="J62" s="2613" t="str">
        <f t="shared" si="9"/>
        <v/>
      </c>
      <c r="K62" s="2613"/>
    </row>
    <row r="63" spans="1:11" ht="13.5" thickBot="1">
      <c r="A63" s="903" t="s">
        <v>207</v>
      </c>
      <c r="B63" s="1493">
        <f t="shared" si="5"/>
        <v>0</v>
      </c>
      <c r="C63" s="868"/>
      <c r="D63" s="1238">
        <f>SUMIF(Konerekisteri!$E$29:$E$39,A63,Konerekisteri!$M$29:$M$39)</f>
        <v>0</v>
      </c>
      <c r="E63" s="1238">
        <f>SUMIF(Rakennukset!$G$24:$G$34,A63,Rakennukset!$V$24:$V$34)</f>
        <v>0</v>
      </c>
      <c r="F63" s="1542">
        <f>SUMIF('Muut kustannustiedot'!$H$24:$H$34,A63,'Muut kustannustiedot'!$V$24:$V$34)</f>
        <v>0</v>
      </c>
      <c r="G63" s="2367">
        <f>SUMIF($F$10:$F$20,A63,$E$10:$E$20)*$D$35</f>
        <v>0</v>
      </c>
      <c r="H63" s="1238">
        <f t="shared" si="8"/>
        <v>0</v>
      </c>
      <c r="I63" s="991" t="str">
        <f t="shared" si="6"/>
        <v/>
      </c>
      <c r="J63" s="2613" t="str">
        <f t="shared" si="9"/>
        <v/>
      </c>
      <c r="K63" s="2613"/>
    </row>
    <row r="64" spans="1:11" ht="13.5" thickBot="1">
      <c r="A64" s="903" t="s">
        <v>208</v>
      </c>
      <c r="B64" s="1493">
        <f t="shared" si="5"/>
        <v>0</v>
      </c>
      <c r="C64" s="868"/>
      <c r="D64" s="1238">
        <f>SUMIF(Konerekisteri!$E$29:$E$39,A64,Konerekisteri!$M$29:$M$39)</f>
        <v>0</v>
      </c>
      <c r="E64" s="1238">
        <f>SUMIF(Rakennukset!$G$24:$G$34,A64,Rakennukset!$V$24:$V$34)</f>
        <v>0</v>
      </c>
      <c r="F64" s="1542">
        <f>SUMIF('Muut kustannustiedot'!$H$24:$H$34,A64,'Muut kustannustiedot'!$V$24:$V$34)</f>
        <v>0</v>
      </c>
      <c r="G64" s="2367">
        <f t="shared" si="7"/>
        <v>0</v>
      </c>
      <c r="H64" s="1238">
        <f t="shared" si="8"/>
        <v>0</v>
      </c>
      <c r="I64" s="991" t="str">
        <f t="shared" si="6"/>
        <v/>
      </c>
      <c r="J64" s="2613"/>
      <c r="K64" s="2613"/>
    </row>
    <row r="65" spans="1:11" ht="13.5" thickBot="1">
      <c r="A65" s="903" t="s">
        <v>211</v>
      </c>
      <c r="B65" s="1493">
        <f t="shared" si="5"/>
        <v>0</v>
      </c>
      <c r="C65" s="868"/>
      <c r="D65" s="1238">
        <f>SUMIF(Konerekisteri!$E$29:$E$39,A65,Konerekisteri!$M$29:$M$39)</f>
        <v>0</v>
      </c>
      <c r="E65" s="1238">
        <f>SUMIF(Rakennukset!$G$24:$G$34,A65,Rakennukset!$V$24:$V$34)</f>
        <v>0</v>
      </c>
      <c r="F65" s="1542">
        <f>SUMIF('Muut kustannustiedot'!$H$24:$H$34,A65,'Muut kustannustiedot'!$V$24:$V$34)</f>
        <v>0</v>
      </c>
      <c r="G65" s="2367">
        <f t="shared" si="7"/>
        <v>0</v>
      </c>
      <c r="H65" s="1238">
        <f t="shared" si="8"/>
        <v>0</v>
      </c>
      <c r="I65" s="991" t="str">
        <f t="shared" si="6"/>
        <v/>
      </c>
      <c r="J65" s="2613"/>
      <c r="K65" s="2613"/>
    </row>
    <row r="66" spans="1:11" ht="13.5" thickBot="1">
      <c r="A66" s="903" t="s">
        <v>212</v>
      </c>
      <c r="B66" s="1493">
        <f t="shared" si="5"/>
        <v>0</v>
      </c>
      <c r="C66" s="868"/>
      <c r="D66" s="1238">
        <f>SUMIF(Konerekisteri!$E$29:$E$39,A66,Konerekisteri!$M$29:$M$39)</f>
        <v>0</v>
      </c>
      <c r="E66" s="1238">
        <f>SUMIF(Rakennukset!$G$24:$G$34,A66,Rakennukset!$V$24:$V$34)</f>
        <v>0</v>
      </c>
      <c r="F66" s="1542">
        <f>SUMIF('Muut kustannustiedot'!$H$24:$H$34,A66,'Muut kustannustiedot'!$V$24:$V$34)</f>
        <v>0</v>
      </c>
      <c r="G66" s="2367">
        <f t="shared" si="7"/>
        <v>0</v>
      </c>
      <c r="H66" s="1238">
        <f t="shared" si="8"/>
        <v>0</v>
      </c>
      <c r="I66" s="991" t="str">
        <f t="shared" si="6"/>
        <v/>
      </c>
      <c r="J66" s="2613" t="str">
        <f>IFERROR(H66/B66,"")</f>
        <v/>
      </c>
      <c r="K66" s="2613"/>
    </row>
    <row r="67" spans="1:11" ht="13.5" thickBot="1">
      <c r="A67" s="903" t="s">
        <v>213</v>
      </c>
      <c r="B67" s="1493">
        <f t="shared" si="5"/>
        <v>0</v>
      </c>
      <c r="C67" s="868"/>
      <c r="D67" s="1238">
        <f>SUMIF(Konerekisteri!$E$29:$E$39,A67,Konerekisteri!$M$29:$M$39)</f>
        <v>0</v>
      </c>
      <c r="E67" s="1238">
        <f>SUMIF(Rakennukset!$G$24:$G$34,A67,Rakennukset!$V$24:$V$34)</f>
        <v>0</v>
      </c>
      <c r="F67" s="1542">
        <f>SUMIF('Muut kustannustiedot'!$H$24:$H$34,A67,'Muut kustannustiedot'!$V$24:$V$34)</f>
        <v>0</v>
      </c>
      <c r="G67" s="2367">
        <f t="shared" si="7"/>
        <v>0</v>
      </c>
      <c r="H67" s="1238">
        <f t="shared" si="8"/>
        <v>0</v>
      </c>
      <c r="I67" s="991" t="str">
        <f t="shared" si="6"/>
        <v/>
      </c>
      <c r="J67" s="2613"/>
      <c r="K67" s="2613"/>
    </row>
    <row r="68" spans="1:11" ht="13.5" thickBot="1">
      <c r="A68" s="903" t="str">
        <f>IF($J$9&lt;&gt;"",$J$9,"-")</f>
        <v>mansikka</v>
      </c>
      <c r="B68" s="1493">
        <f t="shared" si="5"/>
        <v>0</v>
      </c>
      <c r="C68" s="868"/>
      <c r="D68" s="1238">
        <f>SUMIF(Konerekisteri!$E$29:$E$39,A68,Konerekisteri!$M$29:$M$39)</f>
        <v>0</v>
      </c>
      <c r="E68" s="1238">
        <f>SUMIF(Rakennukset!$G$24:$G$34,A68,Rakennukset!$V$24:$V$34)</f>
        <v>0</v>
      </c>
      <c r="F68" s="1542">
        <f>SUMIF('Muut kustannustiedot'!$H$24:$H$34,A68,'Muut kustannustiedot'!$V$24:$V$34)</f>
        <v>0</v>
      </c>
      <c r="G68" s="2367">
        <f>SUMIF($F$10:$F$20,A68,$E$10:$E$20)*$D$35</f>
        <v>0</v>
      </c>
      <c r="H68" s="1238">
        <f t="shared" si="8"/>
        <v>0</v>
      </c>
      <c r="I68" s="991" t="str">
        <f t="shared" si="6"/>
        <v/>
      </c>
      <c r="J68" s="2613" t="str">
        <f>IFERROR(H68/B68,"")</f>
        <v/>
      </c>
      <c r="K68" s="2613"/>
    </row>
    <row r="69" spans="1:11" ht="13.5" thickBot="1">
      <c r="A69" s="903" t="str">
        <f>IF($K$9&lt;&gt;"",$K$9,"-")</f>
        <v>herukka</v>
      </c>
      <c r="B69" s="1493">
        <f t="shared" si="5"/>
        <v>0</v>
      </c>
      <c r="C69" s="1011"/>
      <c r="D69" s="1238">
        <f>SUMIF(Konerekisteri!$E$29:$E$39,A69,Konerekisteri!$M$29:$M$39)</f>
        <v>0</v>
      </c>
      <c r="E69" s="1238">
        <f>SUMIF(Rakennukset!$G$24:$G$34,A69,Rakennukset!$V$24:$V$34)</f>
        <v>0</v>
      </c>
      <c r="F69" s="1542">
        <f>SUMIF('Muut kustannustiedot'!$H$24:$H$34,A69,'Muut kustannustiedot'!$V$24:$V$34)</f>
        <v>0</v>
      </c>
      <c r="G69" s="2367">
        <f t="shared" si="7"/>
        <v>0</v>
      </c>
      <c r="H69" s="1238">
        <f t="shared" si="8"/>
        <v>0</v>
      </c>
      <c r="I69" s="991" t="str">
        <f t="shared" si="6"/>
        <v/>
      </c>
      <c r="J69" s="2613" t="str">
        <f>IFERROR(H69/B69,"")</f>
        <v/>
      </c>
      <c r="K69" s="2613"/>
    </row>
    <row r="70" spans="1:11" ht="13.5" thickBot="1">
      <c r="A70" s="903" t="str">
        <f>IF($L$9&lt;&gt;"",$L$9,"-")</f>
        <v>öljykasvit</v>
      </c>
      <c r="B70" s="1493">
        <f t="shared" si="5"/>
        <v>0</v>
      </c>
      <c r="C70" s="1011"/>
      <c r="D70" s="1238">
        <f>SUMIF(Konerekisteri!$E$29:$E$39,A70,Konerekisteri!$M$29:$M$39)</f>
        <v>0</v>
      </c>
      <c r="E70" s="1238">
        <f>SUMIF(Rakennukset!$G$24:$G$34,A70,Rakennukset!$V$24:$V$34)</f>
        <v>0</v>
      </c>
      <c r="F70" s="1542">
        <f>SUMIF('Muut kustannustiedot'!$H$24:$H$34,A70,'Muut kustannustiedot'!$V$24:$V$34)</f>
        <v>0</v>
      </c>
      <c r="G70" s="2367">
        <f t="shared" si="7"/>
        <v>0</v>
      </c>
      <c r="H70" s="1238">
        <f t="shared" si="8"/>
        <v>0</v>
      </c>
      <c r="I70" s="991" t="str">
        <f t="shared" si="6"/>
        <v/>
      </c>
      <c r="J70" s="2613" t="str">
        <f>IFERROR(H70/B70,"")</f>
        <v/>
      </c>
      <c r="K70" s="2613"/>
    </row>
    <row r="71" spans="1:11" ht="13.5" thickBot="1">
      <c r="A71" s="904" t="s">
        <v>3</v>
      </c>
      <c r="B71" s="1493">
        <f>SUM(B60:B70)</f>
        <v>0</v>
      </c>
      <c r="C71" s="868"/>
      <c r="D71" s="1546">
        <f t="shared" ref="D71:F71" si="10">SUM(D60:D70)</f>
        <v>0</v>
      </c>
      <c r="E71" s="1546">
        <f t="shared" si="10"/>
        <v>0</v>
      </c>
      <c r="F71" s="1546">
        <f t="shared" si="10"/>
        <v>0</v>
      </c>
      <c r="G71" s="2368">
        <f>SUM(G60:G70)</f>
        <v>0</v>
      </c>
      <c r="H71" s="1546">
        <f>SUM(H60:H70)</f>
        <v>0</v>
      </c>
      <c r="I71" s="1017" t="str">
        <f t="shared" si="6"/>
        <v/>
      </c>
      <c r="J71" s="2613" t="str">
        <f>IFERROR(H71/B71,"")</f>
        <v/>
      </c>
      <c r="K71" s="2613"/>
    </row>
    <row r="72" spans="1:11" ht="27.75" customHeight="1" thickBot="1">
      <c r="A72" s="905"/>
      <c r="B72" s="868" t="s">
        <v>237</v>
      </c>
      <c r="C72" s="868" t="s">
        <v>238</v>
      </c>
      <c r="D72" s="868" t="str">
        <f>D59</f>
        <v>Koneet</v>
      </c>
      <c r="E72" s="868" t="str">
        <f t="shared" ref="E72:F72" si="11">E59</f>
        <v>Rakennukset</v>
      </c>
      <c r="F72" s="1543" t="str">
        <f t="shared" si="11"/>
        <v>Muut kustannustiedoista</v>
      </c>
      <c r="G72" s="868" t="s">
        <v>28</v>
      </c>
      <c r="H72" s="868" t="s">
        <v>3</v>
      </c>
      <c r="I72" s="4"/>
      <c r="J72" s="906" t="s">
        <v>239</v>
      </c>
      <c r="K72" s="841" t="s">
        <v>240</v>
      </c>
    </row>
    <row r="73" spans="1:11" ht="13.5" thickBot="1">
      <c r="A73" s="903" t="str">
        <f t="shared" ref="A73:A79" si="12">A39</f>
        <v>Maito (LaskeMaito1)</v>
      </c>
      <c r="B73" s="881">
        <f t="shared" ref="B73:B79" si="13">E39</f>
        <v>0</v>
      </c>
      <c r="C73" s="882" t="str">
        <f t="shared" ref="C73:C79" si="14">IFERROR(C39*B39/$E$46,"")</f>
        <v/>
      </c>
      <c r="D73" s="1239" t="str">
        <f>IFERROR(Konerekisteri!$M$31*C73,"")</f>
        <v/>
      </c>
      <c r="E73" s="1239" t="str">
        <f>IFERROR(Rakennukset!$V$26*C73,"")</f>
        <v/>
      </c>
      <c r="F73" s="1239">
        <f>IF(C73&lt;&gt;"",'Muut kustannustiedot'!$V$26*Lähtötiedot!C73,0)</f>
        <v>0</v>
      </c>
      <c r="G73" s="1239" t="str">
        <f t="shared" ref="G73:G79" si="15">IFERROR(SUM($D$48:$D$49)*C73,"")</f>
        <v/>
      </c>
      <c r="H73" s="1239">
        <f t="shared" ref="H73:H79" si="16">SUM(D73:G73)</f>
        <v>0</v>
      </c>
      <c r="I73" s="991" t="str">
        <f t="shared" ref="I73:I80" si="17">IFERROR(H73/$H$82,"")</f>
        <v/>
      </c>
      <c r="J73" s="1237">
        <f t="shared" ref="J73:J79" si="18">IF(B73&gt;=1,H73/B73,H73)</f>
        <v>0</v>
      </c>
      <c r="K73" s="1237" t="str">
        <f t="shared" ref="K73:K79" si="19">IFERROR(H73/(E39/B39),"")</f>
        <v/>
      </c>
    </row>
    <row r="74" spans="1:11" ht="13.5" thickBot="1">
      <c r="A74" s="903" t="str">
        <f t="shared" si="12"/>
        <v>LaskeMaito2 laskelma 2. Piilossa, aktivoi</v>
      </c>
      <c r="B74" s="881">
        <f t="shared" si="13"/>
        <v>0</v>
      </c>
      <c r="C74" s="882" t="str">
        <f t="shared" si="14"/>
        <v/>
      </c>
      <c r="D74" s="1239" t="str">
        <f>IFERROR(Konerekisteri!$M$31*C74,"")</f>
        <v/>
      </c>
      <c r="E74" s="1239" t="str">
        <f>IFERROR(Rakennukset!$V$26*C74,"")</f>
        <v/>
      </c>
      <c r="F74" s="1239">
        <f>IF(C74&lt;&gt;"",'Muut kustannustiedot'!$V$26*Lähtötiedot!C74,0)</f>
        <v>0</v>
      </c>
      <c r="G74" s="1239" t="str">
        <f t="shared" si="15"/>
        <v/>
      </c>
      <c r="H74" s="1239">
        <f t="shared" si="16"/>
        <v>0</v>
      </c>
      <c r="I74" s="991" t="str">
        <f t="shared" si="17"/>
        <v/>
      </c>
      <c r="J74" s="1237">
        <f t="shared" si="18"/>
        <v>0</v>
      </c>
      <c r="K74" s="1237" t="str">
        <f t="shared" si="19"/>
        <v/>
      </c>
    </row>
    <row r="75" spans="1:11" ht="13.5" thickBot="1">
      <c r="A75" s="903" t="str">
        <f t="shared" si="12"/>
        <v>LaskeMaito3 laskelma 3. Piilossa, aktivoi</v>
      </c>
      <c r="B75" s="881">
        <f t="shared" si="13"/>
        <v>0</v>
      </c>
      <c r="C75" s="882" t="str">
        <f t="shared" si="14"/>
        <v/>
      </c>
      <c r="D75" s="1239" t="str">
        <f>IFERROR(Konerekisteri!$M$31*C75,"")</f>
        <v/>
      </c>
      <c r="E75" s="1239" t="str">
        <f>IFERROR(Rakennukset!$V$26*C75,"")</f>
        <v/>
      </c>
      <c r="F75" s="1239">
        <f>IF(C75&lt;&gt;"",'Muut kustannustiedot'!$V$26*Lähtötiedot!C75,0)</f>
        <v>0</v>
      </c>
      <c r="G75" s="1239" t="str">
        <f t="shared" si="15"/>
        <v/>
      </c>
      <c r="H75" s="1239">
        <f t="shared" si="16"/>
        <v>0</v>
      </c>
      <c r="I75" s="991" t="str">
        <f t="shared" si="17"/>
        <v/>
      </c>
      <c r="J75" s="1237">
        <f t="shared" si="18"/>
        <v>0</v>
      </c>
      <c r="K75" s="1237" t="str">
        <f t="shared" si="19"/>
        <v/>
      </c>
    </row>
    <row r="76" spans="1:11" ht="13.5" thickBot="1">
      <c r="A76" s="903" t="str">
        <f t="shared" si="12"/>
        <v>Laske Maito special  -Suurtilalle (ota tarvittaessa käyttöön, piilotettu)</v>
      </c>
      <c r="B76" s="881">
        <f t="shared" si="13"/>
        <v>0</v>
      </c>
      <c r="C76" s="882" t="str">
        <f t="shared" si="14"/>
        <v/>
      </c>
      <c r="D76" s="1239" t="str">
        <f>IFERROR(Konerekisteri!$M$31*C76,"")</f>
        <v/>
      </c>
      <c r="E76" s="1239" t="str">
        <f>IFERROR(Rakennukset!$V$26*C76,"")</f>
        <v/>
      </c>
      <c r="F76" s="1239">
        <f>IF(C76&lt;&gt;"",'Muut kustannustiedot'!$V$26*Lähtötiedot!C76,0)</f>
        <v>0</v>
      </c>
      <c r="G76" s="1239" t="str">
        <f t="shared" si="15"/>
        <v/>
      </c>
      <c r="H76" s="1239">
        <f t="shared" si="16"/>
        <v>0</v>
      </c>
      <c r="I76" s="991" t="str">
        <f t="shared" si="17"/>
        <v/>
      </c>
      <c r="J76" s="1237">
        <f t="shared" si="18"/>
        <v>0</v>
      </c>
      <c r="K76" s="1237" t="str">
        <f t="shared" si="19"/>
        <v/>
      </c>
    </row>
    <row r="77" spans="1:11" ht="13.5" thickBot="1">
      <c r="A77" s="903" t="str">
        <f t="shared" si="12"/>
        <v>Laske Liha</v>
      </c>
      <c r="B77" s="881">
        <f t="shared" si="13"/>
        <v>0</v>
      </c>
      <c r="C77" s="882" t="str">
        <f t="shared" si="14"/>
        <v/>
      </c>
      <c r="D77" s="1239" t="str">
        <f>IFERROR(Konerekisteri!$M$31*C77,"")</f>
        <v/>
      </c>
      <c r="E77" s="1239" t="str">
        <f>IFERROR(Rakennukset!$V$26*C77,"")</f>
        <v/>
      </c>
      <c r="F77" s="1239">
        <f>IF(C77&lt;&gt;"",'Muut kustannustiedot'!$V$26*Lähtötiedot!C77,0)</f>
        <v>0</v>
      </c>
      <c r="G77" s="1239" t="str">
        <f t="shared" si="15"/>
        <v/>
      </c>
      <c r="H77" s="1239">
        <f t="shared" si="16"/>
        <v>0</v>
      </c>
      <c r="I77" s="991" t="str">
        <f t="shared" si="17"/>
        <v/>
      </c>
      <c r="J77" s="1237">
        <f t="shared" si="18"/>
        <v>0</v>
      </c>
      <c r="K77" s="1237" t="str">
        <f t="shared" si="19"/>
        <v/>
      </c>
    </row>
    <row r="78" spans="1:11" ht="13.5" thickBot="1">
      <c r="A78" s="903" t="str">
        <f t="shared" si="12"/>
        <v>Laske Liha special  --Suurtilalle (ota tarvittaessa käyttöön, piilotettu)</v>
      </c>
      <c r="B78" s="881">
        <f t="shared" si="13"/>
        <v>0</v>
      </c>
      <c r="C78" s="882" t="str">
        <f t="shared" si="14"/>
        <v/>
      </c>
      <c r="D78" s="1239" t="str">
        <f>IFERROR(Konerekisteri!$M$31*C78,"")</f>
        <v/>
      </c>
      <c r="E78" s="1239" t="str">
        <f>IFERROR(Rakennukset!$V$26*C78,"")</f>
        <v/>
      </c>
      <c r="F78" s="1239">
        <f>IF(C78&lt;&gt;"",'Muut kustannustiedot'!$V$26*Lähtötiedot!C78,0)</f>
        <v>0</v>
      </c>
      <c r="G78" s="1239" t="str">
        <f>IFERROR(SUM($D$48:$D$49)*C78,"")</f>
        <v/>
      </c>
      <c r="H78" s="1239">
        <f t="shared" si="16"/>
        <v>0</v>
      </c>
      <c r="I78" s="991" t="str">
        <f t="shared" si="17"/>
        <v/>
      </c>
      <c r="J78" s="1237">
        <f t="shared" si="18"/>
        <v>0</v>
      </c>
      <c r="K78" s="1237" t="str">
        <f t="shared" si="19"/>
        <v/>
      </c>
    </row>
    <row r="79" spans="1:11" ht="13.5" thickBot="1">
      <c r="A79" s="903" t="str">
        <f t="shared" si="12"/>
        <v>Laske Liha 2  - Piilossa, aktivoi (hiiren oikea, näytä)</v>
      </c>
      <c r="B79" s="881">
        <f t="shared" si="13"/>
        <v>0</v>
      </c>
      <c r="C79" s="882" t="str">
        <f t="shared" si="14"/>
        <v/>
      </c>
      <c r="D79" s="1239" t="str">
        <f>IFERROR(Konerekisteri!$M$31*C79,"")</f>
        <v/>
      </c>
      <c r="E79" s="1239" t="str">
        <f>IFERROR(Rakennukset!$V$26*C79,"")</f>
        <v/>
      </c>
      <c r="F79" s="1239">
        <f>IF(C79&lt;&gt;"",'Muut kustannustiedot'!$V$26*Lähtötiedot!C79,0)</f>
        <v>0</v>
      </c>
      <c r="G79" s="1239" t="str">
        <f t="shared" si="15"/>
        <v/>
      </c>
      <c r="H79" s="1239">
        <f t="shared" si="16"/>
        <v>0</v>
      </c>
      <c r="I79" s="991" t="str">
        <f t="shared" si="17"/>
        <v/>
      </c>
      <c r="J79" s="1237">
        <f t="shared" si="18"/>
        <v>0</v>
      </c>
      <c r="K79" s="1237" t="str">
        <f t="shared" si="19"/>
        <v/>
      </c>
    </row>
    <row r="80" spans="1:11" ht="13.5" thickBot="1">
      <c r="A80" s="904" t="s">
        <v>3</v>
      </c>
      <c r="B80" s="881">
        <f t="shared" ref="B80:H80" si="20">SUM(B73:B79)</f>
        <v>0</v>
      </c>
      <c r="C80" s="1011">
        <f t="shared" si="20"/>
        <v>0</v>
      </c>
      <c r="D80" s="1240">
        <f t="shared" si="20"/>
        <v>0</v>
      </c>
      <c r="E80" s="1240">
        <f t="shared" si="20"/>
        <v>0</v>
      </c>
      <c r="F80" s="1240">
        <f t="shared" si="20"/>
        <v>0</v>
      </c>
      <c r="G80" s="1240">
        <f t="shared" si="20"/>
        <v>0</v>
      </c>
      <c r="H80" s="1240">
        <f t="shared" si="20"/>
        <v>0</v>
      </c>
      <c r="I80" s="991" t="str">
        <f t="shared" si="17"/>
        <v/>
      </c>
      <c r="J80" s="2611" t="str">
        <f>IFERROR(H80/B80,"")</f>
        <v/>
      </c>
      <c r="K80" s="2611"/>
    </row>
    <row r="81" spans="1:11" ht="13.5" thickBot="1"/>
    <row r="82" spans="1:11" ht="13.5" thickBot="1">
      <c r="A82" s="904" t="s">
        <v>241</v>
      </c>
      <c r="B82" s="1109">
        <f>SUM(B73:B80)</f>
        <v>0</v>
      </c>
      <c r="C82" s="901"/>
      <c r="D82" s="1241">
        <f>SUM(D80,D71)</f>
        <v>0</v>
      </c>
      <c r="E82" s="1241">
        <f>SUM(E80,E71)</f>
        <v>0</v>
      </c>
      <c r="F82" s="1241">
        <f>SUM(F80,F71)</f>
        <v>0</v>
      </c>
      <c r="G82" s="1241">
        <f>SUM(G80,G71)</f>
        <v>0</v>
      </c>
      <c r="H82" s="1241">
        <f>SUM(H80,H71)</f>
        <v>0</v>
      </c>
      <c r="I82" s="1017" t="str">
        <f>IFERROR(H82/$H$82,"")</f>
        <v/>
      </c>
      <c r="J82" s="2611">
        <f>IF(B80&gt;=1,H82/B80,H82)</f>
        <v>0</v>
      </c>
      <c r="K82" s="2611"/>
    </row>
    <row r="83" spans="1:11" ht="13.5" thickBot="1">
      <c r="A83" s="815"/>
      <c r="B83" s="818"/>
      <c r="C83" s="818"/>
      <c r="D83" s="818"/>
      <c r="E83" s="818"/>
      <c r="F83" s="818"/>
      <c r="G83" s="843"/>
      <c r="H83" s="818"/>
      <c r="I83" s="818"/>
      <c r="J83" s="843"/>
    </row>
    <row r="85" spans="1:11">
      <c r="A85" s="3" t="s">
        <v>1576</v>
      </c>
    </row>
    <row r="87" spans="1:11">
      <c r="A87" s="3" t="s">
        <v>1577</v>
      </c>
      <c r="B87" s="3"/>
      <c r="C87" s="3" t="s">
        <v>146</v>
      </c>
      <c r="D87" s="214" t="s">
        <v>1578</v>
      </c>
      <c r="E87" s="214"/>
      <c r="F87" s="3" t="s">
        <v>1579</v>
      </c>
      <c r="G87" s="1999" t="s">
        <v>146</v>
      </c>
    </row>
    <row r="88" spans="1:11" ht="15">
      <c r="A88" s="926" t="s">
        <v>1580</v>
      </c>
      <c r="B88" s="2023">
        <v>1</v>
      </c>
      <c r="C88" s="2024" t="s">
        <v>564</v>
      </c>
      <c r="D88" s="2023">
        <v>2660</v>
      </c>
      <c r="E88" s="2023" t="s">
        <v>1629</v>
      </c>
      <c r="F88" s="82">
        <f>B88*D88/1000</f>
        <v>2.66</v>
      </c>
      <c r="G88" s="925" t="s">
        <v>137</v>
      </c>
    </row>
    <row r="89" spans="1:11" ht="15">
      <c r="A89" s="926" t="s">
        <v>1581</v>
      </c>
      <c r="B89" s="2023">
        <v>1</v>
      </c>
      <c r="C89" s="2024" t="s">
        <v>564</v>
      </c>
      <c r="D89" s="2023">
        <v>2339</v>
      </c>
      <c r="E89" s="2025" t="s">
        <v>1625</v>
      </c>
      <c r="F89" s="82">
        <f>B89*D89/1000</f>
        <v>2.339</v>
      </c>
      <c r="G89" s="925" t="s">
        <v>137</v>
      </c>
    </row>
    <row r="90" spans="1:11" ht="15">
      <c r="A90" s="926" t="s">
        <v>1582</v>
      </c>
      <c r="B90" s="2023">
        <v>1</v>
      </c>
      <c r="C90" s="2024" t="s">
        <v>564</v>
      </c>
      <c r="D90" s="2023">
        <v>2184</v>
      </c>
      <c r="E90" s="2025" t="s">
        <v>1625</v>
      </c>
      <c r="F90" s="82">
        <f>B90*D90/1000</f>
        <v>2.1840000000000002</v>
      </c>
      <c r="G90" s="925" t="s">
        <v>137</v>
      </c>
    </row>
    <row r="91" spans="1:11" ht="15">
      <c r="A91" s="886" t="s">
        <v>1583</v>
      </c>
      <c r="B91" s="2023">
        <v>1</v>
      </c>
      <c r="C91" s="2024" t="s">
        <v>137</v>
      </c>
      <c r="D91" s="2023">
        <v>750.6</v>
      </c>
      <c r="E91" s="2025" t="s">
        <v>1584</v>
      </c>
      <c r="F91" s="82">
        <f t="shared" ref="F91:F93" si="21">B91*D91/1000</f>
        <v>0.75060000000000004</v>
      </c>
      <c r="G91" s="925" t="s">
        <v>137</v>
      </c>
    </row>
    <row r="92" spans="1:11" ht="15">
      <c r="A92" s="926" t="s">
        <v>1585</v>
      </c>
      <c r="B92" s="2023">
        <v>1</v>
      </c>
      <c r="C92" s="2024" t="s">
        <v>618</v>
      </c>
      <c r="D92" s="2023">
        <v>0</v>
      </c>
      <c r="E92" s="2025" t="s">
        <v>1584</v>
      </c>
      <c r="F92" s="82">
        <f t="shared" si="21"/>
        <v>0</v>
      </c>
      <c r="G92" s="925" t="s">
        <v>137</v>
      </c>
    </row>
    <row r="93" spans="1:11">
      <c r="A93" s="926"/>
      <c r="B93" s="2023">
        <v>1</v>
      </c>
      <c r="C93" s="2024"/>
      <c r="D93" s="2023">
        <v>0</v>
      </c>
      <c r="E93" s="2023"/>
      <c r="F93" s="82">
        <f t="shared" si="21"/>
        <v>0</v>
      </c>
      <c r="G93" s="925" t="s">
        <v>137</v>
      </c>
    </row>
    <row r="96" spans="1:11">
      <c r="A96" s="925" t="s">
        <v>1586</v>
      </c>
      <c r="B96" s="3" t="s">
        <v>1777</v>
      </c>
      <c r="C96" s="3" t="s">
        <v>1778</v>
      </c>
      <c r="D96" s="3" t="s">
        <v>1779</v>
      </c>
    </row>
    <row r="97" spans="1:5">
      <c r="B97" s="925" t="s">
        <v>1780</v>
      </c>
      <c r="C97" s="2306" t="s">
        <v>7</v>
      </c>
    </row>
    <row r="98" spans="1:5">
      <c r="B98" s="925" t="s">
        <v>1781</v>
      </c>
      <c r="C98" s="2306" t="s">
        <v>8</v>
      </c>
    </row>
    <row r="99" spans="1:5">
      <c r="A99" s="1166" t="s">
        <v>1587</v>
      </c>
    </row>
    <row r="100" spans="1:5">
      <c r="A100" s="1166" t="s">
        <v>1588</v>
      </c>
      <c r="D100" s="1999" t="s">
        <v>1779</v>
      </c>
    </row>
    <row r="101" spans="1:5">
      <c r="A101" s="1166" t="s">
        <v>1589</v>
      </c>
      <c r="C101" s="1999" t="s">
        <v>1819</v>
      </c>
      <c r="D101" s="1999" t="s">
        <v>147</v>
      </c>
      <c r="E101" s="3"/>
    </row>
    <row r="102" spans="1:5">
      <c r="C102" s="868" t="str">
        <f>H9</f>
        <v>kasvi</v>
      </c>
      <c r="D102" s="2370">
        <f>COUNTIFS($F$10:$F$20,$C102,$C$10:$C$20,"&gt;0")</f>
        <v>0</v>
      </c>
    </row>
    <row r="103" spans="1:5">
      <c r="C103" s="868" t="str">
        <f>I9</f>
        <v>nurmi</v>
      </c>
      <c r="D103" s="2370">
        <f t="shared" ref="D103:D112" si="22">COUNTIFS($F$10:$F$20,$C103,$C$10:$C$20,"&gt;0")</f>
        <v>0</v>
      </c>
    </row>
    <row r="104" spans="1:5">
      <c r="C104" s="868" t="str">
        <f>J9</f>
        <v>mansikka</v>
      </c>
      <c r="D104" s="2370">
        <f t="shared" si="22"/>
        <v>0</v>
      </c>
    </row>
    <row r="105" spans="1:5">
      <c r="C105" s="868" t="str">
        <f>K9</f>
        <v>herukka</v>
      </c>
      <c r="D105" s="2370">
        <f t="shared" si="22"/>
        <v>0</v>
      </c>
    </row>
    <row r="106" spans="1:5">
      <c r="C106" s="868" t="str">
        <f>L9</f>
        <v>öljykasvit</v>
      </c>
      <c r="D106" s="2370">
        <f t="shared" si="22"/>
        <v>0</v>
      </c>
    </row>
    <row r="107" spans="1:5">
      <c r="C107" t="str">
        <f>A62</f>
        <v>eläin</v>
      </c>
      <c r="D107" s="2137">
        <f>C46</f>
        <v>0</v>
      </c>
    </row>
    <row r="108" spans="1:5">
      <c r="C108" t="str">
        <f t="shared" ref="C108:C112" si="23">A63</f>
        <v>puutarha</v>
      </c>
      <c r="D108" s="2137">
        <f>C21</f>
        <v>0</v>
      </c>
    </row>
    <row r="109" spans="1:5">
      <c r="C109" t="str">
        <f t="shared" si="23"/>
        <v>urakka</v>
      </c>
      <c r="D109" s="2370">
        <f t="shared" si="22"/>
        <v>0</v>
      </c>
    </row>
    <row r="110" spans="1:5">
      <c r="C110" t="str">
        <f t="shared" si="23"/>
        <v>jatkoja</v>
      </c>
      <c r="D110" s="2370">
        <f t="shared" si="22"/>
        <v>0</v>
      </c>
    </row>
    <row r="111" spans="1:5">
      <c r="C111" t="str">
        <f t="shared" si="23"/>
        <v>metsä</v>
      </c>
      <c r="D111" s="2137">
        <f>C53</f>
        <v>0</v>
      </c>
    </row>
    <row r="112" spans="1:5">
      <c r="C112" t="str">
        <f t="shared" si="23"/>
        <v>evl</v>
      </c>
      <c r="D112" s="2370">
        <f t="shared" si="22"/>
        <v>0</v>
      </c>
    </row>
  </sheetData>
  <sheetProtection algorithmName="SHA-512" hashValue="/gv40tYCE36fSn/Qj3dzNxKIMVBZHRHuueZW9htq6JxzBtez0iKoIHLXlIw2QM5p1YvIVEx5AAv9aqMq6LcPtw==" saltValue="0KhOu5npALjEC3kZf1T50w==" spinCount="100000" sheet="1" formatCells="0" formatColumns="0" formatRows="0"/>
  <mergeCells count="34">
    <mergeCell ref="J70:K70"/>
    <mergeCell ref="G19:H19"/>
    <mergeCell ref="J7:L8"/>
    <mergeCell ref="I10:L20"/>
    <mergeCell ref="G10:H10"/>
    <mergeCell ref="G11:H11"/>
    <mergeCell ref="G12:H12"/>
    <mergeCell ref="G13:H13"/>
    <mergeCell ref="G14:H14"/>
    <mergeCell ref="G15:H15"/>
    <mergeCell ref="G16:H16"/>
    <mergeCell ref="G20:H20"/>
    <mergeCell ref="B1:E1"/>
    <mergeCell ref="B2:E2"/>
    <mergeCell ref="D3:E3"/>
    <mergeCell ref="G17:H17"/>
    <mergeCell ref="G18:H18"/>
    <mergeCell ref="F9:G9"/>
    <mergeCell ref="J82:K82"/>
    <mergeCell ref="A58:G58"/>
    <mergeCell ref="J60:K60"/>
    <mergeCell ref="J65:K65"/>
    <mergeCell ref="J66:K66"/>
    <mergeCell ref="J59:K59"/>
    <mergeCell ref="J61:K61"/>
    <mergeCell ref="J71:K71"/>
    <mergeCell ref="J62:K62"/>
    <mergeCell ref="J63:K63"/>
    <mergeCell ref="J64:K64"/>
    <mergeCell ref="J69:K69"/>
    <mergeCell ref="J80:K80"/>
    <mergeCell ref="J58:K58"/>
    <mergeCell ref="J67:K67"/>
    <mergeCell ref="J68:K68"/>
  </mergeCells>
  <conditionalFormatting sqref="C22">
    <cfRule type="cellIs" dxfId="58" priority="1" stopIfTrue="1" operator="notEqual">
      <formula>$C$8</formula>
    </cfRule>
  </conditionalFormatting>
  <dataValidations count="1">
    <dataValidation type="list" allowBlank="1" showInputMessage="1" showErrorMessage="1" sqref="F10:F20" xr:uid="{00000000-0002-0000-0400-000000000000}">
      <formula1>$H$9:$L$9</formula1>
    </dataValidation>
  </dataValidations>
  <hyperlinks>
    <hyperlink ref="I3" r:id="rId1" xr:uid="{00000000-0004-0000-0400-000000000000}"/>
    <hyperlink ref="A99" r:id="rId2" xr:uid="{00000000-0004-0000-0400-000001000000}"/>
    <hyperlink ref="A100" r:id="rId3" xr:uid="{00000000-0004-0000-0400-000002000000}"/>
    <hyperlink ref="A101" r:id="rId4" xr:uid="{00000000-0004-0000-0400-000003000000}"/>
  </hyperlinks>
  <pageMargins left="0.7" right="0.7" top="0.75" bottom="0.75" header="0.51180555555555551" footer="0.51180555555555551"/>
  <pageSetup paperSize="9" scale="61" firstPageNumber="0" orientation="landscape" horizontalDpi="300" verticalDpi="300" r:id="rId5"/>
  <headerFooter alignWithMargins="0"/>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
  <dimension ref="A1:BG40"/>
  <sheetViews>
    <sheetView zoomScale="80" zoomScaleNormal="80" zoomScaleSheetLayoutView="93" workbookViewId="0">
      <selection activeCell="B5" sqref="B5"/>
    </sheetView>
  </sheetViews>
  <sheetFormatPr defaultColWidth="8.85546875" defaultRowHeight="12.75"/>
  <cols>
    <col min="1" max="1" width="33.85546875" customWidth="1"/>
    <col min="2" max="2" width="15.7109375" customWidth="1"/>
    <col min="3" max="3" width="11.28515625" customWidth="1"/>
    <col min="4" max="4" width="9.85546875" customWidth="1"/>
    <col min="5" max="5" width="13.7109375" customWidth="1"/>
    <col min="7" max="7" width="9.7109375" hidden="1" customWidth="1"/>
    <col min="8" max="8" width="7.85546875" hidden="1" customWidth="1"/>
    <col min="9" max="9" width="12.5703125" hidden="1" customWidth="1"/>
    <col min="10" max="10" width="12.140625" customWidth="1"/>
    <col min="11" max="11" width="12.85546875" customWidth="1"/>
    <col min="12" max="12" width="14.42578125" customWidth="1"/>
    <col min="13" max="13" width="19.42578125" customWidth="1"/>
    <col min="14" max="14" width="10.7109375" customWidth="1"/>
    <col min="15" max="15" width="5.140625" customWidth="1"/>
    <col min="16" max="16" width="3" customWidth="1"/>
    <col min="17" max="17" width="12.28515625" hidden="1" customWidth="1"/>
    <col min="18" max="18" width="7.7109375" customWidth="1"/>
    <col min="19" max="19" width="6.7109375" customWidth="1"/>
    <col min="20" max="20" width="13.140625" customWidth="1"/>
    <col min="21" max="21" width="14" hidden="1" customWidth="1"/>
    <col min="22" max="22" width="8.85546875" customWidth="1"/>
    <col min="23" max="23" width="12.140625" customWidth="1"/>
    <col min="24" max="24" width="8.85546875" hidden="1" customWidth="1"/>
    <col min="25" max="25" width="13.7109375" hidden="1" customWidth="1"/>
    <col min="26" max="26" width="13" hidden="1" customWidth="1"/>
    <col min="27" max="27" width="11.42578125" hidden="1" customWidth="1"/>
    <col min="28" max="28" width="14" hidden="1" customWidth="1"/>
    <col min="29" max="29" width="17.140625" hidden="1" customWidth="1"/>
    <col min="30" max="30" width="14.5703125" hidden="1" customWidth="1"/>
    <col min="31" max="31" width="14" hidden="1" customWidth="1"/>
    <col min="32" max="32" width="13.5703125" hidden="1" customWidth="1"/>
    <col min="33" max="33" width="12.42578125" hidden="1" customWidth="1"/>
    <col min="34" max="34" width="12" hidden="1" customWidth="1"/>
    <col min="35" max="35" width="5.28515625" hidden="1" customWidth="1"/>
    <col min="36" max="36" width="11.140625" hidden="1" customWidth="1"/>
    <col min="37" max="37" width="9.28515625" hidden="1" customWidth="1"/>
    <col min="38" max="38" width="12.140625" hidden="1" customWidth="1"/>
    <col min="39" max="39" width="11.42578125" hidden="1" customWidth="1"/>
    <col min="40" max="41" width="11.140625" hidden="1" customWidth="1"/>
    <col min="42" max="43" width="10.7109375" hidden="1" customWidth="1"/>
    <col min="44" max="44" width="11" hidden="1" customWidth="1"/>
    <col min="45" max="45" width="10.28515625" hidden="1" customWidth="1"/>
    <col min="46" max="46" width="8.85546875" hidden="1" customWidth="1"/>
    <col min="47" max="47" width="10.7109375" hidden="1" customWidth="1"/>
    <col min="48" max="56" width="8.85546875" hidden="1" customWidth="1"/>
    <col min="57" max="57" width="11.5703125" customWidth="1"/>
  </cols>
  <sheetData>
    <row r="1" spans="1:57" ht="12.75" customHeight="1">
      <c r="A1" s="86" t="s">
        <v>242</v>
      </c>
      <c r="N1" s="2641" t="s">
        <v>1820</v>
      </c>
      <c r="O1" s="2645" t="s">
        <v>258</v>
      </c>
      <c r="P1" s="2644" t="s">
        <v>5</v>
      </c>
      <c r="Q1" s="1406"/>
      <c r="R1" s="2633" t="s">
        <v>243</v>
      </c>
    </row>
    <row r="2" spans="1:57" ht="12.75" customHeight="1" thickBot="1">
      <c r="A2" s="27" t="s">
        <v>244</v>
      </c>
      <c r="C2" s="2635" t="s">
        <v>245</v>
      </c>
      <c r="D2" s="2639" t="s">
        <v>246</v>
      </c>
      <c r="E2" s="2637" t="s">
        <v>247</v>
      </c>
      <c r="M2" t="s">
        <v>3</v>
      </c>
      <c r="N2" s="2642"/>
      <c r="O2" s="2645"/>
      <c r="P2" s="2644"/>
      <c r="Q2" s="1406"/>
      <c r="R2" s="2633"/>
      <c r="Z2" s="2614" t="s">
        <v>248</v>
      </c>
      <c r="AA2" s="2614"/>
      <c r="AB2" s="2614"/>
      <c r="AC2" s="2614"/>
      <c r="AD2" s="2614"/>
      <c r="AE2" s="2614"/>
      <c r="AF2" s="2614"/>
      <c r="AG2" s="2614"/>
      <c r="AH2" s="2614"/>
    </row>
    <row r="3" spans="1:57" ht="12.75" customHeight="1" thickBot="1">
      <c r="A3" s="1182" t="s">
        <v>249</v>
      </c>
      <c r="B3" s="521" t="s">
        <v>250</v>
      </c>
      <c r="C3" s="2635"/>
      <c r="D3" s="2639"/>
      <c r="E3" s="2637"/>
      <c r="F3" t="s">
        <v>251</v>
      </c>
      <c r="I3" s="2636" t="s">
        <v>252</v>
      </c>
      <c r="J3" t="s">
        <v>25</v>
      </c>
      <c r="K3" t="s">
        <v>24</v>
      </c>
      <c r="M3" t="s">
        <v>253</v>
      </c>
      <c r="N3" s="2642"/>
      <c r="O3" s="2645"/>
      <c r="P3" s="2644"/>
      <c r="Q3" s="1406"/>
      <c r="R3" s="2633"/>
      <c r="Z3" s="1251">
        <v>2</v>
      </c>
      <c r="AB3" s="1251">
        <v>3</v>
      </c>
      <c r="AD3" s="1251">
        <v>4</v>
      </c>
      <c r="AF3" s="1251">
        <v>5</v>
      </c>
      <c r="AH3" s="1251">
        <v>6</v>
      </c>
      <c r="AJ3" s="2630" t="s">
        <v>254</v>
      </c>
      <c r="AK3" s="2631"/>
      <c r="AL3" s="2631"/>
      <c r="AM3" s="2631"/>
      <c r="AN3" s="2631"/>
      <c r="AO3" s="2631"/>
      <c r="AP3" s="2631"/>
      <c r="AQ3" s="2631"/>
      <c r="AR3" s="2631"/>
      <c r="AS3" s="2632"/>
      <c r="AU3" s="2630" t="s">
        <v>254</v>
      </c>
      <c r="AV3" s="2631"/>
      <c r="AW3" s="2631"/>
      <c r="AX3" s="2631"/>
      <c r="AY3" s="2631"/>
      <c r="AZ3" s="2631"/>
      <c r="BA3" s="2631"/>
      <c r="BB3" s="2631"/>
      <c r="BC3" s="2631"/>
      <c r="BD3" s="2632"/>
    </row>
    <row r="4" spans="1:57" ht="84" customHeight="1">
      <c r="A4" s="1737" t="s">
        <v>255</v>
      </c>
      <c r="B4" s="1183" t="s">
        <v>256</v>
      </c>
      <c r="C4" s="2635"/>
      <c r="D4" s="2640"/>
      <c r="E4" s="2638"/>
      <c r="F4" s="1184"/>
      <c r="G4" s="87" t="s">
        <v>257</v>
      </c>
      <c r="H4" s="1181" t="s">
        <v>258</v>
      </c>
      <c r="I4" s="2636"/>
      <c r="J4" s="1184" t="s">
        <v>259</v>
      </c>
      <c r="K4" s="1184" t="s">
        <v>259</v>
      </c>
      <c r="L4" s="1185" t="s">
        <v>260</v>
      </c>
      <c r="M4" s="1184" t="s">
        <v>259</v>
      </c>
      <c r="N4" s="2643"/>
      <c r="O4" s="2645"/>
      <c r="P4" s="2644"/>
      <c r="Q4" s="1181" t="s">
        <v>261</v>
      </c>
      <c r="R4" s="2634"/>
      <c r="S4" s="1395" t="s">
        <v>262</v>
      </c>
      <c r="T4" s="1395" t="s">
        <v>263</v>
      </c>
      <c r="U4" s="1395" t="s">
        <v>264</v>
      </c>
      <c r="V4" s="1395" t="s">
        <v>265</v>
      </c>
      <c r="W4" s="1395" t="s">
        <v>266</v>
      </c>
      <c r="Y4" s="1395" t="s">
        <v>267</v>
      </c>
      <c r="Z4" s="1395" t="s">
        <v>264</v>
      </c>
      <c r="AA4" s="1395" t="s">
        <v>268</v>
      </c>
      <c r="AB4" s="1395" t="s">
        <v>264</v>
      </c>
      <c r="AC4" s="1395" t="s">
        <v>269</v>
      </c>
      <c r="AD4" s="1395" t="s">
        <v>264</v>
      </c>
      <c r="AE4" s="1395" t="s">
        <v>270</v>
      </c>
      <c r="AF4" s="1395" t="s">
        <v>264</v>
      </c>
      <c r="AG4" s="1395" t="s">
        <v>271</v>
      </c>
      <c r="AH4" s="1395" t="s">
        <v>264</v>
      </c>
      <c r="AJ4" s="1395" t="s">
        <v>272</v>
      </c>
      <c r="AK4" s="1395" t="s">
        <v>273</v>
      </c>
      <c r="AL4" s="1395" t="s">
        <v>274</v>
      </c>
      <c r="AM4" s="1395" t="s">
        <v>273</v>
      </c>
      <c r="AN4" s="1395" t="s">
        <v>275</v>
      </c>
      <c r="AO4" s="1395" t="s">
        <v>273</v>
      </c>
      <c r="AP4" s="1395" t="s">
        <v>276</v>
      </c>
      <c r="AQ4" s="1395" t="s">
        <v>273</v>
      </c>
      <c r="AR4" s="1395" t="s">
        <v>277</v>
      </c>
      <c r="AS4" s="1395" t="s">
        <v>273</v>
      </c>
      <c r="AU4" s="1395" t="s">
        <v>278</v>
      </c>
      <c r="AV4" s="1395" t="s">
        <v>279</v>
      </c>
      <c r="AW4" s="1395" t="s">
        <v>280</v>
      </c>
      <c r="AX4" s="1395" t="s">
        <v>279</v>
      </c>
      <c r="AY4" s="1395" t="s">
        <v>281</v>
      </c>
      <c r="AZ4" s="1395" t="s">
        <v>282</v>
      </c>
      <c r="BA4" s="1395" t="s">
        <v>283</v>
      </c>
      <c r="BB4" s="1395" t="s">
        <v>279</v>
      </c>
      <c r="BC4" s="1395" t="s">
        <v>284</v>
      </c>
      <c r="BD4" s="1395" t="s">
        <v>279</v>
      </c>
      <c r="BE4" s="2407" t="s">
        <v>1821</v>
      </c>
    </row>
    <row r="5" spans="1:57">
      <c r="A5" s="88" t="s">
        <v>1827</v>
      </c>
      <c r="B5" s="89">
        <v>0</v>
      </c>
      <c r="C5" s="90">
        <v>1</v>
      </c>
      <c r="D5" s="1152">
        <v>0.3</v>
      </c>
      <c r="E5" s="1917">
        <f>B5*(100%-D5)</f>
        <v>0</v>
      </c>
      <c r="F5" s="91">
        <v>0.03</v>
      </c>
      <c r="G5" s="92">
        <f>IFERROR((F5*(1+F5)^C5)/(((1+F5)^C5)-1),1)</f>
        <v>1.0299999999999991</v>
      </c>
      <c r="H5" s="1502" t="b">
        <f>_xlfn.IFNA(N5=VLOOKUP(N5,Lähtötiedot!$A$60:$A$70,1,FALSE),"VÄÄRIN!")</f>
        <v>1</v>
      </c>
      <c r="I5" s="93" t="str">
        <f>IF(P5="A",IFERROR((ABS(PMT(F5,C5,-B5,B5-E5,0))),0),"Ei käytössä")</f>
        <v>Ei käytössä</v>
      </c>
      <c r="J5" s="1916">
        <f>IF(P5="T",E5/IF(C5&gt;0,C5,1),I5-K5)</f>
        <v>0</v>
      </c>
      <c r="K5" s="93">
        <f>IFERROR(IF(P5="T",(B5/2)*F5,F5*B5),F5*B5)</f>
        <v>0</v>
      </c>
      <c r="L5" s="94">
        <f t="shared" ref="L5:L9" si="0">0.2/100*B5</f>
        <v>0</v>
      </c>
      <c r="M5" s="95">
        <f>SUM(J5,K5,L5)</f>
        <v>0</v>
      </c>
      <c r="N5" s="2393" t="s">
        <v>204</v>
      </c>
      <c r="O5" s="2411" t="str">
        <f>IF(AND(B5&gt;0,BE5&gt;0),"ok",IF(AND(B5&gt;0,N5="evl"),"Evl ok",IF(AND(B5&gt;0,N5="jatkoja"),"okkia",IF(B5=0,"","Virhe!"))))</f>
        <v/>
      </c>
      <c r="P5" s="2394" t="str">
        <f>IF(Lähtötiedot!$F$8&lt;&gt;"A","T","A")</f>
        <v>T</v>
      </c>
      <c r="Q5" s="1463">
        <f>B5-J5</f>
        <v>0</v>
      </c>
      <c r="R5" s="1192">
        <v>1</v>
      </c>
      <c r="S5" s="1192">
        <v>0.1</v>
      </c>
      <c r="T5" s="1402">
        <f>S5*B5*R5</f>
        <v>0</v>
      </c>
      <c r="U5" s="1402">
        <f>(B5-T5)*R5</f>
        <v>0</v>
      </c>
      <c r="V5" s="1192">
        <v>0.05</v>
      </c>
      <c r="W5" s="1138">
        <f>V5*E5*R5</f>
        <v>0</v>
      </c>
      <c r="Y5" s="1138">
        <f>S5*U5*R5</f>
        <v>0</v>
      </c>
      <c r="Z5" s="1138">
        <f>ABS(((-1+$S5)^Z$3)*$B5)*R5</f>
        <v>0</v>
      </c>
      <c r="AA5" s="1138">
        <f>$S5*Z5*R5</f>
        <v>0</v>
      </c>
      <c r="AB5" s="1138">
        <f>ABS(((-1+$S5)^AB$3)*$B5)*R5</f>
        <v>0</v>
      </c>
      <c r="AC5" s="1138">
        <f>$S5*AB5*R5</f>
        <v>0</v>
      </c>
      <c r="AD5" s="1138">
        <f>ABS(((-1+$S5)^AD$3)*$B5)*R5</f>
        <v>0</v>
      </c>
      <c r="AE5" s="1138">
        <f>$S5*AD5*R5</f>
        <v>0</v>
      </c>
      <c r="AF5" s="1138">
        <f>ABS(((-1+$S5)^$AF$3)*$B5)*R5</f>
        <v>0</v>
      </c>
      <c r="AG5" s="1138">
        <f>$S5*AF5*R5</f>
        <v>0</v>
      </c>
      <c r="AH5" s="1138">
        <f>ABS(((-1+$S5)^$AH$3)*$B5)*R5</f>
        <v>0</v>
      </c>
      <c r="AJ5" s="1462">
        <f>IF(Q5&gt;0,ABS(PMT($F$5,$C5,$B5,0))-(Q5*$F$5),0)</f>
        <v>0</v>
      </c>
      <c r="AK5" s="1463">
        <f>Q5-ABS(AJ5)</f>
        <v>0</v>
      </c>
      <c r="AL5" s="1462">
        <f>IF(AK5&gt;0,ABS(PMT($F$5,$C5,$B5,0))-(AK5*$F$5),0)</f>
        <v>0</v>
      </c>
      <c r="AM5" s="1463">
        <f>AK5-ABS(AL5)</f>
        <v>0</v>
      </c>
      <c r="AN5" s="1462">
        <f>IF(AM5&gt;0,ABS(PMT($F$5,$C5,$B5,0))-(AM5*$F$5),0)</f>
        <v>0</v>
      </c>
      <c r="AO5" s="1463">
        <f>AM5-ABS(AN5)</f>
        <v>0</v>
      </c>
      <c r="AP5" s="1462">
        <f>IF(AO5&gt;0,ABS(PMT($F$5,$C5,$B5,0))-(AO5*$F$5),0)</f>
        <v>0</v>
      </c>
      <c r="AQ5" s="1463">
        <f>AO5-ABS(AP5)</f>
        <v>0</v>
      </c>
      <c r="AR5" s="1462">
        <f>IF(AQ5&gt;0,ABS(PMT($F$5,$C5,$B5,0))-(AQ5*$F$5),0)</f>
        <v>0</v>
      </c>
      <c r="AS5" s="1463">
        <f>AQ5-ABS(AR5)</f>
        <v>0</v>
      </c>
      <c r="AU5" s="1397">
        <f>IF(Q5&gt;0,J5,0)</f>
        <v>0</v>
      </c>
      <c r="AV5" s="1138">
        <f>Q5-AU5</f>
        <v>0</v>
      </c>
      <c r="AW5" s="1397">
        <f>IF(AV5&gt;0,J5,0)</f>
        <v>0</v>
      </c>
      <c r="AX5" s="1138">
        <f>AV5-AW5</f>
        <v>0</v>
      </c>
      <c r="AY5" s="1397">
        <f>IF(AX5&gt;0,J5,0)</f>
        <v>0</v>
      </c>
      <c r="AZ5" s="1138">
        <f>AX5-AY5</f>
        <v>0</v>
      </c>
      <c r="BA5" s="1397">
        <f>IF(AZ5&gt;0,$J5,0)</f>
        <v>0</v>
      </c>
      <c r="BB5" s="1138">
        <f>AZ5-BA5</f>
        <v>0</v>
      </c>
      <c r="BC5" s="1397">
        <f>IF(BB5&gt;0,J5,0)</f>
        <v>0</v>
      </c>
      <c r="BD5" s="1138">
        <f>BB5-BC5</f>
        <v>0</v>
      </c>
      <c r="BE5" s="1131">
        <f>VLOOKUP(N5,Lähtötiedot!$C$102:$D$112,2,FALSE)</f>
        <v>0</v>
      </c>
    </row>
    <row r="6" spans="1:57">
      <c r="A6" s="88" t="s">
        <v>285</v>
      </c>
      <c r="B6" s="89">
        <v>0</v>
      </c>
      <c r="C6" s="90">
        <v>1</v>
      </c>
      <c r="D6" s="1152">
        <v>0.3</v>
      </c>
      <c r="E6" s="1917">
        <f t="shared" ref="E6:E25" si="1">B6*(100%-D6)</f>
        <v>0</v>
      </c>
      <c r="F6" s="91">
        <v>0.03</v>
      </c>
      <c r="G6" s="92">
        <f t="shared" ref="G6:G25" si="2">IFERROR((F6*(1+F6)^C6)/(((1+F6)^C6)-1),1)</f>
        <v>1.0299999999999991</v>
      </c>
      <c r="H6" s="1502" t="b">
        <f>_xlfn.IFNA(N6=VLOOKUP(N6,Lähtötiedot!$A$60:$A$70,1,FALSE),"VÄÄRIN!")</f>
        <v>1</v>
      </c>
      <c r="I6" s="93" t="str">
        <f>IF(P6="A",IFERROR((ABS(PMT(F6,C6,-B6,B6-E6,0))),0),"Ei käytössä")</f>
        <v>Ei käytössä</v>
      </c>
      <c r="J6" s="1916">
        <f t="shared" ref="J6:J25" si="3">IF(P6="T",E6/IF(C6&gt;0,C6,1),I6-K6)</f>
        <v>0</v>
      </c>
      <c r="K6" s="93">
        <f>IFERROR(IF(P6="T",(B6/2)*F6,F6*B6),F6*B6)</f>
        <v>0</v>
      </c>
      <c r="L6" s="94">
        <f t="shared" si="0"/>
        <v>0</v>
      </c>
      <c r="M6" s="95">
        <f>SUM(J6,K6,L6)</f>
        <v>0</v>
      </c>
      <c r="N6" s="2393" t="s">
        <v>210</v>
      </c>
      <c r="O6" s="2411" t="str">
        <f>IF(AND(B6&gt;0,BE6&gt;0),"ok",IF(AND(B6&gt;0,N6="evl"),"Evl ok",IF(AND(B6&gt;0,N6="jatkoja"),"okkia",IF(B6=0,"","Virhe!"))))</f>
        <v/>
      </c>
      <c r="P6" s="1131" t="str">
        <f>IF(Lähtötiedot!$F$8&lt;&gt;"A","T","A")</f>
        <v>T</v>
      </c>
      <c r="Q6" s="1463">
        <f t="shared" ref="Q6:Q25" si="4">B6-J6</f>
        <v>0</v>
      </c>
      <c r="R6" s="1192">
        <v>1</v>
      </c>
      <c r="S6" s="1192">
        <v>0.1</v>
      </c>
      <c r="T6" s="1402">
        <f t="shared" ref="T6:T25" si="5">S6*B6*R6</f>
        <v>0</v>
      </c>
      <c r="U6" s="1402">
        <f t="shared" ref="U6:U25" si="6">(B6-T6)*R6</f>
        <v>0</v>
      </c>
      <c r="V6" s="1192">
        <v>0.05</v>
      </c>
      <c r="W6" s="1138">
        <f t="shared" ref="W6:W25" si="7">V6*E6*R6</f>
        <v>0</v>
      </c>
      <c r="Y6" s="1138">
        <f t="shared" ref="Y6:Y25" si="8">S6*U6*R6</f>
        <v>0</v>
      </c>
      <c r="Z6" s="1138">
        <f t="shared" ref="Z6:Z25" si="9">ABS(((-1+$S6)^Z$3)*$B6)*R6</f>
        <v>0</v>
      </c>
      <c r="AA6" s="1138">
        <f t="shared" ref="AA6:AA25" si="10">$S6*Z6*R6</f>
        <v>0</v>
      </c>
      <c r="AB6" s="1138">
        <f t="shared" ref="AB6:AB25" si="11">ABS(((-1+$S6)^AB$3)*$B6)*R6</f>
        <v>0</v>
      </c>
      <c r="AC6" s="1138">
        <f t="shared" ref="AC6:AC25" si="12">$S6*AB6*R6</f>
        <v>0</v>
      </c>
      <c r="AD6" s="1138">
        <f t="shared" ref="AD6:AD25" si="13">ABS(((-1+$S6)^AD$3)*$B6)*R6</f>
        <v>0</v>
      </c>
      <c r="AE6" s="1138">
        <f t="shared" ref="AE6:AE25" si="14">$S6*AD6*R6</f>
        <v>0</v>
      </c>
      <c r="AF6" s="1138">
        <f t="shared" ref="AF6:AF25" si="15">ABS(((-1+$S6)^$AF$3)*$B6)*R6</f>
        <v>0</v>
      </c>
      <c r="AG6" s="1138">
        <f t="shared" ref="AG6:AG25" si="16">$S6*AF6*R6</f>
        <v>0</v>
      </c>
      <c r="AH6" s="1138">
        <f t="shared" ref="AH6:AH25" si="17">ABS(((-1+$S6)^$AH$3)*$B6)*R6</f>
        <v>0</v>
      </c>
      <c r="AJ6" s="1462">
        <f t="shared" ref="AJ6:AJ25" si="18">IF(Q6&gt;0,ABS(PMT($F$5,$C6,$B6,0))-(Q6*$F$5),0)</f>
        <v>0</v>
      </c>
      <c r="AK6" s="1463">
        <f t="shared" ref="AK6:AK25" si="19">Q6-ABS(AJ6)</f>
        <v>0</v>
      </c>
      <c r="AL6" s="1462">
        <f t="shared" ref="AL6:AL25" si="20">IF(AK6&gt;0,ABS(PMT($F$5,$C6,$B6,0))-(AK6*$F$5),0)</f>
        <v>0</v>
      </c>
      <c r="AM6" s="1463">
        <f t="shared" ref="AM6:AM25" si="21">AK6-ABS(AL6)</f>
        <v>0</v>
      </c>
      <c r="AN6" s="1462">
        <f t="shared" ref="AN6:AN25" si="22">IF(AM6&gt;0,ABS(PMT($F$5,$C6,$B6,0))-(AM6*$F$5),0)</f>
        <v>0</v>
      </c>
      <c r="AO6" s="1463">
        <f t="shared" ref="AO6:AO25" si="23">AM6-ABS(AN6)</f>
        <v>0</v>
      </c>
      <c r="AP6" s="1462">
        <f t="shared" ref="AP6:AP25" si="24">IF(AO6&gt;0,ABS(PMT($F$5,$C6,$B6,0))-(AO6*$F$5),0)</f>
        <v>0</v>
      </c>
      <c r="AQ6" s="1463">
        <f t="shared" ref="AQ6:AQ25" si="25">AO6-ABS(AP6)</f>
        <v>0</v>
      </c>
      <c r="AR6" s="1462">
        <f t="shared" ref="AR6:AR25" si="26">IF(AQ6&gt;0,ABS(PMT($F$5,$C6,$B6,0))-(AQ6*$F$5),0)</f>
        <v>0</v>
      </c>
      <c r="AS6" s="1463">
        <f t="shared" ref="AS6:AS25" si="27">AQ6-ABS(AR6)</f>
        <v>0</v>
      </c>
      <c r="AU6" s="1397">
        <f t="shared" ref="AU6:AU25" si="28">IF(Q6&gt;0,J6,0)</f>
        <v>0</v>
      </c>
      <c r="AV6" s="1138">
        <f t="shared" ref="AV6:AV25" si="29">Q6-AU6</f>
        <v>0</v>
      </c>
      <c r="AW6" s="1397">
        <f t="shared" ref="AW6:AW25" si="30">IF(AV6&gt;0,J6,0)</f>
        <v>0</v>
      </c>
      <c r="AX6" s="1138">
        <f t="shared" ref="AX6:AX25" si="31">AV6-AW6</f>
        <v>0</v>
      </c>
      <c r="AY6" s="1397">
        <f t="shared" ref="AY6:AY25" si="32">IF(AX6&gt;0,J6,0)</f>
        <v>0</v>
      </c>
      <c r="AZ6" s="1138">
        <f t="shared" ref="AZ6:AZ25" si="33">AX6-AY6</f>
        <v>0</v>
      </c>
      <c r="BA6" s="1397">
        <f t="shared" ref="BA6:BA25" si="34">IF(AZ6&gt;0,$J6,0)</f>
        <v>0</v>
      </c>
      <c r="BB6" s="1138">
        <f t="shared" ref="BB6:BB25" si="35">AZ6-BA6</f>
        <v>0</v>
      </c>
      <c r="BC6" s="1397">
        <f t="shared" ref="BC6:BC25" si="36">IF(BB6&gt;0,J6,0)</f>
        <v>0</v>
      </c>
      <c r="BD6" s="1138">
        <f t="shared" ref="BD6:BD25" si="37">BB6-BC6</f>
        <v>0</v>
      </c>
      <c r="BE6" s="1131">
        <f>VLOOKUP(N6,Lähtötiedot!$C$102:$D$112,2,FALSE)</f>
        <v>0</v>
      </c>
    </row>
    <row r="7" spans="1:57">
      <c r="A7" s="88" t="s">
        <v>1903</v>
      </c>
      <c r="B7" s="89">
        <v>0</v>
      </c>
      <c r="C7" s="90">
        <v>1</v>
      </c>
      <c r="D7" s="1152">
        <v>0.35</v>
      </c>
      <c r="E7" s="1917">
        <f t="shared" si="1"/>
        <v>0</v>
      </c>
      <c r="F7" s="91">
        <v>0.03</v>
      </c>
      <c r="G7" s="92">
        <f t="shared" si="2"/>
        <v>1.0299999999999991</v>
      </c>
      <c r="H7" s="1502" t="b">
        <f>_xlfn.IFNA(N7=VLOOKUP(N7,Lähtötiedot!$A$60:$A$70,1,FALSE),"VÄÄRIN!")</f>
        <v>1</v>
      </c>
      <c r="I7" s="93" t="str">
        <f t="shared" ref="I7:I25" si="38">IF(P7="A",IFERROR((ABS(PMT(F7,C7,-B7,B7-E7,0))),0),"Ei käytössä")</f>
        <v>Ei käytössä</v>
      </c>
      <c r="J7" s="1916">
        <f t="shared" si="3"/>
        <v>0</v>
      </c>
      <c r="K7" s="93">
        <f t="shared" ref="K7:K25" si="39">IFERROR(IF(P7="T",(B7/2)*F7,F7*B7),F7*B7)</f>
        <v>0</v>
      </c>
      <c r="L7" s="94">
        <f t="shared" si="0"/>
        <v>0</v>
      </c>
      <c r="M7" s="95">
        <f t="shared" ref="M7:M25" si="40">SUM(J7,K7,L7)</f>
        <v>0</v>
      </c>
      <c r="N7" s="2393" t="s">
        <v>204</v>
      </c>
      <c r="O7" s="2411" t="str">
        <f t="shared" ref="O7:O25" si="41">IF(AND(B7&gt;0,BE7&gt;0),"ok",IF(AND(B7&gt;0,N7="evl"),"Evl ok",IF(AND(B7&gt;0,N7="jatkoja"),"okkia",IF(B7=0,"","Virhe!"))))</f>
        <v/>
      </c>
      <c r="P7" s="1131" t="str">
        <f>IF(Lähtötiedot!$F$8&lt;&gt;"A","T","A")</f>
        <v>T</v>
      </c>
      <c r="Q7" s="1463">
        <f t="shared" si="4"/>
        <v>0</v>
      </c>
      <c r="R7" s="1192">
        <v>1</v>
      </c>
      <c r="S7" s="1192">
        <v>0.1</v>
      </c>
      <c r="T7" s="1402">
        <f t="shared" si="5"/>
        <v>0</v>
      </c>
      <c r="U7" s="1402">
        <f t="shared" si="6"/>
        <v>0</v>
      </c>
      <c r="V7" s="1192">
        <v>0.05</v>
      </c>
      <c r="W7" s="1138">
        <f t="shared" si="7"/>
        <v>0</v>
      </c>
      <c r="Y7" s="1138">
        <f t="shared" si="8"/>
        <v>0</v>
      </c>
      <c r="Z7" s="1138">
        <f t="shared" si="9"/>
        <v>0</v>
      </c>
      <c r="AA7" s="1138">
        <f t="shared" si="10"/>
        <v>0</v>
      </c>
      <c r="AB7" s="1138">
        <f t="shared" si="11"/>
        <v>0</v>
      </c>
      <c r="AC7" s="1138">
        <f t="shared" si="12"/>
        <v>0</v>
      </c>
      <c r="AD7" s="1138">
        <f t="shared" si="13"/>
        <v>0</v>
      </c>
      <c r="AE7" s="1138">
        <f t="shared" si="14"/>
        <v>0</v>
      </c>
      <c r="AF7" s="1138">
        <f t="shared" si="15"/>
        <v>0</v>
      </c>
      <c r="AG7" s="1138">
        <f t="shared" si="16"/>
        <v>0</v>
      </c>
      <c r="AH7" s="1138">
        <f t="shared" si="17"/>
        <v>0</v>
      </c>
      <c r="AJ7" s="1462">
        <f t="shared" si="18"/>
        <v>0</v>
      </c>
      <c r="AK7" s="1463">
        <f t="shared" si="19"/>
        <v>0</v>
      </c>
      <c r="AL7" s="1462">
        <f t="shared" si="20"/>
        <v>0</v>
      </c>
      <c r="AM7" s="1463">
        <f t="shared" si="21"/>
        <v>0</v>
      </c>
      <c r="AN7" s="1462">
        <f t="shared" si="22"/>
        <v>0</v>
      </c>
      <c r="AO7" s="1463">
        <f t="shared" si="23"/>
        <v>0</v>
      </c>
      <c r="AP7" s="1462">
        <f t="shared" si="24"/>
        <v>0</v>
      </c>
      <c r="AQ7" s="1463">
        <f t="shared" si="25"/>
        <v>0</v>
      </c>
      <c r="AR7" s="1462">
        <f t="shared" si="26"/>
        <v>0</v>
      </c>
      <c r="AS7" s="1463">
        <f t="shared" si="27"/>
        <v>0</v>
      </c>
      <c r="AU7" s="1397">
        <f t="shared" si="28"/>
        <v>0</v>
      </c>
      <c r="AV7" s="1138">
        <f t="shared" si="29"/>
        <v>0</v>
      </c>
      <c r="AW7" s="1397">
        <f t="shared" si="30"/>
        <v>0</v>
      </c>
      <c r="AX7" s="1138">
        <f t="shared" si="31"/>
        <v>0</v>
      </c>
      <c r="AY7" s="1397">
        <f t="shared" si="32"/>
        <v>0</v>
      </c>
      <c r="AZ7" s="1138">
        <f t="shared" si="33"/>
        <v>0</v>
      </c>
      <c r="BA7" s="1397">
        <f t="shared" si="34"/>
        <v>0</v>
      </c>
      <c r="BB7" s="1138">
        <f t="shared" si="35"/>
        <v>0</v>
      </c>
      <c r="BC7" s="1397">
        <f t="shared" si="36"/>
        <v>0</v>
      </c>
      <c r="BD7" s="1138">
        <f t="shared" si="37"/>
        <v>0</v>
      </c>
      <c r="BE7" s="1131">
        <f>VLOOKUP(N7,Lähtötiedot!$C$102:$D$112,2,FALSE)</f>
        <v>0</v>
      </c>
    </row>
    <row r="8" spans="1:57">
      <c r="A8" s="88"/>
      <c r="B8" s="89">
        <v>0</v>
      </c>
      <c r="C8" s="90">
        <v>1</v>
      </c>
      <c r="D8" s="1152">
        <v>0.5</v>
      </c>
      <c r="E8" s="1917">
        <f t="shared" si="1"/>
        <v>0</v>
      </c>
      <c r="F8" s="91">
        <v>0.03</v>
      </c>
      <c r="G8" s="92">
        <f t="shared" si="2"/>
        <v>1.0299999999999991</v>
      </c>
      <c r="H8" s="1502" t="b">
        <f>_xlfn.IFNA(N8=VLOOKUP(N8,Lähtötiedot!$A$60:$A$70,1,FALSE),"VÄÄRIN!")</f>
        <v>1</v>
      </c>
      <c r="I8" s="93" t="str">
        <f t="shared" si="38"/>
        <v>Ei käytössä</v>
      </c>
      <c r="J8" s="1916">
        <f t="shared" si="3"/>
        <v>0</v>
      </c>
      <c r="K8" s="93">
        <f t="shared" si="39"/>
        <v>0</v>
      </c>
      <c r="L8" s="94">
        <f t="shared" si="0"/>
        <v>0</v>
      </c>
      <c r="M8" s="95">
        <f t="shared" si="40"/>
        <v>0</v>
      </c>
      <c r="N8" s="2393" t="s">
        <v>204</v>
      </c>
      <c r="O8" s="2411" t="str">
        <f t="shared" si="41"/>
        <v/>
      </c>
      <c r="P8" s="1131" t="str">
        <f>IF(Lähtötiedot!$F$8&lt;&gt;"A","T","A")</f>
        <v>T</v>
      </c>
      <c r="Q8" s="1463">
        <f t="shared" si="4"/>
        <v>0</v>
      </c>
      <c r="R8" s="1192">
        <v>1</v>
      </c>
      <c r="S8" s="1192">
        <v>0.1</v>
      </c>
      <c r="T8" s="1402">
        <f t="shared" si="5"/>
        <v>0</v>
      </c>
      <c r="U8" s="1402">
        <f t="shared" si="6"/>
        <v>0</v>
      </c>
      <c r="V8" s="1192">
        <v>0.05</v>
      </c>
      <c r="W8" s="1138">
        <f t="shared" si="7"/>
        <v>0</v>
      </c>
      <c r="Y8" s="1138">
        <f t="shared" si="8"/>
        <v>0</v>
      </c>
      <c r="Z8" s="1138">
        <f t="shared" si="9"/>
        <v>0</v>
      </c>
      <c r="AA8" s="1138">
        <f t="shared" si="10"/>
        <v>0</v>
      </c>
      <c r="AB8" s="1138">
        <f t="shared" si="11"/>
        <v>0</v>
      </c>
      <c r="AC8" s="1138">
        <f t="shared" si="12"/>
        <v>0</v>
      </c>
      <c r="AD8" s="1138">
        <f t="shared" si="13"/>
        <v>0</v>
      </c>
      <c r="AE8" s="1138">
        <f t="shared" si="14"/>
        <v>0</v>
      </c>
      <c r="AF8" s="1138">
        <f t="shared" si="15"/>
        <v>0</v>
      </c>
      <c r="AG8" s="1138">
        <f t="shared" si="16"/>
        <v>0</v>
      </c>
      <c r="AH8" s="1138">
        <f t="shared" si="17"/>
        <v>0</v>
      </c>
      <c r="AJ8" s="1462">
        <f t="shared" si="18"/>
        <v>0</v>
      </c>
      <c r="AK8" s="1463">
        <f t="shared" si="19"/>
        <v>0</v>
      </c>
      <c r="AL8" s="1462">
        <f t="shared" si="20"/>
        <v>0</v>
      </c>
      <c r="AM8" s="1463">
        <f t="shared" si="21"/>
        <v>0</v>
      </c>
      <c r="AN8" s="1462">
        <f t="shared" si="22"/>
        <v>0</v>
      </c>
      <c r="AO8" s="1463">
        <f t="shared" si="23"/>
        <v>0</v>
      </c>
      <c r="AP8" s="1462">
        <f t="shared" si="24"/>
        <v>0</v>
      </c>
      <c r="AQ8" s="1463">
        <f t="shared" si="25"/>
        <v>0</v>
      </c>
      <c r="AR8" s="1462">
        <f t="shared" si="26"/>
        <v>0</v>
      </c>
      <c r="AS8" s="1463">
        <f t="shared" si="27"/>
        <v>0</v>
      </c>
      <c r="AU8" s="1397">
        <f t="shared" si="28"/>
        <v>0</v>
      </c>
      <c r="AV8" s="1138">
        <f t="shared" si="29"/>
        <v>0</v>
      </c>
      <c r="AW8" s="1397">
        <f t="shared" si="30"/>
        <v>0</v>
      </c>
      <c r="AX8" s="1138">
        <f t="shared" si="31"/>
        <v>0</v>
      </c>
      <c r="AY8" s="1397">
        <f t="shared" si="32"/>
        <v>0</v>
      </c>
      <c r="AZ8" s="1138">
        <f t="shared" si="33"/>
        <v>0</v>
      </c>
      <c r="BA8" s="1397">
        <f t="shared" si="34"/>
        <v>0</v>
      </c>
      <c r="BB8" s="1138">
        <f t="shared" si="35"/>
        <v>0</v>
      </c>
      <c r="BC8" s="1397">
        <f t="shared" si="36"/>
        <v>0</v>
      </c>
      <c r="BD8" s="1138">
        <f t="shared" si="37"/>
        <v>0</v>
      </c>
      <c r="BE8" s="1131">
        <f>VLOOKUP(N8,Lähtötiedot!$C$102:$D$112,2,FALSE)</f>
        <v>0</v>
      </c>
    </row>
    <row r="9" spans="1:57">
      <c r="A9" s="88"/>
      <c r="B9" s="89">
        <v>0</v>
      </c>
      <c r="C9" s="90">
        <v>1</v>
      </c>
      <c r="D9" s="1152">
        <v>0.5</v>
      </c>
      <c r="E9" s="1917">
        <f t="shared" si="1"/>
        <v>0</v>
      </c>
      <c r="F9" s="91">
        <v>0.03</v>
      </c>
      <c r="G9" s="92">
        <f t="shared" si="2"/>
        <v>1.0299999999999991</v>
      </c>
      <c r="H9" s="1502" t="b">
        <f>_xlfn.IFNA(N9=VLOOKUP(N9,Lähtötiedot!$A$60:$A$70,1,FALSE),"VÄÄRIN!")</f>
        <v>1</v>
      </c>
      <c r="I9" s="93" t="str">
        <f t="shared" si="38"/>
        <v>Ei käytössä</v>
      </c>
      <c r="J9" s="1916">
        <f t="shared" si="3"/>
        <v>0</v>
      </c>
      <c r="K9" s="93">
        <f t="shared" si="39"/>
        <v>0</v>
      </c>
      <c r="L9" s="94">
        <f t="shared" si="0"/>
        <v>0</v>
      </c>
      <c r="M9" s="95">
        <f t="shared" si="40"/>
        <v>0</v>
      </c>
      <c r="N9" s="2393" t="s">
        <v>204</v>
      </c>
      <c r="O9" s="2411" t="str">
        <f t="shared" si="41"/>
        <v/>
      </c>
      <c r="P9" s="1131" t="str">
        <f>IF(Lähtötiedot!$F$8&lt;&gt;"A","T","A")</f>
        <v>T</v>
      </c>
      <c r="Q9" s="1463">
        <f t="shared" si="4"/>
        <v>0</v>
      </c>
      <c r="R9" s="1192">
        <v>1</v>
      </c>
      <c r="S9" s="1192">
        <v>0.1</v>
      </c>
      <c r="T9" s="1402">
        <f t="shared" si="5"/>
        <v>0</v>
      </c>
      <c r="U9" s="1402">
        <f t="shared" si="6"/>
        <v>0</v>
      </c>
      <c r="V9" s="1192">
        <v>0.05</v>
      </c>
      <c r="W9" s="1138">
        <f t="shared" si="7"/>
        <v>0</v>
      </c>
      <c r="Y9" s="1138">
        <f t="shared" si="8"/>
        <v>0</v>
      </c>
      <c r="Z9" s="1138">
        <f t="shared" si="9"/>
        <v>0</v>
      </c>
      <c r="AA9" s="1138">
        <f t="shared" si="10"/>
        <v>0</v>
      </c>
      <c r="AB9" s="1138">
        <f t="shared" si="11"/>
        <v>0</v>
      </c>
      <c r="AC9" s="1138">
        <f t="shared" si="12"/>
        <v>0</v>
      </c>
      <c r="AD9" s="1138">
        <f t="shared" si="13"/>
        <v>0</v>
      </c>
      <c r="AE9" s="1138">
        <f t="shared" si="14"/>
        <v>0</v>
      </c>
      <c r="AF9" s="1138">
        <f t="shared" si="15"/>
        <v>0</v>
      </c>
      <c r="AG9" s="1138">
        <f t="shared" si="16"/>
        <v>0</v>
      </c>
      <c r="AH9" s="1138">
        <f t="shared" si="17"/>
        <v>0</v>
      </c>
      <c r="AJ9" s="1462">
        <f t="shared" si="18"/>
        <v>0</v>
      </c>
      <c r="AK9" s="1463">
        <f t="shared" si="19"/>
        <v>0</v>
      </c>
      <c r="AL9" s="1462">
        <f t="shared" si="20"/>
        <v>0</v>
      </c>
      <c r="AM9" s="1463">
        <f t="shared" si="21"/>
        <v>0</v>
      </c>
      <c r="AN9" s="1462">
        <f t="shared" si="22"/>
        <v>0</v>
      </c>
      <c r="AO9" s="1463">
        <f t="shared" si="23"/>
        <v>0</v>
      </c>
      <c r="AP9" s="1462">
        <f t="shared" si="24"/>
        <v>0</v>
      </c>
      <c r="AQ9" s="1463">
        <f t="shared" si="25"/>
        <v>0</v>
      </c>
      <c r="AR9" s="1462">
        <f t="shared" si="26"/>
        <v>0</v>
      </c>
      <c r="AS9" s="1463">
        <f t="shared" si="27"/>
        <v>0</v>
      </c>
      <c r="AU9" s="1397">
        <f t="shared" si="28"/>
        <v>0</v>
      </c>
      <c r="AV9" s="1138">
        <f t="shared" si="29"/>
        <v>0</v>
      </c>
      <c r="AW9" s="1397">
        <f t="shared" si="30"/>
        <v>0</v>
      </c>
      <c r="AX9" s="1138">
        <f t="shared" si="31"/>
        <v>0</v>
      </c>
      <c r="AY9" s="1397">
        <f t="shared" si="32"/>
        <v>0</v>
      </c>
      <c r="AZ9" s="1138">
        <f t="shared" si="33"/>
        <v>0</v>
      </c>
      <c r="BA9" s="1397">
        <f t="shared" si="34"/>
        <v>0</v>
      </c>
      <c r="BB9" s="1138">
        <f t="shared" si="35"/>
        <v>0</v>
      </c>
      <c r="BC9" s="1397">
        <f t="shared" si="36"/>
        <v>0</v>
      </c>
      <c r="BD9" s="1138">
        <f t="shared" si="37"/>
        <v>0</v>
      </c>
      <c r="BE9" s="1131">
        <f>VLOOKUP(N9,Lähtötiedot!$C$102:$D$112,2,FALSE)</f>
        <v>0</v>
      </c>
    </row>
    <row r="10" spans="1:57">
      <c r="A10" s="88"/>
      <c r="B10" s="89">
        <v>0</v>
      </c>
      <c r="C10" s="90">
        <v>1</v>
      </c>
      <c r="D10" s="1152">
        <v>0.5</v>
      </c>
      <c r="E10" s="1917">
        <f t="shared" si="1"/>
        <v>0</v>
      </c>
      <c r="F10" s="91">
        <v>0.03</v>
      </c>
      <c r="G10" s="92">
        <f t="shared" si="2"/>
        <v>1.0299999999999991</v>
      </c>
      <c r="H10" s="1502" t="b">
        <f>_xlfn.IFNA(N10=VLOOKUP(N10,Lähtötiedot!$A$60:$A$70,1,FALSE),"VÄÄRIN!")</f>
        <v>1</v>
      </c>
      <c r="I10" s="93" t="str">
        <f t="shared" si="38"/>
        <v>Ei käytössä</v>
      </c>
      <c r="J10" s="1916">
        <f t="shared" si="3"/>
        <v>0</v>
      </c>
      <c r="K10" s="93">
        <f t="shared" si="39"/>
        <v>0</v>
      </c>
      <c r="L10" s="94">
        <f t="shared" ref="L10:L17" si="42">0.2/100*B10</f>
        <v>0</v>
      </c>
      <c r="M10" s="95">
        <f t="shared" si="40"/>
        <v>0</v>
      </c>
      <c r="N10" s="2393" t="s">
        <v>204</v>
      </c>
      <c r="O10" s="2411" t="str">
        <f t="shared" si="41"/>
        <v/>
      </c>
      <c r="P10" s="1131" t="str">
        <f>IF(Lähtötiedot!$F$8&lt;&gt;"A","T","A")</f>
        <v>T</v>
      </c>
      <c r="Q10" s="1463">
        <f t="shared" si="4"/>
        <v>0</v>
      </c>
      <c r="R10" s="1192">
        <v>1</v>
      </c>
      <c r="S10" s="1192">
        <v>0.1</v>
      </c>
      <c r="T10" s="1402">
        <f t="shared" si="5"/>
        <v>0</v>
      </c>
      <c r="U10" s="1402">
        <f t="shared" si="6"/>
        <v>0</v>
      </c>
      <c r="V10" s="1192">
        <v>0.05</v>
      </c>
      <c r="W10" s="1138">
        <f t="shared" si="7"/>
        <v>0</v>
      </c>
      <c r="Y10" s="1138">
        <f t="shared" si="8"/>
        <v>0</v>
      </c>
      <c r="Z10" s="1138">
        <f t="shared" si="9"/>
        <v>0</v>
      </c>
      <c r="AA10" s="1138">
        <f t="shared" si="10"/>
        <v>0</v>
      </c>
      <c r="AB10" s="1138">
        <f t="shared" si="11"/>
        <v>0</v>
      </c>
      <c r="AC10" s="1138">
        <f t="shared" si="12"/>
        <v>0</v>
      </c>
      <c r="AD10" s="1138">
        <f t="shared" si="13"/>
        <v>0</v>
      </c>
      <c r="AE10" s="1138">
        <f t="shared" si="14"/>
        <v>0</v>
      </c>
      <c r="AF10" s="1138">
        <f t="shared" si="15"/>
        <v>0</v>
      </c>
      <c r="AG10" s="1138">
        <f t="shared" si="16"/>
        <v>0</v>
      </c>
      <c r="AH10" s="1138">
        <f t="shared" si="17"/>
        <v>0</v>
      </c>
      <c r="AJ10" s="1462">
        <f t="shared" si="18"/>
        <v>0</v>
      </c>
      <c r="AK10" s="1463">
        <f t="shared" si="19"/>
        <v>0</v>
      </c>
      <c r="AL10" s="1462">
        <f t="shared" si="20"/>
        <v>0</v>
      </c>
      <c r="AM10" s="1463">
        <f t="shared" si="21"/>
        <v>0</v>
      </c>
      <c r="AN10" s="1462">
        <f t="shared" si="22"/>
        <v>0</v>
      </c>
      <c r="AO10" s="1463">
        <f t="shared" si="23"/>
        <v>0</v>
      </c>
      <c r="AP10" s="1462">
        <f t="shared" si="24"/>
        <v>0</v>
      </c>
      <c r="AQ10" s="1463">
        <f t="shared" si="25"/>
        <v>0</v>
      </c>
      <c r="AR10" s="1462">
        <f t="shared" si="26"/>
        <v>0</v>
      </c>
      <c r="AS10" s="1463">
        <f t="shared" si="27"/>
        <v>0</v>
      </c>
      <c r="AU10" s="1397">
        <f t="shared" si="28"/>
        <v>0</v>
      </c>
      <c r="AV10" s="1138">
        <f t="shared" si="29"/>
        <v>0</v>
      </c>
      <c r="AW10" s="1397">
        <f t="shared" si="30"/>
        <v>0</v>
      </c>
      <c r="AX10" s="1138">
        <f t="shared" si="31"/>
        <v>0</v>
      </c>
      <c r="AY10" s="1397">
        <f t="shared" si="32"/>
        <v>0</v>
      </c>
      <c r="AZ10" s="1138">
        <f t="shared" si="33"/>
        <v>0</v>
      </c>
      <c r="BA10" s="1397">
        <f t="shared" si="34"/>
        <v>0</v>
      </c>
      <c r="BB10" s="1138">
        <f t="shared" si="35"/>
        <v>0</v>
      </c>
      <c r="BC10" s="1397">
        <f t="shared" si="36"/>
        <v>0</v>
      </c>
      <c r="BD10" s="1138">
        <f t="shared" si="37"/>
        <v>0</v>
      </c>
      <c r="BE10" s="1131">
        <f>VLOOKUP(N10,Lähtötiedot!$C$102:$D$112,2,FALSE)</f>
        <v>0</v>
      </c>
    </row>
    <row r="11" spans="1:57">
      <c r="A11" s="88"/>
      <c r="B11" s="89">
        <v>0</v>
      </c>
      <c r="C11" s="90">
        <v>1</v>
      </c>
      <c r="D11" s="1152">
        <v>0.5</v>
      </c>
      <c r="E11" s="1917">
        <f t="shared" si="1"/>
        <v>0</v>
      </c>
      <c r="F11" s="91">
        <v>0.03</v>
      </c>
      <c r="G11" s="92">
        <f t="shared" si="2"/>
        <v>1.0299999999999991</v>
      </c>
      <c r="H11" s="1502" t="b">
        <f>_xlfn.IFNA(N11=VLOOKUP(N11,Lähtötiedot!$A$60:$A$70,1,FALSE),"VÄÄRIN!")</f>
        <v>1</v>
      </c>
      <c r="I11" s="93" t="str">
        <f t="shared" si="38"/>
        <v>Ei käytössä</v>
      </c>
      <c r="J11" s="1916">
        <f t="shared" si="3"/>
        <v>0</v>
      </c>
      <c r="K11" s="93">
        <f t="shared" si="39"/>
        <v>0</v>
      </c>
      <c r="L11" s="94">
        <f t="shared" si="42"/>
        <v>0</v>
      </c>
      <c r="M11" s="95">
        <f t="shared" si="40"/>
        <v>0</v>
      </c>
      <c r="N11" s="2393" t="s">
        <v>204</v>
      </c>
      <c r="O11" s="2411" t="str">
        <f t="shared" si="41"/>
        <v/>
      </c>
      <c r="P11" s="1131" t="str">
        <f>IF(Lähtötiedot!$F$8&lt;&gt;"A","T","A")</f>
        <v>T</v>
      </c>
      <c r="Q11" s="1463">
        <f t="shared" si="4"/>
        <v>0</v>
      </c>
      <c r="R11" s="1192">
        <v>1</v>
      </c>
      <c r="S11" s="1192">
        <v>0.1</v>
      </c>
      <c r="T11" s="1402">
        <f t="shared" si="5"/>
        <v>0</v>
      </c>
      <c r="U11" s="1402">
        <f t="shared" si="6"/>
        <v>0</v>
      </c>
      <c r="V11" s="1192">
        <v>0.05</v>
      </c>
      <c r="W11" s="1138">
        <f t="shared" si="7"/>
        <v>0</v>
      </c>
      <c r="Y11" s="1138">
        <f t="shared" si="8"/>
        <v>0</v>
      </c>
      <c r="Z11" s="1138">
        <f t="shared" si="9"/>
        <v>0</v>
      </c>
      <c r="AA11" s="1138">
        <f t="shared" si="10"/>
        <v>0</v>
      </c>
      <c r="AB11" s="1138">
        <f t="shared" si="11"/>
        <v>0</v>
      </c>
      <c r="AC11" s="1138">
        <f t="shared" si="12"/>
        <v>0</v>
      </c>
      <c r="AD11" s="1138">
        <f t="shared" si="13"/>
        <v>0</v>
      </c>
      <c r="AE11" s="1138">
        <f t="shared" si="14"/>
        <v>0</v>
      </c>
      <c r="AF11" s="1138">
        <f t="shared" si="15"/>
        <v>0</v>
      </c>
      <c r="AG11" s="1138">
        <f>$S11*AF11*R11</f>
        <v>0</v>
      </c>
      <c r="AH11" s="1138">
        <f t="shared" si="17"/>
        <v>0</v>
      </c>
      <c r="AJ11" s="1462">
        <f t="shared" si="18"/>
        <v>0</v>
      </c>
      <c r="AK11" s="1463">
        <f t="shared" si="19"/>
        <v>0</v>
      </c>
      <c r="AL11" s="1462">
        <f t="shared" si="20"/>
        <v>0</v>
      </c>
      <c r="AM11" s="1463">
        <f t="shared" si="21"/>
        <v>0</v>
      </c>
      <c r="AN11" s="1462">
        <f t="shared" si="22"/>
        <v>0</v>
      </c>
      <c r="AO11" s="1463">
        <f t="shared" si="23"/>
        <v>0</v>
      </c>
      <c r="AP11" s="1462">
        <f t="shared" si="24"/>
        <v>0</v>
      </c>
      <c r="AQ11" s="1463">
        <f t="shared" si="25"/>
        <v>0</v>
      </c>
      <c r="AR11" s="1462">
        <f t="shared" si="26"/>
        <v>0</v>
      </c>
      <c r="AS11" s="1463">
        <f t="shared" si="27"/>
        <v>0</v>
      </c>
      <c r="AU11" s="1397">
        <f t="shared" si="28"/>
        <v>0</v>
      </c>
      <c r="AV11" s="1138">
        <f t="shared" si="29"/>
        <v>0</v>
      </c>
      <c r="AW11" s="1397">
        <f t="shared" si="30"/>
        <v>0</v>
      </c>
      <c r="AX11" s="1138">
        <f t="shared" si="31"/>
        <v>0</v>
      </c>
      <c r="AY11" s="1397">
        <f t="shared" si="32"/>
        <v>0</v>
      </c>
      <c r="AZ11" s="1138">
        <f t="shared" si="33"/>
        <v>0</v>
      </c>
      <c r="BA11" s="1397">
        <f t="shared" si="34"/>
        <v>0</v>
      </c>
      <c r="BB11" s="1138">
        <f t="shared" si="35"/>
        <v>0</v>
      </c>
      <c r="BC11" s="1397">
        <f t="shared" si="36"/>
        <v>0</v>
      </c>
      <c r="BD11" s="1138">
        <f t="shared" si="37"/>
        <v>0</v>
      </c>
      <c r="BE11" s="1131">
        <f>VLOOKUP(N11,Lähtötiedot!$C$102:$D$112,2,FALSE)</f>
        <v>0</v>
      </c>
    </row>
    <row r="12" spans="1:57">
      <c r="A12" s="88"/>
      <c r="B12" s="89">
        <v>0</v>
      </c>
      <c r="C12" s="90">
        <v>1</v>
      </c>
      <c r="D12" s="1152">
        <v>0.5</v>
      </c>
      <c r="E12" s="1917">
        <f t="shared" si="1"/>
        <v>0</v>
      </c>
      <c r="F12" s="91">
        <v>0.03</v>
      </c>
      <c r="G12" s="92">
        <f t="shared" si="2"/>
        <v>1.0299999999999991</v>
      </c>
      <c r="H12" s="1502" t="b">
        <f>_xlfn.IFNA(N12=VLOOKUP(N12,Lähtötiedot!$A$60:$A$70,1,FALSE),"VÄÄRIN!")</f>
        <v>1</v>
      </c>
      <c r="I12" s="93" t="str">
        <f t="shared" si="38"/>
        <v>Ei käytössä</v>
      </c>
      <c r="J12" s="1916">
        <f t="shared" si="3"/>
        <v>0</v>
      </c>
      <c r="K12" s="93">
        <f t="shared" si="39"/>
        <v>0</v>
      </c>
      <c r="L12" s="94">
        <f t="shared" si="42"/>
        <v>0</v>
      </c>
      <c r="M12" s="95">
        <f t="shared" si="40"/>
        <v>0</v>
      </c>
      <c r="N12" s="2393" t="s">
        <v>204</v>
      </c>
      <c r="O12" s="2411" t="str">
        <f t="shared" si="41"/>
        <v/>
      </c>
      <c r="P12" s="1131" t="str">
        <f>IF(Lähtötiedot!$F$8&lt;&gt;"A","T","A")</f>
        <v>T</v>
      </c>
      <c r="Q12" s="1463">
        <f t="shared" si="4"/>
        <v>0</v>
      </c>
      <c r="R12" s="1192">
        <v>1</v>
      </c>
      <c r="S12" s="1192">
        <v>0.1</v>
      </c>
      <c r="T12" s="1402">
        <f t="shared" si="5"/>
        <v>0</v>
      </c>
      <c r="U12" s="1402">
        <f t="shared" si="6"/>
        <v>0</v>
      </c>
      <c r="V12" s="1192">
        <v>0.05</v>
      </c>
      <c r="W12" s="1138">
        <f t="shared" si="7"/>
        <v>0</v>
      </c>
      <c r="Y12" s="1138">
        <f t="shared" si="8"/>
        <v>0</v>
      </c>
      <c r="Z12" s="1138">
        <f t="shared" si="9"/>
        <v>0</v>
      </c>
      <c r="AA12" s="1138">
        <f t="shared" si="10"/>
        <v>0</v>
      </c>
      <c r="AB12" s="1138">
        <f t="shared" si="11"/>
        <v>0</v>
      </c>
      <c r="AC12" s="1138">
        <f t="shared" si="12"/>
        <v>0</v>
      </c>
      <c r="AD12" s="1138">
        <f t="shared" si="13"/>
        <v>0</v>
      </c>
      <c r="AE12" s="1138">
        <f t="shared" si="14"/>
        <v>0</v>
      </c>
      <c r="AF12" s="1138">
        <f t="shared" si="15"/>
        <v>0</v>
      </c>
      <c r="AG12" s="1138">
        <f t="shared" si="16"/>
        <v>0</v>
      </c>
      <c r="AH12" s="1138">
        <f t="shared" si="17"/>
        <v>0</v>
      </c>
      <c r="AJ12" s="1462">
        <f t="shared" si="18"/>
        <v>0</v>
      </c>
      <c r="AK12" s="1463">
        <f t="shared" si="19"/>
        <v>0</v>
      </c>
      <c r="AL12" s="1462">
        <f t="shared" si="20"/>
        <v>0</v>
      </c>
      <c r="AM12" s="1463">
        <f t="shared" si="21"/>
        <v>0</v>
      </c>
      <c r="AN12" s="1462">
        <f t="shared" si="22"/>
        <v>0</v>
      </c>
      <c r="AO12" s="1463">
        <f t="shared" si="23"/>
        <v>0</v>
      </c>
      <c r="AP12" s="1462">
        <f t="shared" si="24"/>
        <v>0</v>
      </c>
      <c r="AQ12" s="1463">
        <f t="shared" si="25"/>
        <v>0</v>
      </c>
      <c r="AR12" s="1462">
        <f t="shared" si="26"/>
        <v>0</v>
      </c>
      <c r="AS12" s="1463">
        <f t="shared" si="27"/>
        <v>0</v>
      </c>
      <c r="AU12" s="1397">
        <f t="shared" si="28"/>
        <v>0</v>
      </c>
      <c r="AV12" s="1138">
        <f t="shared" si="29"/>
        <v>0</v>
      </c>
      <c r="AW12" s="1397">
        <f t="shared" si="30"/>
        <v>0</v>
      </c>
      <c r="AX12" s="1138">
        <f t="shared" si="31"/>
        <v>0</v>
      </c>
      <c r="AY12" s="1397">
        <f t="shared" si="32"/>
        <v>0</v>
      </c>
      <c r="AZ12" s="1138">
        <f t="shared" si="33"/>
        <v>0</v>
      </c>
      <c r="BA12" s="1397">
        <f t="shared" si="34"/>
        <v>0</v>
      </c>
      <c r="BB12" s="1138">
        <f t="shared" si="35"/>
        <v>0</v>
      </c>
      <c r="BC12" s="1397">
        <f t="shared" si="36"/>
        <v>0</v>
      </c>
      <c r="BD12" s="1138">
        <f t="shared" si="37"/>
        <v>0</v>
      </c>
      <c r="BE12" s="1131">
        <f>VLOOKUP(N12,Lähtötiedot!$C$102:$D$112,2,FALSE)</f>
        <v>0</v>
      </c>
    </row>
    <row r="13" spans="1:57">
      <c r="A13" s="88"/>
      <c r="B13" s="89">
        <v>0</v>
      </c>
      <c r="C13" s="90">
        <v>1</v>
      </c>
      <c r="D13" s="1152">
        <v>0.5</v>
      </c>
      <c r="E13" s="1917">
        <f t="shared" si="1"/>
        <v>0</v>
      </c>
      <c r="F13" s="91">
        <v>0.03</v>
      </c>
      <c r="G13" s="92">
        <f t="shared" si="2"/>
        <v>1.0299999999999991</v>
      </c>
      <c r="H13" s="1502" t="b">
        <f>_xlfn.IFNA(N13=VLOOKUP(N13,Lähtötiedot!$A$60:$A$70,1,FALSE),"VÄÄRIN!")</f>
        <v>1</v>
      </c>
      <c r="I13" s="93" t="str">
        <f t="shared" si="38"/>
        <v>Ei käytössä</v>
      </c>
      <c r="J13" s="1916">
        <f t="shared" si="3"/>
        <v>0</v>
      </c>
      <c r="K13" s="93">
        <f t="shared" si="39"/>
        <v>0</v>
      </c>
      <c r="L13" s="94">
        <f t="shared" si="42"/>
        <v>0</v>
      </c>
      <c r="M13" s="95">
        <f t="shared" si="40"/>
        <v>0</v>
      </c>
      <c r="N13" s="2393" t="s">
        <v>204</v>
      </c>
      <c r="O13" s="2411" t="str">
        <f t="shared" si="41"/>
        <v/>
      </c>
      <c r="P13" s="1131" t="str">
        <f>IF(Lähtötiedot!$F$8&lt;&gt;"A","T","A")</f>
        <v>T</v>
      </c>
      <c r="Q13" s="1463">
        <f t="shared" si="4"/>
        <v>0</v>
      </c>
      <c r="R13" s="1192">
        <v>1</v>
      </c>
      <c r="S13" s="1192">
        <v>0.1</v>
      </c>
      <c r="T13" s="1402">
        <f t="shared" si="5"/>
        <v>0</v>
      </c>
      <c r="U13" s="1402">
        <f t="shared" si="6"/>
        <v>0</v>
      </c>
      <c r="V13" s="1192">
        <v>0.05</v>
      </c>
      <c r="W13" s="1138">
        <f t="shared" si="7"/>
        <v>0</v>
      </c>
      <c r="Y13" s="1138">
        <f t="shared" si="8"/>
        <v>0</v>
      </c>
      <c r="Z13" s="1138">
        <f t="shared" si="9"/>
        <v>0</v>
      </c>
      <c r="AA13" s="1138">
        <f t="shared" si="10"/>
        <v>0</v>
      </c>
      <c r="AB13" s="1138">
        <f t="shared" si="11"/>
        <v>0</v>
      </c>
      <c r="AC13" s="1138">
        <f t="shared" si="12"/>
        <v>0</v>
      </c>
      <c r="AD13" s="1138">
        <f t="shared" si="13"/>
        <v>0</v>
      </c>
      <c r="AE13" s="1138">
        <f t="shared" si="14"/>
        <v>0</v>
      </c>
      <c r="AF13" s="1138">
        <f t="shared" si="15"/>
        <v>0</v>
      </c>
      <c r="AG13" s="1138">
        <f t="shared" si="16"/>
        <v>0</v>
      </c>
      <c r="AH13" s="1138">
        <f t="shared" si="17"/>
        <v>0</v>
      </c>
      <c r="AJ13" s="1462">
        <f t="shared" si="18"/>
        <v>0</v>
      </c>
      <c r="AK13" s="1463">
        <f t="shared" si="19"/>
        <v>0</v>
      </c>
      <c r="AL13" s="1462">
        <f t="shared" si="20"/>
        <v>0</v>
      </c>
      <c r="AM13" s="1463">
        <f t="shared" si="21"/>
        <v>0</v>
      </c>
      <c r="AN13" s="1462">
        <f t="shared" si="22"/>
        <v>0</v>
      </c>
      <c r="AO13" s="1463">
        <f t="shared" si="23"/>
        <v>0</v>
      </c>
      <c r="AP13" s="1462">
        <f t="shared" si="24"/>
        <v>0</v>
      </c>
      <c r="AQ13" s="1463">
        <f t="shared" si="25"/>
        <v>0</v>
      </c>
      <c r="AR13" s="1462">
        <f t="shared" si="26"/>
        <v>0</v>
      </c>
      <c r="AS13" s="1463">
        <f t="shared" si="27"/>
        <v>0</v>
      </c>
      <c r="AU13" s="1397">
        <f t="shared" si="28"/>
        <v>0</v>
      </c>
      <c r="AV13" s="1138">
        <f t="shared" si="29"/>
        <v>0</v>
      </c>
      <c r="AW13" s="1397">
        <f t="shared" si="30"/>
        <v>0</v>
      </c>
      <c r="AX13" s="1138">
        <f t="shared" si="31"/>
        <v>0</v>
      </c>
      <c r="AY13" s="1397">
        <f t="shared" si="32"/>
        <v>0</v>
      </c>
      <c r="AZ13" s="1138">
        <f t="shared" si="33"/>
        <v>0</v>
      </c>
      <c r="BA13" s="1397">
        <f t="shared" si="34"/>
        <v>0</v>
      </c>
      <c r="BB13" s="1138">
        <f t="shared" si="35"/>
        <v>0</v>
      </c>
      <c r="BC13" s="1397">
        <f t="shared" si="36"/>
        <v>0</v>
      </c>
      <c r="BD13" s="1138">
        <f t="shared" si="37"/>
        <v>0</v>
      </c>
      <c r="BE13" s="1131">
        <f>VLOOKUP(N13,Lähtötiedot!$C$102:$D$112,2,FALSE)</f>
        <v>0</v>
      </c>
    </row>
    <row r="14" spans="1:57">
      <c r="A14" s="88"/>
      <c r="B14" s="89">
        <v>0</v>
      </c>
      <c r="C14" s="90">
        <v>1</v>
      </c>
      <c r="D14" s="1152">
        <v>0.5</v>
      </c>
      <c r="E14" s="1917">
        <f t="shared" si="1"/>
        <v>0</v>
      </c>
      <c r="F14" s="91">
        <v>0.03</v>
      </c>
      <c r="G14" s="92">
        <f t="shared" si="2"/>
        <v>1.0299999999999991</v>
      </c>
      <c r="H14" s="1502" t="b">
        <f>_xlfn.IFNA(N14=VLOOKUP(N14,Lähtötiedot!$A$60:$A$70,1,FALSE),"VÄÄRIN!")</f>
        <v>1</v>
      </c>
      <c r="I14" s="93" t="str">
        <f t="shared" si="38"/>
        <v>Ei käytössä</v>
      </c>
      <c r="J14" s="1916">
        <f t="shared" si="3"/>
        <v>0</v>
      </c>
      <c r="K14" s="93">
        <f t="shared" si="39"/>
        <v>0</v>
      </c>
      <c r="L14" s="94">
        <f t="shared" si="42"/>
        <v>0</v>
      </c>
      <c r="M14" s="95">
        <f t="shared" si="40"/>
        <v>0</v>
      </c>
      <c r="N14" s="2393" t="s">
        <v>204</v>
      </c>
      <c r="O14" s="2411" t="str">
        <f t="shared" si="41"/>
        <v/>
      </c>
      <c r="P14" s="1131" t="str">
        <f>IF(Lähtötiedot!$F$8&lt;&gt;"A","T","A")</f>
        <v>T</v>
      </c>
      <c r="Q14" s="1463">
        <f t="shared" si="4"/>
        <v>0</v>
      </c>
      <c r="R14" s="1192">
        <v>1</v>
      </c>
      <c r="S14" s="1192">
        <v>0.1</v>
      </c>
      <c r="T14" s="1402">
        <f t="shared" si="5"/>
        <v>0</v>
      </c>
      <c r="U14" s="1402">
        <f t="shared" si="6"/>
        <v>0</v>
      </c>
      <c r="V14" s="1192">
        <v>0.05</v>
      </c>
      <c r="W14" s="1138">
        <f t="shared" si="7"/>
        <v>0</v>
      </c>
      <c r="Y14" s="1138">
        <f t="shared" si="8"/>
        <v>0</v>
      </c>
      <c r="Z14" s="1138">
        <f t="shared" si="9"/>
        <v>0</v>
      </c>
      <c r="AA14" s="1138">
        <f t="shared" si="10"/>
        <v>0</v>
      </c>
      <c r="AB14" s="1138">
        <f t="shared" si="11"/>
        <v>0</v>
      </c>
      <c r="AC14" s="1138">
        <f t="shared" si="12"/>
        <v>0</v>
      </c>
      <c r="AD14" s="1138">
        <f t="shared" si="13"/>
        <v>0</v>
      </c>
      <c r="AE14" s="1138">
        <f t="shared" si="14"/>
        <v>0</v>
      </c>
      <c r="AF14" s="1138">
        <f t="shared" si="15"/>
        <v>0</v>
      </c>
      <c r="AG14" s="1138">
        <f t="shared" si="16"/>
        <v>0</v>
      </c>
      <c r="AH14" s="1138">
        <f t="shared" si="17"/>
        <v>0</v>
      </c>
      <c r="AJ14" s="1462">
        <f t="shared" si="18"/>
        <v>0</v>
      </c>
      <c r="AK14" s="1463">
        <f t="shared" si="19"/>
        <v>0</v>
      </c>
      <c r="AL14" s="1462">
        <f t="shared" si="20"/>
        <v>0</v>
      </c>
      <c r="AM14" s="1463">
        <f t="shared" si="21"/>
        <v>0</v>
      </c>
      <c r="AN14" s="1462">
        <f t="shared" si="22"/>
        <v>0</v>
      </c>
      <c r="AO14" s="1463">
        <f t="shared" si="23"/>
        <v>0</v>
      </c>
      <c r="AP14" s="1462">
        <f t="shared" si="24"/>
        <v>0</v>
      </c>
      <c r="AQ14" s="1463">
        <f t="shared" si="25"/>
        <v>0</v>
      </c>
      <c r="AR14" s="1462">
        <f t="shared" si="26"/>
        <v>0</v>
      </c>
      <c r="AS14" s="1463">
        <f t="shared" si="27"/>
        <v>0</v>
      </c>
      <c r="AU14" s="1397">
        <f t="shared" si="28"/>
        <v>0</v>
      </c>
      <c r="AV14" s="1138">
        <f t="shared" si="29"/>
        <v>0</v>
      </c>
      <c r="AW14" s="1397">
        <f t="shared" si="30"/>
        <v>0</v>
      </c>
      <c r="AX14" s="1138">
        <f t="shared" si="31"/>
        <v>0</v>
      </c>
      <c r="AY14" s="1397">
        <f t="shared" si="32"/>
        <v>0</v>
      </c>
      <c r="AZ14" s="1138">
        <f t="shared" si="33"/>
        <v>0</v>
      </c>
      <c r="BA14" s="1397">
        <f t="shared" si="34"/>
        <v>0</v>
      </c>
      <c r="BB14" s="1138">
        <f t="shared" si="35"/>
        <v>0</v>
      </c>
      <c r="BC14" s="1397">
        <f t="shared" si="36"/>
        <v>0</v>
      </c>
      <c r="BD14" s="1138">
        <f t="shared" si="37"/>
        <v>0</v>
      </c>
      <c r="BE14" s="1131">
        <f>VLOOKUP(N14,Lähtötiedot!$C$102:$D$112,2,FALSE)</f>
        <v>0</v>
      </c>
    </row>
    <row r="15" spans="1:57">
      <c r="A15" s="88"/>
      <c r="B15" s="89">
        <v>0</v>
      </c>
      <c r="C15" s="90">
        <v>1</v>
      </c>
      <c r="D15" s="1152">
        <v>0.5</v>
      </c>
      <c r="E15" s="1917">
        <f t="shared" si="1"/>
        <v>0</v>
      </c>
      <c r="F15" s="91">
        <v>0.03</v>
      </c>
      <c r="G15" s="92">
        <f t="shared" si="2"/>
        <v>1.0299999999999991</v>
      </c>
      <c r="H15" s="1502" t="b">
        <f>_xlfn.IFNA(N15=VLOOKUP(N15,Lähtötiedot!$A$60:$A$70,1,FALSE),"VÄÄRIN!")</f>
        <v>1</v>
      </c>
      <c r="I15" s="93" t="str">
        <f t="shared" si="38"/>
        <v>Ei käytössä</v>
      </c>
      <c r="J15" s="1916">
        <f t="shared" si="3"/>
        <v>0</v>
      </c>
      <c r="K15" s="93">
        <f t="shared" si="39"/>
        <v>0</v>
      </c>
      <c r="L15" s="94">
        <f t="shared" si="42"/>
        <v>0</v>
      </c>
      <c r="M15" s="95">
        <f t="shared" si="40"/>
        <v>0</v>
      </c>
      <c r="N15" s="2393" t="s">
        <v>204</v>
      </c>
      <c r="O15" s="2411" t="str">
        <f t="shared" si="41"/>
        <v/>
      </c>
      <c r="P15" s="1131" t="str">
        <f>IF(Lähtötiedot!$F$8&lt;&gt;"A","T","A")</f>
        <v>T</v>
      </c>
      <c r="Q15" s="1463">
        <f t="shared" si="4"/>
        <v>0</v>
      </c>
      <c r="R15" s="1192">
        <v>1</v>
      </c>
      <c r="S15" s="1192">
        <v>0.1</v>
      </c>
      <c r="T15" s="1402">
        <f t="shared" si="5"/>
        <v>0</v>
      </c>
      <c r="U15" s="1402">
        <f t="shared" si="6"/>
        <v>0</v>
      </c>
      <c r="V15" s="1192">
        <v>0.05</v>
      </c>
      <c r="W15" s="1138">
        <f t="shared" si="7"/>
        <v>0</v>
      </c>
      <c r="Y15" s="1138">
        <f t="shared" si="8"/>
        <v>0</v>
      </c>
      <c r="Z15" s="1138">
        <f t="shared" si="9"/>
        <v>0</v>
      </c>
      <c r="AA15" s="1138">
        <f t="shared" si="10"/>
        <v>0</v>
      </c>
      <c r="AB15" s="1138">
        <f t="shared" si="11"/>
        <v>0</v>
      </c>
      <c r="AC15" s="1138">
        <f t="shared" si="12"/>
        <v>0</v>
      </c>
      <c r="AD15" s="1138">
        <f t="shared" si="13"/>
        <v>0</v>
      </c>
      <c r="AE15" s="1138">
        <f t="shared" si="14"/>
        <v>0</v>
      </c>
      <c r="AF15" s="1138">
        <f t="shared" si="15"/>
        <v>0</v>
      </c>
      <c r="AG15" s="1138">
        <f t="shared" si="16"/>
        <v>0</v>
      </c>
      <c r="AH15" s="1138">
        <f t="shared" si="17"/>
        <v>0</v>
      </c>
      <c r="AJ15" s="1462">
        <f t="shared" si="18"/>
        <v>0</v>
      </c>
      <c r="AK15" s="1463">
        <f t="shared" si="19"/>
        <v>0</v>
      </c>
      <c r="AL15" s="1462">
        <f t="shared" si="20"/>
        <v>0</v>
      </c>
      <c r="AM15" s="1463">
        <f t="shared" si="21"/>
        <v>0</v>
      </c>
      <c r="AN15" s="1462">
        <f t="shared" si="22"/>
        <v>0</v>
      </c>
      <c r="AO15" s="1463">
        <f t="shared" si="23"/>
        <v>0</v>
      </c>
      <c r="AP15" s="1462">
        <f t="shared" si="24"/>
        <v>0</v>
      </c>
      <c r="AQ15" s="1463">
        <f t="shared" si="25"/>
        <v>0</v>
      </c>
      <c r="AR15" s="1462">
        <f t="shared" si="26"/>
        <v>0</v>
      </c>
      <c r="AS15" s="1463">
        <f t="shared" si="27"/>
        <v>0</v>
      </c>
      <c r="AU15" s="1397">
        <f t="shared" si="28"/>
        <v>0</v>
      </c>
      <c r="AV15" s="1138">
        <f t="shared" si="29"/>
        <v>0</v>
      </c>
      <c r="AW15" s="1397">
        <f t="shared" si="30"/>
        <v>0</v>
      </c>
      <c r="AX15" s="1138">
        <f t="shared" si="31"/>
        <v>0</v>
      </c>
      <c r="AY15" s="1397">
        <f t="shared" si="32"/>
        <v>0</v>
      </c>
      <c r="AZ15" s="1138">
        <f t="shared" si="33"/>
        <v>0</v>
      </c>
      <c r="BA15" s="1397">
        <f t="shared" si="34"/>
        <v>0</v>
      </c>
      <c r="BB15" s="1138">
        <f t="shared" si="35"/>
        <v>0</v>
      </c>
      <c r="BC15" s="1397">
        <f t="shared" si="36"/>
        <v>0</v>
      </c>
      <c r="BD15" s="1138">
        <f t="shared" si="37"/>
        <v>0</v>
      </c>
      <c r="BE15" s="1131">
        <f>VLOOKUP(N15,Lähtötiedot!$C$102:$D$112,2,FALSE)</f>
        <v>0</v>
      </c>
    </row>
    <row r="16" spans="1:57">
      <c r="A16" s="88"/>
      <c r="B16" s="89">
        <v>0</v>
      </c>
      <c r="C16" s="90">
        <v>1</v>
      </c>
      <c r="D16" s="1152">
        <v>0.5</v>
      </c>
      <c r="E16" s="1917">
        <f t="shared" si="1"/>
        <v>0</v>
      </c>
      <c r="F16" s="91">
        <v>0.03</v>
      </c>
      <c r="G16" s="92">
        <f t="shared" si="2"/>
        <v>1.0299999999999991</v>
      </c>
      <c r="H16" s="1502" t="b">
        <f>_xlfn.IFNA(N16=VLOOKUP(N16,Lähtötiedot!$A$60:$A$70,1,FALSE),"VÄÄRIN!")</f>
        <v>1</v>
      </c>
      <c r="I16" s="93" t="str">
        <f t="shared" si="38"/>
        <v>Ei käytössä</v>
      </c>
      <c r="J16" s="1916">
        <f t="shared" si="3"/>
        <v>0</v>
      </c>
      <c r="K16" s="93">
        <f t="shared" si="39"/>
        <v>0</v>
      </c>
      <c r="L16" s="94">
        <f t="shared" si="42"/>
        <v>0</v>
      </c>
      <c r="M16" s="95">
        <f t="shared" si="40"/>
        <v>0</v>
      </c>
      <c r="N16" s="2393" t="s">
        <v>204</v>
      </c>
      <c r="O16" s="2411" t="str">
        <f t="shared" si="41"/>
        <v/>
      </c>
      <c r="P16" s="1131" t="str">
        <f>IF(Lähtötiedot!$F$8&lt;&gt;"A","T","A")</f>
        <v>T</v>
      </c>
      <c r="Q16" s="1463">
        <f t="shared" si="4"/>
        <v>0</v>
      </c>
      <c r="R16" s="1192">
        <v>1</v>
      </c>
      <c r="S16" s="1192">
        <v>0.1</v>
      </c>
      <c r="T16" s="1402">
        <f t="shared" si="5"/>
        <v>0</v>
      </c>
      <c r="U16" s="1402">
        <f t="shared" si="6"/>
        <v>0</v>
      </c>
      <c r="V16" s="1192">
        <v>0.05</v>
      </c>
      <c r="W16" s="1138">
        <f t="shared" si="7"/>
        <v>0</v>
      </c>
      <c r="Y16" s="1138">
        <f t="shared" si="8"/>
        <v>0</v>
      </c>
      <c r="Z16" s="1138">
        <f t="shared" si="9"/>
        <v>0</v>
      </c>
      <c r="AA16" s="1138">
        <f t="shared" si="10"/>
        <v>0</v>
      </c>
      <c r="AB16" s="1138">
        <f t="shared" si="11"/>
        <v>0</v>
      </c>
      <c r="AC16" s="1138">
        <f t="shared" si="12"/>
        <v>0</v>
      </c>
      <c r="AD16" s="1138">
        <f t="shared" si="13"/>
        <v>0</v>
      </c>
      <c r="AE16" s="1138">
        <f t="shared" si="14"/>
        <v>0</v>
      </c>
      <c r="AF16" s="1138">
        <f t="shared" si="15"/>
        <v>0</v>
      </c>
      <c r="AG16" s="1138">
        <f t="shared" si="16"/>
        <v>0</v>
      </c>
      <c r="AH16" s="1138">
        <f t="shared" si="17"/>
        <v>0</v>
      </c>
      <c r="AJ16" s="1462">
        <f t="shared" si="18"/>
        <v>0</v>
      </c>
      <c r="AK16" s="1463">
        <f t="shared" si="19"/>
        <v>0</v>
      </c>
      <c r="AL16" s="1462">
        <f t="shared" si="20"/>
        <v>0</v>
      </c>
      <c r="AM16" s="1463">
        <f t="shared" si="21"/>
        <v>0</v>
      </c>
      <c r="AN16" s="1462">
        <f t="shared" si="22"/>
        <v>0</v>
      </c>
      <c r="AO16" s="1463">
        <f t="shared" si="23"/>
        <v>0</v>
      </c>
      <c r="AP16" s="1462">
        <f t="shared" si="24"/>
        <v>0</v>
      </c>
      <c r="AQ16" s="1463">
        <f t="shared" si="25"/>
        <v>0</v>
      </c>
      <c r="AR16" s="1462">
        <f t="shared" si="26"/>
        <v>0</v>
      </c>
      <c r="AS16" s="1463">
        <f t="shared" si="27"/>
        <v>0</v>
      </c>
      <c r="AU16" s="1397">
        <f t="shared" si="28"/>
        <v>0</v>
      </c>
      <c r="AV16" s="1138">
        <f t="shared" si="29"/>
        <v>0</v>
      </c>
      <c r="AW16" s="1397">
        <f t="shared" si="30"/>
        <v>0</v>
      </c>
      <c r="AX16" s="1138">
        <f t="shared" si="31"/>
        <v>0</v>
      </c>
      <c r="AY16" s="1397">
        <f t="shared" si="32"/>
        <v>0</v>
      </c>
      <c r="AZ16" s="1138">
        <f t="shared" si="33"/>
        <v>0</v>
      </c>
      <c r="BA16" s="1397">
        <f t="shared" si="34"/>
        <v>0</v>
      </c>
      <c r="BB16" s="1138">
        <f t="shared" si="35"/>
        <v>0</v>
      </c>
      <c r="BC16" s="1397">
        <f t="shared" si="36"/>
        <v>0</v>
      </c>
      <c r="BD16" s="1138">
        <f t="shared" si="37"/>
        <v>0</v>
      </c>
      <c r="BE16" s="1131">
        <f>VLOOKUP(N16,Lähtötiedot!$C$102:$D$112,2,FALSE)</f>
        <v>0</v>
      </c>
    </row>
    <row r="17" spans="1:59">
      <c r="A17" s="88"/>
      <c r="B17" s="89">
        <v>0</v>
      </c>
      <c r="C17" s="90">
        <v>1</v>
      </c>
      <c r="D17" s="1152">
        <v>0.5</v>
      </c>
      <c r="E17" s="1917">
        <f t="shared" si="1"/>
        <v>0</v>
      </c>
      <c r="F17" s="91">
        <v>0.03</v>
      </c>
      <c r="G17" s="92">
        <f t="shared" si="2"/>
        <v>1.0299999999999991</v>
      </c>
      <c r="H17" s="1502" t="b">
        <f>_xlfn.IFNA(N17=VLOOKUP(N17,Lähtötiedot!$A$60:$A$70,1,FALSE),"VÄÄRIN!")</f>
        <v>1</v>
      </c>
      <c r="I17" s="93" t="str">
        <f t="shared" si="38"/>
        <v>Ei käytössä</v>
      </c>
      <c r="J17" s="1916">
        <f t="shared" si="3"/>
        <v>0</v>
      </c>
      <c r="K17" s="93">
        <f t="shared" si="39"/>
        <v>0</v>
      </c>
      <c r="L17" s="94">
        <f t="shared" si="42"/>
        <v>0</v>
      </c>
      <c r="M17" s="95">
        <f t="shared" si="40"/>
        <v>0</v>
      </c>
      <c r="N17" s="2393" t="s">
        <v>204</v>
      </c>
      <c r="O17" s="2411" t="str">
        <f t="shared" si="41"/>
        <v/>
      </c>
      <c r="P17" s="1131" t="str">
        <f>IF(Lähtötiedot!$F$8&lt;&gt;"A","T","A")</f>
        <v>T</v>
      </c>
      <c r="Q17" s="1463">
        <f t="shared" si="4"/>
        <v>0</v>
      </c>
      <c r="R17" s="1192">
        <v>1</v>
      </c>
      <c r="S17" s="1192">
        <v>0.1</v>
      </c>
      <c r="T17" s="1402">
        <f t="shared" si="5"/>
        <v>0</v>
      </c>
      <c r="U17" s="1402">
        <f t="shared" si="6"/>
        <v>0</v>
      </c>
      <c r="V17" s="1192">
        <v>0.05</v>
      </c>
      <c r="W17" s="1138">
        <f t="shared" si="7"/>
        <v>0</v>
      </c>
      <c r="Y17" s="1138">
        <f t="shared" si="8"/>
        <v>0</v>
      </c>
      <c r="Z17" s="1138">
        <f t="shared" si="9"/>
        <v>0</v>
      </c>
      <c r="AA17" s="1138">
        <f t="shared" si="10"/>
        <v>0</v>
      </c>
      <c r="AB17" s="1138">
        <f t="shared" si="11"/>
        <v>0</v>
      </c>
      <c r="AC17" s="1138">
        <f t="shared" si="12"/>
        <v>0</v>
      </c>
      <c r="AD17" s="1138">
        <f t="shared" si="13"/>
        <v>0</v>
      </c>
      <c r="AE17" s="1138">
        <f t="shared" si="14"/>
        <v>0</v>
      </c>
      <c r="AF17" s="1138">
        <f t="shared" si="15"/>
        <v>0</v>
      </c>
      <c r="AG17" s="1138">
        <f t="shared" si="16"/>
        <v>0</v>
      </c>
      <c r="AH17" s="1138">
        <f t="shared" si="17"/>
        <v>0</v>
      </c>
      <c r="AJ17" s="1462">
        <f t="shared" si="18"/>
        <v>0</v>
      </c>
      <c r="AK17" s="1463">
        <f t="shared" si="19"/>
        <v>0</v>
      </c>
      <c r="AL17" s="1462">
        <f t="shared" si="20"/>
        <v>0</v>
      </c>
      <c r="AM17" s="1463">
        <f t="shared" si="21"/>
        <v>0</v>
      </c>
      <c r="AN17" s="1462">
        <f t="shared" si="22"/>
        <v>0</v>
      </c>
      <c r="AO17" s="1463">
        <f t="shared" si="23"/>
        <v>0</v>
      </c>
      <c r="AP17" s="1462">
        <f t="shared" si="24"/>
        <v>0</v>
      </c>
      <c r="AQ17" s="1463">
        <f t="shared" si="25"/>
        <v>0</v>
      </c>
      <c r="AR17" s="1462">
        <f t="shared" si="26"/>
        <v>0</v>
      </c>
      <c r="AS17" s="1463">
        <f t="shared" si="27"/>
        <v>0</v>
      </c>
      <c r="AU17" s="1397">
        <f t="shared" si="28"/>
        <v>0</v>
      </c>
      <c r="AV17" s="1138">
        <f t="shared" si="29"/>
        <v>0</v>
      </c>
      <c r="AW17" s="1397">
        <f t="shared" si="30"/>
        <v>0</v>
      </c>
      <c r="AX17" s="1138">
        <f t="shared" si="31"/>
        <v>0</v>
      </c>
      <c r="AY17" s="1397">
        <f t="shared" si="32"/>
        <v>0</v>
      </c>
      <c r="AZ17" s="1138">
        <f t="shared" si="33"/>
        <v>0</v>
      </c>
      <c r="BA17" s="1397">
        <f t="shared" si="34"/>
        <v>0</v>
      </c>
      <c r="BB17" s="1138">
        <f t="shared" si="35"/>
        <v>0</v>
      </c>
      <c r="BC17" s="1397">
        <f t="shared" si="36"/>
        <v>0</v>
      </c>
      <c r="BD17" s="1138">
        <f t="shared" si="37"/>
        <v>0</v>
      </c>
      <c r="BE17" s="1131">
        <f>VLOOKUP(N17,Lähtötiedot!$C$102:$D$112,2,FALSE)</f>
        <v>0</v>
      </c>
    </row>
    <row r="18" spans="1:59">
      <c r="A18" s="88"/>
      <c r="B18" s="89">
        <v>0</v>
      </c>
      <c r="C18" s="90">
        <v>1</v>
      </c>
      <c r="D18" s="1152">
        <v>0.5</v>
      </c>
      <c r="E18" s="1917">
        <f t="shared" si="1"/>
        <v>0</v>
      </c>
      <c r="F18" s="91">
        <v>0.03</v>
      </c>
      <c r="G18" s="92">
        <f t="shared" si="2"/>
        <v>1.0299999999999991</v>
      </c>
      <c r="H18" s="1502" t="b">
        <f>_xlfn.IFNA(N18=VLOOKUP(N18,Lähtötiedot!$A$60:$A$70,1,FALSE),"VÄÄRIN!")</f>
        <v>1</v>
      </c>
      <c r="I18" s="93" t="str">
        <f t="shared" si="38"/>
        <v>Ei käytössä</v>
      </c>
      <c r="J18" s="1916">
        <f t="shared" si="3"/>
        <v>0</v>
      </c>
      <c r="K18" s="93">
        <f t="shared" si="39"/>
        <v>0</v>
      </c>
      <c r="L18" s="94">
        <v>0</v>
      </c>
      <c r="M18" s="95">
        <f t="shared" si="40"/>
        <v>0</v>
      </c>
      <c r="N18" s="2393" t="s">
        <v>204</v>
      </c>
      <c r="O18" s="2411" t="str">
        <f t="shared" si="41"/>
        <v/>
      </c>
      <c r="P18" s="1131" t="str">
        <f>IF(Lähtötiedot!$F$8&lt;&gt;"A","T","A")</f>
        <v>T</v>
      </c>
      <c r="Q18" s="1463">
        <f t="shared" si="4"/>
        <v>0</v>
      </c>
      <c r="R18" s="1192">
        <v>1</v>
      </c>
      <c r="S18" s="1192">
        <v>0.1</v>
      </c>
      <c r="T18" s="1402">
        <f t="shared" si="5"/>
        <v>0</v>
      </c>
      <c r="U18" s="1402">
        <f t="shared" si="6"/>
        <v>0</v>
      </c>
      <c r="V18" s="1192">
        <v>0.05</v>
      </c>
      <c r="W18" s="1138">
        <f t="shared" si="7"/>
        <v>0</v>
      </c>
      <c r="Y18" s="1138">
        <f t="shared" si="8"/>
        <v>0</v>
      </c>
      <c r="Z18" s="1138">
        <f t="shared" si="9"/>
        <v>0</v>
      </c>
      <c r="AA18" s="1138">
        <f t="shared" si="10"/>
        <v>0</v>
      </c>
      <c r="AB18" s="1138">
        <f t="shared" si="11"/>
        <v>0</v>
      </c>
      <c r="AC18" s="1138">
        <f t="shared" si="12"/>
        <v>0</v>
      </c>
      <c r="AD18" s="1138">
        <f t="shared" si="13"/>
        <v>0</v>
      </c>
      <c r="AE18" s="1138">
        <f t="shared" si="14"/>
        <v>0</v>
      </c>
      <c r="AF18" s="1138">
        <f t="shared" si="15"/>
        <v>0</v>
      </c>
      <c r="AG18" s="1138">
        <f t="shared" si="16"/>
        <v>0</v>
      </c>
      <c r="AH18" s="1138">
        <f t="shared" si="17"/>
        <v>0</v>
      </c>
      <c r="AJ18" s="1462">
        <f t="shared" si="18"/>
        <v>0</v>
      </c>
      <c r="AK18" s="1463">
        <f t="shared" si="19"/>
        <v>0</v>
      </c>
      <c r="AL18" s="1462">
        <f t="shared" si="20"/>
        <v>0</v>
      </c>
      <c r="AM18" s="1463">
        <f t="shared" si="21"/>
        <v>0</v>
      </c>
      <c r="AN18" s="1462">
        <f t="shared" si="22"/>
        <v>0</v>
      </c>
      <c r="AO18" s="1463">
        <f t="shared" si="23"/>
        <v>0</v>
      </c>
      <c r="AP18" s="1462">
        <f t="shared" si="24"/>
        <v>0</v>
      </c>
      <c r="AQ18" s="1463">
        <f t="shared" si="25"/>
        <v>0</v>
      </c>
      <c r="AR18" s="1462">
        <f t="shared" si="26"/>
        <v>0</v>
      </c>
      <c r="AS18" s="1463">
        <f t="shared" si="27"/>
        <v>0</v>
      </c>
      <c r="AU18" s="1397">
        <f t="shared" si="28"/>
        <v>0</v>
      </c>
      <c r="AV18" s="1138">
        <f t="shared" si="29"/>
        <v>0</v>
      </c>
      <c r="AW18" s="1397">
        <f t="shared" si="30"/>
        <v>0</v>
      </c>
      <c r="AX18" s="1138">
        <f t="shared" si="31"/>
        <v>0</v>
      </c>
      <c r="AY18" s="1397">
        <f t="shared" si="32"/>
        <v>0</v>
      </c>
      <c r="AZ18" s="1138">
        <f t="shared" si="33"/>
        <v>0</v>
      </c>
      <c r="BA18" s="1397">
        <f t="shared" si="34"/>
        <v>0</v>
      </c>
      <c r="BB18" s="1138">
        <f t="shared" si="35"/>
        <v>0</v>
      </c>
      <c r="BC18" s="1397">
        <f t="shared" si="36"/>
        <v>0</v>
      </c>
      <c r="BD18" s="1138">
        <f t="shared" si="37"/>
        <v>0</v>
      </c>
      <c r="BE18" s="1131">
        <f>VLOOKUP(N18,Lähtötiedot!$C$102:$D$112,2,FALSE)</f>
        <v>0</v>
      </c>
    </row>
    <row r="19" spans="1:59">
      <c r="A19" s="88"/>
      <c r="B19" s="89">
        <v>0</v>
      </c>
      <c r="C19" s="90">
        <v>1</v>
      </c>
      <c r="D19" s="1152">
        <v>0.5</v>
      </c>
      <c r="E19" s="1917">
        <f t="shared" si="1"/>
        <v>0</v>
      </c>
      <c r="F19" s="91">
        <v>0.03</v>
      </c>
      <c r="G19" s="92">
        <f t="shared" si="2"/>
        <v>1.0299999999999991</v>
      </c>
      <c r="H19" s="1502" t="b">
        <f>_xlfn.IFNA(N19=VLOOKUP(N19,Lähtötiedot!$A$60:$A$70,1,FALSE),"VÄÄRIN!")</f>
        <v>1</v>
      </c>
      <c r="I19" s="93" t="str">
        <f t="shared" si="38"/>
        <v>Ei käytössä</v>
      </c>
      <c r="J19" s="1916">
        <f t="shared" si="3"/>
        <v>0</v>
      </c>
      <c r="K19" s="93">
        <f t="shared" si="39"/>
        <v>0</v>
      </c>
      <c r="L19" s="94">
        <v>0</v>
      </c>
      <c r="M19" s="95">
        <f t="shared" si="40"/>
        <v>0</v>
      </c>
      <c r="N19" s="2393" t="s">
        <v>204</v>
      </c>
      <c r="O19" s="2411" t="str">
        <f t="shared" si="41"/>
        <v/>
      </c>
      <c r="P19" s="1131" t="str">
        <f>IF(Lähtötiedot!$F$8&lt;&gt;"A","T","A")</f>
        <v>T</v>
      </c>
      <c r="Q19" s="1463">
        <f t="shared" si="4"/>
        <v>0</v>
      </c>
      <c r="R19" s="1192">
        <v>1</v>
      </c>
      <c r="S19" s="1192">
        <v>0.1</v>
      </c>
      <c r="T19" s="1402">
        <f t="shared" si="5"/>
        <v>0</v>
      </c>
      <c r="U19" s="1402">
        <f t="shared" si="6"/>
        <v>0</v>
      </c>
      <c r="V19" s="1192">
        <v>0.05</v>
      </c>
      <c r="W19" s="1138">
        <f t="shared" si="7"/>
        <v>0</v>
      </c>
      <c r="Y19" s="1138">
        <f t="shared" si="8"/>
        <v>0</v>
      </c>
      <c r="Z19" s="1138">
        <f t="shared" si="9"/>
        <v>0</v>
      </c>
      <c r="AA19" s="1138">
        <f t="shared" si="10"/>
        <v>0</v>
      </c>
      <c r="AB19" s="1138">
        <f t="shared" si="11"/>
        <v>0</v>
      </c>
      <c r="AC19" s="1138">
        <f t="shared" si="12"/>
        <v>0</v>
      </c>
      <c r="AD19" s="1138">
        <f t="shared" si="13"/>
        <v>0</v>
      </c>
      <c r="AE19" s="1138">
        <f t="shared" si="14"/>
        <v>0</v>
      </c>
      <c r="AF19" s="1138">
        <f t="shared" si="15"/>
        <v>0</v>
      </c>
      <c r="AG19" s="1138">
        <f t="shared" si="16"/>
        <v>0</v>
      </c>
      <c r="AH19" s="1138">
        <f t="shared" si="17"/>
        <v>0</v>
      </c>
      <c r="AJ19" s="1462">
        <f t="shared" si="18"/>
        <v>0</v>
      </c>
      <c r="AK19" s="1463">
        <f t="shared" si="19"/>
        <v>0</v>
      </c>
      <c r="AL19" s="1462">
        <f t="shared" si="20"/>
        <v>0</v>
      </c>
      <c r="AM19" s="1463">
        <f t="shared" si="21"/>
        <v>0</v>
      </c>
      <c r="AN19" s="1462">
        <f t="shared" si="22"/>
        <v>0</v>
      </c>
      <c r="AO19" s="1463">
        <f t="shared" si="23"/>
        <v>0</v>
      </c>
      <c r="AP19" s="1462">
        <f t="shared" si="24"/>
        <v>0</v>
      </c>
      <c r="AQ19" s="1463">
        <f t="shared" si="25"/>
        <v>0</v>
      </c>
      <c r="AR19" s="1462">
        <f t="shared" si="26"/>
        <v>0</v>
      </c>
      <c r="AS19" s="1463">
        <f t="shared" si="27"/>
        <v>0</v>
      </c>
      <c r="AU19" s="1397">
        <f t="shared" si="28"/>
        <v>0</v>
      </c>
      <c r="AV19" s="1138">
        <f t="shared" si="29"/>
        <v>0</v>
      </c>
      <c r="AW19" s="1397">
        <f t="shared" si="30"/>
        <v>0</v>
      </c>
      <c r="AX19" s="1138">
        <f t="shared" si="31"/>
        <v>0</v>
      </c>
      <c r="AY19" s="1397">
        <f t="shared" si="32"/>
        <v>0</v>
      </c>
      <c r="AZ19" s="1138">
        <f t="shared" si="33"/>
        <v>0</v>
      </c>
      <c r="BA19" s="1397">
        <f t="shared" si="34"/>
        <v>0</v>
      </c>
      <c r="BB19" s="1138">
        <f t="shared" si="35"/>
        <v>0</v>
      </c>
      <c r="BC19" s="1397">
        <f t="shared" si="36"/>
        <v>0</v>
      </c>
      <c r="BD19" s="1138">
        <f t="shared" si="37"/>
        <v>0</v>
      </c>
      <c r="BE19" s="1131">
        <f>VLOOKUP(N19,Lähtötiedot!$C$102:$D$112,2,FALSE)</f>
        <v>0</v>
      </c>
    </row>
    <row r="20" spans="1:59">
      <c r="A20" s="88"/>
      <c r="B20" s="89">
        <v>0</v>
      </c>
      <c r="C20" s="90">
        <v>1</v>
      </c>
      <c r="D20" s="1152">
        <v>0.5</v>
      </c>
      <c r="E20" s="1917">
        <f t="shared" si="1"/>
        <v>0</v>
      </c>
      <c r="F20" s="91">
        <v>0.03</v>
      </c>
      <c r="G20" s="92">
        <f t="shared" si="2"/>
        <v>1.0299999999999991</v>
      </c>
      <c r="H20" s="1502" t="b">
        <f>_xlfn.IFNA(N20=VLOOKUP(N20,Lähtötiedot!$A$60:$A$70,1,FALSE),"VÄÄRIN!")</f>
        <v>1</v>
      </c>
      <c r="I20" s="93" t="str">
        <f t="shared" si="38"/>
        <v>Ei käytössä</v>
      </c>
      <c r="J20" s="1916">
        <f t="shared" si="3"/>
        <v>0</v>
      </c>
      <c r="K20" s="93">
        <f t="shared" si="39"/>
        <v>0</v>
      </c>
      <c r="L20" s="94">
        <v>0</v>
      </c>
      <c r="M20" s="95">
        <f t="shared" si="40"/>
        <v>0</v>
      </c>
      <c r="N20" s="2393" t="s">
        <v>204</v>
      </c>
      <c r="O20" s="2411" t="str">
        <f t="shared" si="41"/>
        <v/>
      </c>
      <c r="P20" s="1131" t="str">
        <f>IF(Lähtötiedot!$F$8&lt;&gt;"A","T","A")</f>
        <v>T</v>
      </c>
      <c r="Q20" s="1463">
        <f t="shared" si="4"/>
        <v>0</v>
      </c>
      <c r="R20" s="1192">
        <v>1</v>
      </c>
      <c r="S20" s="1192">
        <v>0.1</v>
      </c>
      <c r="T20" s="1402">
        <f t="shared" si="5"/>
        <v>0</v>
      </c>
      <c r="U20" s="1402">
        <f t="shared" si="6"/>
        <v>0</v>
      </c>
      <c r="V20" s="1192">
        <v>0.05</v>
      </c>
      <c r="W20" s="1138">
        <f t="shared" si="7"/>
        <v>0</v>
      </c>
      <c r="Y20" s="1138">
        <f t="shared" si="8"/>
        <v>0</v>
      </c>
      <c r="Z20" s="1138">
        <f t="shared" si="9"/>
        <v>0</v>
      </c>
      <c r="AA20" s="1138">
        <f t="shared" si="10"/>
        <v>0</v>
      </c>
      <c r="AB20" s="1138">
        <f t="shared" si="11"/>
        <v>0</v>
      </c>
      <c r="AC20" s="1138">
        <f t="shared" si="12"/>
        <v>0</v>
      </c>
      <c r="AD20" s="1138">
        <f t="shared" si="13"/>
        <v>0</v>
      </c>
      <c r="AE20" s="1138">
        <f t="shared" si="14"/>
        <v>0</v>
      </c>
      <c r="AF20" s="1138">
        <f t="shared" si="15"/>
        <v>0</v>
      </c>
      <c r="AG20" s="1138">
        <f t="shared" si="16"/>
        <v>0</v>
      </c>
      <c r="AH20" s="1138">
        <f t="shared" si="17"/>
        <v>0</v>
      </c>
      <c r="AJ20" s="1462">
        <f t="shared" si="18"/>
        <v>0</v>
      </c>
      <c r="AK20" s="1463">
        <f t="shared" si="19"/>
        <v>0</v>
      </c>
      <c r="AL20" s="1462">
        <f t="shared" si="20"/>
        <v>0</v>
      </c>
      <c r="AM20" s="1463">
        <f t="shared" si="21"/>
        <v>0</v>
      </c>
      <c r="AN20" s="1462">
        <f t="shared" si="22"/>
        <v>0</v>
      </c>
      <c r="AO20" s="1463">
        <f t="shared" si="23"/>
        <v>0</v>
      </c>
      <c r="AP20" s="1462">
        <f t="shared" si="24"/>
        <v>0</v>
      </c>
      <c r="AQ20" s="1463">
        <f t="shared" si="25"/>
        <v>0</v>
      </c>
      <c r="AR20" s="1462">
        <f t="shared" si="26"/>
        <v>0</v>
      </c>
      <c r="AS20" s="1463">
        <f t="shared" si="27"/>
        <v>0</v>
      </c>
      <c r="AU20" s="1397">
        <f t="shared" si="28"/>
        <v>0</v>
      </c>
      <c r="AV20" s="1138">
        <f t="shared" si="29"/>
        <v>0</v>
      </c>
      <c r="AW20" s="1397">
        <f t="shared" si="30"/>
        <v>0</v>
      </c>
      <c r="AX20" s="1138">
        <f t="shared" si="31"/>
        <v>0</v>
      </c>
      <c r="AY20" s="1397">
        <f t="shared" si="32"/>
        <v>0</v>
      </c>
      <c r="AZ20" s="1138">
        <f t="shared" si="33"/>
        <v>0</v>
      </c>
      <c r="BA20" s="1397">
        <f t="shared" si="34"/>
        <v>0</v>
      </c>
      <c r="BB20" s="1138">
        <f t="shared" si="35"/>
        <v>0</v>
      </c>
      <c r="BC20" s="1397">
        <f t="shared" si="36"/>
        <v>0</v>
      </c>
      <c r="BD20" s="1138">
        <f t="shared" si="37"/>
        <v>0</v>
      </c>
      <c r="BE20" s="1131">
        <f>VLOOKUP(N20,Lähtötiedot!$C$102:$D$112,2,FALSE)</f>
        <v>0</v>
      </c>
    </row>
    <row r="21" spans="1:59">
      <c r="A21" s="88"/>
      <c r="B21" s="89">
        <v>0</v>
      </c>
      <c r="C21" s="90">
        <v>1</v>
      </c>
      <c r="D21" s="1152">
        <v>0.5</v>
      </c>
      <c r="E21" s="1917">
        <f t="shared" si="1"/>
        <v>0</v>
      </c>
      <c r="F21" s="91">
        <v>0.03</v>
      </c>
      <c r="G21" s="92">
        <f t="shared" si="2"/>
        <v>1.0299999999999991</v>
      </c>
      <c r="H21" s="1502" t="b">
        <f>_xlfn.IFNA(N21=VLOOKUP(N21,Lähtötiedot!$A$60:$A$70,1,FALSE),"VÄÄRIN!")</f>
        <v>1</v>
      </c>
      <c r="I21" s="93" t="str">
        <f t="shared" si="38"/>
        <v>Ei käytössä</v>
      </c>
      <c r="J21" s="1916">
        <f t="shared" si="3"/>
        <v>0</v>
      </c>
      <c r="K21" s="93">
        <f t="shared" si="39"/>
        <v>0</v>
      </c>
      <c r="L21" s="94">
        <v>0</v>
      </c>
      <c r="M21" s="95">
        <f t="shared" si="40"/>
        <v>0</v>
      </c>
      <c r="N21" s="2393" t="s">
        <v>204</v>
      </c>
      <c r="O21" s="2411" t="str">
        <f t="shared" si="41"/>
        <v/>
      </c>
      <c r="P21" s="1131" t="str">
        <f>IF(Lähtötiedot!$F$8&lt;&gt;"A","T","A")</f>
        <v>T</v>
      </c>
      <c r="Q21" s="1463">
        <f t="shared" si="4"/>
        <v>0</v>
      </c>
      <c r="R21" s="1192">
        <v>1</v>
      </c>
      <c r="S21" s="1192">
        <v>0.1</v>
      </c>
      <c r="T21" s="1402">
        <f t="shared" si="5"/>
        <v>0</v>
      </c>
      <c r="U21" s="1402">
        <f t="shared" si="6"/>
        <v>0</v>
      </c>
      <c r="V21" s="1192">
        <v>0.05</v>
      </c>
      <c r="W21" s="1138">
        <f t="shared" si="7"/>
        <v>0</v>
      </c>
      <c r="Y21" s="1138">
        <f t="shared" si="8"/>
        <v>0</v>
      </c>
      <c r="Z21" s="1138">
        <f t="shared" si="9"/>
        <v>0</v>
      </c>
      <c r="AA21" s="1138">
        <f t="shared" si="10"/>
        <v>0</v>
      </c>
      <c r="AB21" s="1138">
        <f t="shared" si="11"/>
        <v>0</v>
      </c>
      <c r="AC21" s="1138">
        <f t="shared" si="12"/>
        <v>0</v>
      </c>
      <c r="AD21" s="1138">
        <f t="shared" si="13"/>
        <v>0</v>
      </c>
      <c r="AE21" s="1138">
        <f t="shared" si="14"/>
        <v>0</v>
      </c>
      <c r="AF21" s="1138">
        <f t="shared" si="15"/>
        <v>0</v>
      </c>
      <c r="AG21" s="1138">
        <f t="shared" si="16"/>
        <v>0</v>
      </c>
      <c r="AH21" s="1138">
        <f t="shared" si="17"/>
        <v>0</v>
      </c>
      <c r="AJ21" s="1462">
        <f t="shared" si="18"/>
        <v>0</v>
      </c>
      <c r="AK21" s="1463">
        <f t="shared" si="19"/>
        <v>0</v>
      </c>
      <c r="AL21" s="1462">
        <f t="shared" si="20"/>
        <v>0</v>
      </c>
      <c r="AM21" s="1463">
        <f t="shared" si="21"/>
        <v>0</v>
      </c>
      <c r="AN21" s="1462">
        <f t="shared" si="22"/>
        <v>0</v>
      </c>
      <c r="AO21" s="1463">
        <f t="shared" si="23"/>
        <v>0</v>
      </c>
      <c r="AP21" s="1462">
        <f t="shared" si="24"/>
        <v>0</v>
      </c>
      <c r="AQ21" s="1463">
        <f t="shared" si="25"/>
        <v>0</v>
      </c>
      <c r="AR21" s="1462">
        <f t="shared" si="26"/>
        <v>0</v>
      </c>
      <c r="AS21" s="1463">
        <f t="shared" si="27"/>
        <v>0</v>
      </c>
      <c r="AU21" s="1397">
        <f t="shared" si="28"/>
        <v>0</v>
      </c>
      <c r="AV21" s="1138">
        <f t="shared" si="29"/>
        <v>0</v>
      </c>
      <c r="AW21" s="1397">
        <f t="shared" si="30"/>
        <v>0</v>
      </c>
      <c r="AX21" s="1138">
        <f t="shared" si="31"/>
        <v>0</v>
      </c>
      <c r="AY21" s="1397">
        <f t="shared" si="32"/>
        <v>0</v>
      </c>
      <c r="AZ21" s="1138">
        <f t="shared" si="33"/>
        <v>0</v>
      </c>
      <c r="BA21" s="1397">
        <f t="shared" si="34"/>
        <v>0</v>
      </c>
      <c r="BB21" s="1138">
        <f t="shared" si="35"/>
        <v>0</v>
      </c>
      <c r="BC21" s="1397">
        <f t="shared" si="36"/>
        <v>0</v>
      </c>
      <c r="BD21" s="1138">
        <f t="shared" si="37"/>
        <v>0</v>
      </c>
      <c r="BE21" s="1131">
        <f>VLOOKUP(N21,Lähtötiedot!$C$102:$D$112,2,FALSE)</f>
        <v>0</v>
      </c>
    </row>
    <row r="22" spans="1:59">
      <c r="A22" s="88"/>
      <c r="B22" s="89">
        <v>0</v>
      </c>
      <c r="C22" s="90">
        <v>1</v>
      </c>
      <c r="D22" s="1152">
        <v>0.5</v>
      </c>
      <c r="E22" s="1917">
        <f t="shared" si="1"/>
        <v>0</v>
      </c>
      <c r="F22" s="91">
        <v>0.03</v>
      </c>
      <c r="G22" s="92">
        <f t="shared" si="2"/>
        <v>1.0299999999999991</v>
      </c>
      <c r="H22" s="1502" t="b">
        <f>_xlfn.IFNA(N22=VLOOKUP(N22,Lähtötiedot!$A$60:$A$70,1,FALSE),"VÄÄRIN!")</f>
        <v>1</v>
      </c>
      <c r="I22" s="93" t="str">
        <f t="shared" si="38"/>
        <v>Ei käytössä</v>
      </c>
      <c r="J22" s="1916">
        <f t="shared" si="3"/>
        <v>0</v>
      </c>
      <c r="K22" s="93">
        <f t="shared" si="39"/>
        <v>0</v>
      </c>
      <c r="L22" s="94">
        <v>0</v>
      </c>
      <c r="M22" s="95">
        <f t="shared" si="40"/>
        <v>0</v>
      </c>
      <c r="N22" s="2393" t="s">
        <v>204</v>
      </c>
      <c r="O22" s="2411" t="str">
        <f t="shared" si="41"/>
        <v/>
      </c>
      <c r="P22" s="1131" t="str">
        <f>IF(Lähtötiedot!$F$8&lt;&gt;"A","T","A")</f>
        <v>T</v>
      </c>
      <c r="Q22" s="1463">
        <f t="shared" si="4"/>
        <v>0</v>
      </c>
      <c r="R22" s="1192">
        <v>1</v>
      </c>
      <c r="S22" s="1192">
        <v>0.1</v>
      </c>
      <c r="T22" s="1402">
        <f t="shared" si="5"/>
        <v>0</v>
      </c>
      <c r="U22" s="1402">
        <f t="shared" si="6"/>
        <v>0</v>
      </c>
      <c r="V22" s="1192">
        <v>0.05</v>
      </c>
      <c r="W22" s="1138">
        <f t="shared" si="7"/>
        <v>0</v>
      </c>
      <c r="Y22" s="1138">
        <f t="shared" si="8"/>
        <v>0</v>
      </c>
      <c r="Z22" s="1138">
        <f t="shared" si="9"/>
        <v>0</v>
      </c>
      <c r="AA22" s="1138">
        <f t="shared" si="10"/>
        <v>0</v>
      </c>
      <c r="AB22" s="1138">
        <f t="shared" si="11"/>
        <v>0</v>
      </c>
      <c r="AC22" s="1138">
        <f t="shared" si="12"/>
        <v>0</v>
      </c>
      <c r="AD22" s="1138">
        <f t="shared" si="13"/>
        <v>0</v>
      </c>
      <c r="AE22" s="1138">
        <f t="shared" si="14"/>
        <v>0</v>
      </c>
      <c r="AF22" s="1138">
        <f t="shared" si="15"/>
        <v>0</v>
      </c>
      <c r="AG22" s="1138">
        <f t="shared" si="16"/>
        <v>0</v>
      </c>
      <c r="AH22" s="1138">
        <f t="shared" si="17"/>
        <v>0</v>
      </c>
      <c r="AJ22" s="1462">
        <f t="shared" si="18"/>
        <v>0</v>
      </c>
      <c r="AK22" s="1463">
        <f t="shared" si="19"/>
        <v>0</v>
      </c>
      <c r="AL22" s="1462">
        <f t="shared" si="20"/>
        <v>0</v>
      </c>
      <c r="AM22" s="1463">
        <f t="shared" si="21"/>
        <v>0</v>
      </c>
      <c r="AN22" s="1462">
        <f t="shared" si="22"/>
        <v>0</v>
      </c>
      <c r="AO22" s="1463">
        <f t="shared" si="23"/>
        <v>0</v>
      </c>
      <c r="AP22" s="1462">
        <f t="shared" si="24"/>
        <v>0</v>
      </c>
      <c r="AQ22" s="1463">
        <f t="shared" si="25"/>
        <v>0</v>
      </c>
      <c r="AR22" s="1462">
        <f t="shared" si="26"/>
        <v>0</v>
      </c>
      <c r="AS22" s="1463">
        <f t="shared" si="27"/>
        <v>0</v>
      </c>
      <c r="AU22" s="1397">
        <f t="shared" si="28"/>
        <v>0</v>
      </c>
      <c r="AV22" s="1138">
        <f t="shared" si="29"/>
        <v>0</v>
      </c>
      <c r="AW22" s="1397">
        <f t="shared" si="30"/>
        <v>0</v>
      </c>
      <c r="AX22" s="1138">
        <f t="shared" si="31"/>
        <v>0</v>
      </c>
      <c r="AY22" s="1397">
        <f t="shared" si="32"/>
        <v>0</v>
      </c>
      <c r="AZ22" s="1138">
        <f t="shared" si="33"/>
        <v>0</v>
      </c>
      <c r="BA22" s="1397">
        <f t="shared" si="34"/>
        <v>0</v>
      </c>
      <c r="BB22" s="1138">
        <f t="shared" si="35"/>
        <v>0</v>
      </c>
      <c r="BC22" s="1397">
        <f t="shared" si="36"/>
        <v>0</v>
      </c>
      <c r="BD22" s="1138">
        <f t="shared" si="37"/>
        <v>0</v>
      </c>
      <c r="BE22" s="1131">
        <f>VLOOKUP(N22,Lähtötiedot!$C$102:$D$112,2,FALSE)</f>
        <v>0</v>
      </c>
    </row>
    <row r="23" spans="1:59">
      <c r="A23" s="88"/>
      <c r="B23" s="89">
        <v>0</v>
      </c>
      <c r="C23" s="90">
        <v>1</v>
      </c>
      <c r="D23" s="1152">
        <v>0.5</v>
      </c>
      <c r="E23" s="1917">
        <f t="shared" si="1"/>
        <v>0</v>
      </c>
      <c r="F23" s="91">
        <v>0.03</v>
      </c>
      <c r="G23" s="92">
        <f t="shared" si="2"/>
        <v>1.0299999999999991</v>
      </c>
      <c r="H23" s="1502" t="b">
        <f>_xlfn.IFNA(N23=VLOOKUP(N23,Lähtötiedot!$A$60:$A$70,1,FALSE),"VÄÄRIN!")</f>
        <v>1</v>
      </c>
      <c r="I23" s="93" t="str">
        <f t="shared" si="38"/>
        <v>Ei käytössä</v>
      </c>
      <c r="J23" s="1916">
        <f t="shared" si="3"/>
        <v>0</v>
      </c>
      <c r="K23" s="93">
        <f t="shared" si="39"/>
        <v>0</v>
      </c>
      <c r="L23" s="94">
        <v>0</v>
      </c>
      <c r="M23" s="95">
        <f t="shared" si="40"/>
        <v>0</v>
      </c>
      <c r="N23" s="2393" t="s">
        <v>204</v>
      </c>
      <c r="O23" s="2411" t="str">
        <f t="shared" si="41"/>
        <v/>
      </c>
      <c r="P23" s="1131" t="str">
        <f>IF(Lähtötiedot!$F$8&lt;&gt;"A","T","A")</f>
        <v>T</v>
      </c>
      <c r="Q23" s="1463">
        <f t="shared" si="4"/>
        <v>0</v>
      </c>
      <c r="R23" s="1192">
        <v>1</v>
      </c>
      <c r="S23" s="1192">
        <v>0.1</v>
      </c>
      <c r="T23" s="1402">
        <f t="shared" si="5"/>
        <v>0</v>
      </c>
      <c r="U23" s="1402">
        <f t="shared" si="6"/>
        <v>0</v>
      </c>
      <c r="V23" s="1192">
        <v>0.05</v>
      </c>
      <c r="W23" s="1138">
        <f t="shared" si="7"/>
        <v>0</v>
      </c>
      <c r="Y23" s="1138">
        <f t="shared" si="8"/>
        <v>0</v>
      </c>
      <c r="Z23" s="1138">
        <f t="shared" si="9"/>
        <v>0</v>
      </c>
      <c r="AA23" s="1138">
        <f t="shared" si="10"/>
        <v>0</v>
      </c>
      <c r="AB23" s="1138">
        <f t="shared" si="11"/>
        <v>0</v>
      </c>
      <c r="AC23" s="1138">
        <f t="shared" si="12"/>
        <v>0</v>
      </c>
      <c r="AD23" s="1138">
        <f t="shared" si="13"/>
        <v>0</v>
      </c>
      <c r="AE23" s="1138">
        <f t="shared" si="14"/>
        <v>0</v>
      </c>
      <c r="AF23" s="1138">
        <f t="shared" si="15"/>
        <v>0</v>
      </c>
      <c r="AG23" s="1138">
        <f t="shared" si="16"/>
        <v>0</v>
      </c>
      <c r="AH23" s="1138">
        <f t="shared" si="17"/>
        <v>0</v>
      </c>
      <c r="AJ23" s="1462">
        <f t="shared" si="18"/>
        <v>0</v>
      </c>
      <c r="AK23" s="1463">
        <f t="shared" si="19"/>
        <v>0</v>
      </c>
      <c r="AL23" s="1462">
        <f t="shared" si="20"/>
        <v>0</v>
      </c>
      <c r="AM23" s="1463">
        <f t="shared" si="21"/>
        <v>0</v>
      </c>
      <c r="AN23" s="1462">
        <f t="shared" si="22"/>
        <v>0</v>
      </c>
      <c r="AO23" s="1463">
        <f t="shared" si="23"/>
        <v>0</v>
      </c>
      <c r="AP23" s="1462">
        <f t="shared" si="24"/>
        <v>0</v>
      </c>
      <c r="AQ23" s="1463">
        <f t="shared" si="25"/>
        <v>0</v>
      </c>
      <c r="AR23" s="1462">
        <f t="shared" si="26"/>
        <v>0</v>
      </c>
      <c r="AS23" s="1463">
        <f t="shared" si="27"/>
        <v>0</v>
      </c>
      <c r="AU23" s="1397">
        <f t="shared" si="28"/>
        <v>0</v>
      </c>
      <c r="AV23" s="1138">
        <f t="shared" si="29"/>
        <v>0</v>
      </c>
      <c r="AW23" s="1397">
        <f t="shared" si="30"/>
        <v>0</v>
      </c>
      <c r="AX23" s="1138">
        <f t="shared" si="31"/>
        <v>0</v>
      </c>
      <c r="AY23" s="1397">
        <f t="shared" si="32"/>
        <v>0</v>
      </c>
      <c r="AZ23" s="1138">
        <f t="shared" si="33"/>
        <v>0</v>
      </c>
      <c r="BA23" s="1397">
        <f t="shared" si="34"/>
        <v>0</v>
      </c>
      <c r="BB23" s="1138">
        <f t="shared" si="35"/>
        <v>0</v>
      </c>
      <c r="BC23" s="1397">
        <f t="shared" si="36"/>
        <v>0</v>
      </c>
      <c r="BD23" s="1138">
        <f t="shared" si="37"/>
        <v>0</v>
      </c>
      <c r="BE23" s="1131">
        <f>VLOOKUP(N23,Lähtötiedot!$C$102:$D$112,2,FALSE)</f>
        <v>0</v>
      </c>
    </row>
    <row r="24" spans="1:59">
      <c r="A24" s="88"/>
      <c r="B24" s="89">
        <v>0</v>
      </c>
      <c r="C24" s="90">
        <v>1</v>
      </c>
      <c r="D24" s="1152">
        <v>0.5</v>
      </c>
      <c r="E24" s="1917">
        <f t="shared" si="1"/>
        <v>0</v>
      </c>
      <c r="F24" s="91">
        <v>0.03</v>
      </c>
      <c r="G24" s="92">
        <f t="shared" si="2"/>
        <v>1.0299999999999991</v>
      </c>
      <c r="H24" s="1502" t="b">
        <f>_xlfn.IFNA(N24=VLOOKUP(N24,Lähtötiedot!$A$60:$A$70,1,FALSE),"VÄÄRIN!")</f>
        <v>1</v>
      </c>
      <c r="I24" s="93" t="str">
        <f t="shared" si="38"/>
        <v>Ei käytössä</v>
      </c>
      <c r="J24" s="1916">
        <f t="shared" si="3"/>
        <v>0</v>
      </c>
      <c r="K24" s="93">
        <f t="shared" si="39"/>
        <v>0</v>
      </c>
      <c r="L24" s="94">
        <v>0</v>
      </c>
      <c r="M24" s="95">
        <f t="shared" si="40"/>
        <v>0</v>
      </c>
      <c r="N24" s="2393" t="s">
        <v>204</v>
      </c>
      <c r="O24" s="2411" t="str">
        <f t="shared" si="41"/>
        <v/>
      </c>
      <c r="P24" s="1131" t="str">
        <f>IF(Lähtötiedot!$F$8&lt;&gt;"A","T","A")</f>
        <v>T</v>
      </c>
      <c r="Q24" s="1463">
        <f t="shared" si="4"/>
        <v>0</v>
      </c>
      <c r="R24" s="1192">
        <v>1</v>
      </c>
      <c r="S24" s="1192">
        <v>0.1</v>
      </c>
      <c r="T24" s="1402">
        <f t="shared" si="5"/>
        <v>0</v>
      </c>
      <c r="U24" s="1402">
        <f t="shared" si="6"/>
        <v>0</v>
      </c>
      <c r="V24" s="1192">
        <v>0.05</v>
      </c>
      <c r="W24" s="1138">
        <f t="shared" si="7"/>
        <v>0</v>
      </c>
      <c r="Y24" s="1138">
        <f t="shared" si="8"/>
        <v>0</v>
      </c>
      <c r="Z24" s="1138">
        <f t="shared" si="9"/>
        <v>0</v>
      </c>
      <c r="AA24" s="1138">
        <f t="shared" si="10"/>
        <v>0</v>
      </c>
      <c r="AB24" s="1138">
        <f t="shared" si="11"/>
        <v>0</v>
      </c>
      <c r="AC24" s="1138">
        <f t="shared" si="12"/>
        <v>0</v>
      </c>
      <c r="AD24" s="1138">
        <f t="shared" si="13"/>
        <v>0</v>
      </c>
      <c r="AE24" s="1138">
        <f t="shared" si="14"/>
        <v>0</v>
      </c>
      <c r="AF24" s="1138">
        <f t="shared" si="15"/>
        <v>0</v>
      </c>
      <c r="AG24" s="1138">
        <f t="shared" si="16"/>
        <v>0</v>
      </c>
      <c r="AH24" s="1138">
        <f t="shared" si="17"/>
        <v>0</v>
      </c>
      <c r="AJ24" s="1462">
        <f t="shared" si="18"/>
        <v>0</v>
      </c>
      <c r="AK24" s="1463">
        <f t="shared" si="19"/>
        <v>0</v>
      </c>
      <c r="AL24" s="1462">
        <f t="shared" si="20"/>
        <v>0</v>
      </c>
      <c r="AM24" s="1463">
        <f t="shared" si="21"/>
        <v>0</v>
      </c>
      <c r="AN24" s="1462">
        <f t="shared" si="22"/>
        <v>0</v>
      </c>
      <c r="AO24" s="1463">
        <f t="shared" si="23"/>
        <v>0</v>
      </c>
      <c r="AP24" s="1462">
        <f t="shared" si="24"/>
        <v>0</v>
      </c>
      <c r="AQ24" s="1463">
        <f t="shared" si="25"/>
        <v>0</v>
      </c>
      <c r="AR24" s="1462">
        <f t="shared" si="26"/>
        <v>0</v>
      </c>
      <c r="AS24" s="1463">
        <f t="shared" si="27"/>
        <v>0</v>
      </c>
      <c r="AU24" s="1397">
        <f t="shared" si="28"/>
        <v>0</v>
      </c>
      <c r="AV24" s="1138">
        <f t="shared" si="29"/>
        <v>0</v>
      </c>
      <c r="AW24" s="1397">
        <f t="shared" si="30"/>
        <v>0</v>
      </c>
      <c r="AX24" s="1138">
        <f t="shared" si="31"/>
        <v>0</v>
      </c>
      <c r="AY24" s="1397">
        <f t="shared" si="32"/>
        <v>0</v>
      </c>
      <c r="AZ24" s="1138">
        <f t="shared" si="33"/>
        <v>0</v>
      </c>
      <c r="BA24" s="1397">
        <f t="shared" si="34"/>
        <v>0</v>
      </c>
      <c r="BB24" s="1138">
        <f t="shared" si="35"/>
        <v>0</v>
      </c>
      <c r="BC24" s="1397">
        <f t="shared" si="36"/>
        <v>0</v>
      </c>
      <c r="BD24" s="1138">
        <f t="shared" si="37"/>
        <v>0</v>
      </c>
      <c r="BE24" s="1131">
        <f>VLOOKUP(N24,Lähtötiedot!$C$102:$D$112,2,FALSE)</f>
        <v>0</v>
      </c>
    </row>
    <row r="25" spans="1:59">
      <c r="A25" s="88" t="s">
        <v>286</v>
      </c>
      <c r="B25" s="89">
        <v>0</v>
      </c>
      <c r="C25" s="90">
        <v>1</v>
      </c>
      <c r="D25" s="1152">
        <v>0</v>
      </c>
      <c r="E25" s="1917">
        <f t="shared" si="1"/>
        <v>0</v>
      </c>
      <c r="F25" s="91">
        <v>0.03</v>
      </c>
      <c r="G25" s="92">
        <f t="shared" si="2"/>
        <v>1.0299999999999991</v>
      </c>
      <c r="H25" s="1502" t="b">
        <f>_xlfn.IFNA(N25=VLOOKUP(N25,Lähtötiedot!$A$60:$A$70,1,FALSE),"VÄÄRIN!")</f>
        <v>1</v>
      </c>
      <c r="I25" s="93" t="str">
        <f t="shared" si="38"/>
        <v>Ei käytössä</v>
      </c>
      <c r="J25" s="1916">
        <f t="shared" si="3"/>
        <v>0</v>
      </c>
      <c r="K25" s="93">
        <f t="shared" si="39"/>
        <v>0</v>
      </c>
      <c r="L25" s="94">
        <v>0</v>
      </c>
      <c r="M25" s="95">
        <f t="shared" si="40"/>
        <v>0</v>
      </c>
      <c r="N25" s="2393" t="s">
        <v>204</v>
      </c>
      <c r="O25" s="2411" t="str">
        <f t="shared" si="41"/>
        <v/>
      </c>
      <c r="P25" s="1131" t="str">
        <f>IF(Lähtötiedot!$F$8&lt;&gt;"A","T","A")</f>
        <v>T</v>
      </c>
      <c r="Q25" s="1463">
        <f t="shared" si="4"/>
        <v>0</v>
      </c>
      <c r="R25" s="1192">
        <v>1</v>
      </c>
      <c r="S25" s="1192">
        <v>0.1</v>
      </c>
      <c r="T25" s="1402">
        <f t="shared" si="5"/>
        <v>0</v>
      </c>
      <c r="U25" s="1402">
        <f t="shared" si="6"/>
        <v>0</v>
      </c>
      <c r="V25" s="1192">
        <v>0.05</v>
      </c>
      <c r="W25" s="1138">
        <f t="shared" si="7"/>
        <v>0</v>
      </c>
      <c r="Y25" s="1138">
        <f t="shared" si="8"/>
        <v>0</v>
      </c>
      <c r="Z25" s="1138">
        <f t="shared" si="9"/>
        <v>0</v>
      </c>
      <c r="AA25" s="1138">
        <f t="shared" si="10"/>
        <v>0</v>
      </c>
      <c r="AB25" s="1138">
        <f t="shared" si="11"/>
        <v>0</v>
      </c>
      <c r="AC25" s="1138">
        <f t="shared" si="12"/>
        <v>0</v>
      </c>
      <c r="AD25" s="1138">
        <f t="shared" si="13"/>
        <v>0</v>
      </c>
      <c r="AE25" s="1138">
        <f t="shared" si="14"/>
        <v>0</v>
      </c>
      <c r="AF25" s="1138">
        <f t="shared" si="15"/>
        <v>0</v>
      </c>
      <c r="AG25" s="1138">
        <f t="shared" si="16"/>
        <v>0</v>
      </c>
      <c r="AH25" s="1138">
        <f t="shared" si="17"/>
        <v>0</v>
      </c>
      <c r="AJ25" s="1462">
        <f t="shared" si="18"/>
        <v>0</v>
      </c>
      <c r="AK25" s="1463">
        <f t="shared" si="19"/>
        <v>0</v>
      </c>
      <c r="AL25" s="1462">
        <f t="shared" si="20"/>
        <v>0</v>
      </c>
      <c r="AM25" s="1463">
        <f t="shared" si="21"/>
        <v>0</v>
      </c>
      <c r="AN25" s="1462">
        <f t="shared" si="22"/>
        <v>0</v>
      </c>
      <c r="AO25" s="1463">
        <f t="shared" si="23"/>
        <v>0</v>
      </c>
      <c r="AP25" s="1462">
        <f t="shared" si="24"/>
        <v>0</v>
      </c>
      <c r="AQ25" s="1463">
        <f t="shared" si="25"/>
        <v>0</v>
      </c>
      <c r="AR25" s="1462">
        <f t="shared" si="26"/>
        <v>0</v>
      </c>
      <c r="AS25" s="1463">
        <f t="shared" si="27"/>
        <v>0</v>
      </c>
      <c r="AU25" s="1397">
        <f t="shared" si="28"/>
        <v>0</v>
      </c>
      <c r="AV25" s="1138">
        <f t="shared" si="29"/>
        <v>0</v>
      </c>
      <c r="AW25" s="1397">
        <f t="shared" si="30"/>
        <v>0</v>
      </c>
      <c r="AX25" s="1138">
        <f t="shared" si="31"/>
        <v>0</v>
      </c>
      <c r="AY25" s="1397">
        <f t="shared" si="32"/>
        <v>0</v>
      </c>
      <c r="AZ25" s="1138">
        <f t="shared" si="33"/>
        <v>0</v>
      </c>
      <c r="BA25" s="1397">
        <f t="shared" si="34"/>
        <v>0</v>
      </c>
      <c r="BB25" s="1138">
        <f t="shared" si="35"/>
        <v>0</v>
      </c>
      <c r="BC25" s="1397">
        <f t="shared" si="36"/>
        <v>0</v>
      </c>
      <c r="BD25" s="1138">
        <f t="shared" si="37"/>
        <v>0</v>
      </c>
      <c r="BE25" s="1131">
        <f>VLOOKUP(N25,Lähtötiedot!$C$102:$D$112,2,FALSE)</f>
        <v>0</v>
      </c>
    </row>
    <row r="26" spans="1:59" ht="13.5" thickBot="1"/>
    <row r="27" spans="1:59" ht="13.5" thickBot="1">
      <c r="A27" t="s">
        <v>3</v>
      </c>
      <c r="B27" s="96">
        <f>SUM(B5:B25)</f>
        <v>0</v>
      </c>
      <c r="C27" s="52"/>
      <c r="D27" s="52"/>
      <c r="E27" s="96">
        <f>SUM(E5:E25)</f>
        <v>0</v>
      </c>
      <c r="F27" s="97">
        <f>AVERAGE(F5:F25)</f>
        <v>3.0000000000000016E-2</v>
      </c>
      <c r="G27" s="97"/>
      <c r="H27" s="97"/>
      <c r="I27" s="98">
        <f>SUM(I5:I25)</f>
        <v>0</v>
      </c>
      <c r="J27" s="98">
        <f>SUM(J5:J25)</f>
        <v>0</v>
      </c>
      <c r="K27" s="96">
        <f>SUM(K5:K25)</f>
        <v>0</v>
      </c>
      <c r="L27" s="96">
        <f>SUM(L5:L25)</f>
        <v>0</v>
      </c>
      <c r="M27" s="99">
        <f>SUM(M5:M25)</f>
        <v>0</v>
      </c>
      <c r="Q27" s="1411">
        <f>SUM(Q5:Q25)</f>
        <v>0</v>
      </c>
      <c r="R27" s="1411"/>
      <c r="S27" s="1411"/>
      <c r="T27" s="1411"/>
      <c r="U27" s="1411"/>
      <c r="V27" s="1411"/>
      <c r="W27" s="1411">
        <f t="shared" ref="W27:BD27" si="43">SUM(W5:W25)</f>
        <v>0</v>
      </c>
      <c r="X27" s="1411">
        <f t="shared" si="43"/>
        <v>0</v>
      </c>
      <c r="Y27" s="1411">
        <f t="shared" si="43"/>
        <v>0</v>
      </c>
      <c r="Z27" s="1411">
        <f t="shared" si="43"/>
        <v>0</v>
      </c>
      <c r="AA27" s="1411">
        <f t="shared" si="43"/>
        <v>0</v>
      </c>
      <c r="AB27" s="1411">
        <f t="shared" si="43"/>
        <v>0</v>
      </c>
      <c r="AC27" s="1411">
        <f t="shared" si="43"/>
        <v>0</v>
      </c>
      <c r="AD27" s="1411">
        <f t="shared" si="43"/>
        <v>0</v>
      </c>
      <c r="AE27" s="1411">
        <f t="shared" si="43"/>
        <v>0</v>
      </c>
      <c r="AF27" s="1411">
        <f t="shared" si="43"/>
        <v>0</v>
      </c>
      <c r="AG27" s="1411">
        <f t="shared" si="43"/>
        <v>0</v>
      </c>
      <c r="AH27" s="1411">
        <f t="shared" si="43"/>
        <v>0</v>
      </c>
      <c r="AI27" s="1411">
        <f t="shared" si="43"/>
        <v>0</v>
      </c>
      <c r="AJ27" s="1411">
        <f>IF(SUM(AJ5:AJ25)&gt;0,SUM(AJ5:AJ25),0)</f>
        <v>0</v>
      </c>
      <c r="AK27" s="1411">
        <f t="shared" ref="AK27:AS27" si="44">IF(SUM(AK5:AK25)&gt;0,SUM(AK5:AK25),0)</f>
        <v>0</v>
      </c>
      <c r="AL27" s="1411">
        <f t="shared" si="44"/>
        <v>0</v>
      </c>
      <c r="AM27" s="1411">
        <f t="shared" si="44"/>
        <v>0</v>
      </c>
      <c r="AN27" s="1411">
        <f t="shared" si="44"/>
        <v>0</v>
      </c>
      <c r="AO27" s="1411">
        <f t="shared" si="44"/>
        <v>0</v>
      </c>
      <c r="AP27" s="1411">
        <f t="shared" si="44"/>
        <v>0</v>
      </c>
      <c r="AQ27" s="1411">
        <f t="shared" si="44"/>
        <v>0</v>
      </c>
      <c r="AR27" s="1411">
        <f t="shared" si="44"/>
        <v>0</v>
      </c>
      <c r="AS27" s="1411">
        <f t="shared" si="44"/>
        <v>0</v>
      </c>
      <c r="AU27" s="1411">
        <f t="shared" si="43"/>
        <v>0</v>
      </c>
      <c r="AV27" s="1411">
        <f t="shared" si="43"/>
        <v>0</v>
      </c>
      <c r="AW27" s="1411">
        <f t="shared" si="43"/>
        <v>0</v>
      </c>
      <c r="AX27" s="1411">
        <f t="shared" si="43"/>
        <v>0</v>
      </c>
      <c r="AY27" s="1411">
        <f t="shared" si="43"/>
        <v>0</v>
      </c>
      <c r="AZ27" s="1411">
        <f t="shared" si="43"/>
        <v>0</v>
      </c>
      <c r="BA27" s="1411">
        <f t="shared" si="43"/>
        <v>0</v>
      </c>
      <c r="BB27" s="1411">
        <f t="shared" si="43"/>
        <v>0</v>
      </c>
      <c r="BC27" s="1411">
        <f t="shared" si="43"/>
        <v>0</v>
      </c>
      <c r="BD27" s="1411">
        <f t="shared" si="43"/>
        <v>0</v>
      </c>
    </row>
    <row r="28" spans="1:59" ht="13.5" customHeight="1" thickBot="1">
      <c r="D28" s="4" t="s">
        <v>287</v>
      </c>
      <c r="S28" s="1979"/>
      <c r="T28" s="1979"/>
      <c r="U28" s="1979"/>
      <c r="V28" s="1979"/>
      <c r="W28" s="1979"/>
      <c r="X28" s="1979"/>
      <c r="Y28" s="1979"/>
      <c r="Z28" s="1979"/>
      <c r="AA28" s="1979"/>
      <c r="AB28" s="1979"/>
      <c r="AC28" s="1979"/>
      <c r="AD28" s="1979"/>
      <c r="AE28" s="1979"/>
      <c r="AF28" s="1979"/>
      <c r="AG28" s="1979"/>
      <c r="AH28" s="1979"/>
      <c r="BF28" s="1181"/>
      <c r="BG28" s="1181"/>
    </row>
    <row r="29" spans="1:59" ht="13.5" thickBot="1">
      <c r="D29" s="1598" t="str">
        <f>IF('Rakenna TULOSENNUSTE'!A107&lt;&gt;"",'Rakenna TULOSENNUSTE'!A107,"Ei")</f>
        <v>x</v>
      </c>
      <c r="E29" s="1595" t="str">
        <f>Lähtötiedot!$A$60</f>
        <v>kasvi</v>
      </c>
      <c r="I29" s="100"/>
      <c r="J29" s="101">
        <f>SUMIF($N$5:$N$25,E29,$J$5:$J$25)</f>
        <v>0</v>
      </c>
      <c r="K29" s="101">
        <f>SUMIF($N$5:$N$25,E29,$K$5:$K$25)</f>
        <v>0</v>
      </c>
      <c r="L29" s="101">
        <f>SUMIF($N$5:$N$25,E29,$L$5:$L$25)</f>
        <v>0</v>
      </c>
      <c r="M29" s="101">
        <f>SUMIF($N$5:$N$25,E29,$M$5:$M$25)</f>
        <v>0</v>
      </c>
      <c r="N29" s="102" t="str">
        <f>IF(M29=0,"",M29/$M$27)</f>
        <v/>
      </c>
      <c r="O29" s="102"/>
      <c r="P29" s="52"/>
      <c r="R29" s="1980"/>
      <c r="S29" s="1543"/>
      <c r="T29" s="101">
        <f t="shared" ref="T29:U39" si="45">IF($D29="x",SUMIF($N$5:$N$25,$E29,T$5:T$25),0)</f>
        <v>0</v>
      </c>
      <c r="U29" s="101">
        <f t="shared" si="45"/>
        <v>0</v>
      </c>
      <c r="W29" s="101">
        <f t="shared" ref="W29" si="46">SUMIF($N$5:$N$25,E29,$W$5:$W$25)</f>
        <v>0</v>
      </c>
      <c r="Y29" s="101">
        <f t="shared" ref="Y29:Z39" si="47">IF($D29="x",SUMIF($N$5:$N$25,$E29,Y$5:Y$25),0)</f>
        <v>0</v>
      </c>
      <c r="Z29" s="101">
        <f t="shared" si="47"/>
        <v>0</v>
      </c>
      <c r="AA29" s="101">
        <f t="shared" ref="AA29:AB39" si="48">IF($D29="x",SUMIF($N$5:$N$25,$E29,AA$5:AA$25),0)</f>
        <v>0</v>
      </c>
      <c r="AB29" s="101">
        <f t="shared" si="48"/>
        <v>0</v>
      </c>
      <c r="AC29" s="101">
        <f t="shared" ref="AC29:AD39" si="49">IF($D29="x",SUMIF($N$5:$N$25,$E29,AC$5:AC$25),0)</f>
        <v>0</v>
      </c>
      <c r="AD29" s="101">
        <f t="shared" si="49"/>
        <v>0</v>
      </c>
      <c r="AE29" s="101">
        <f t="shared" ref="AE29:AF39" si="50">IF($D29="x",SUMIF($N$5:$N$25,$E29,AE$5:AE$25),0)</f>
        <v>0</v>
      </c>
      <c r="AF29" s="101">
        <f t="shared" si="50"/>
        <v>0</v>
      </c>
      <c r="AG29" s="101">
        <f t="shared" ref="AG29:AH39" si="51">IF($D29="x",SUMIF($N$5:$N$25,$E29,AG$5:AG$25),0)</f>
        <v>0</v>
      </c>
      <c r="AH29" s="101">
        <f t="shared" si="51"/>
        <v>0</v>
      </c>
      <c r="BE29" s="1181"/>
      <c r="BF29" s="1181"/>
      <c r="BG29" s="1181"/>
    </row>
    <row r="30" spans="1:59" ht="13.5" thickBot="1">
      <c r="D30" s="1598" t="str">
        <f>IF('Rakenna TULOSENNUSTE'!A108&lt;&gt;"",'Rakenna TULOSENNUSTE'!A108,"Ei")</f>
        <v>X</v>
      </c>
      <c r="E30" s="903" t="str">
        <f>Lähtötiedot!$A$61</f>
        <v>nurmi</v>
      </c>
      <c r="I30" s="100"/>
      <c r="J30" s="101">
        <f t="shared" ref="J30:J39" si="52">SUMIF($N$5:$N$25,E30,$J$5:$J$25)</f>
        <v>0</v>
      </c>
      <c r="K30" s="101">
        <f t="shared" ref="K30:K39" si="53">SUMIF($N$5:$N$25,E30,$K$5:$K$25)</f>
        <v>0</v>
      </c>
      <c r="L30" s="101">
        <f t="shared" ref="L30:L39" si="54">SUMIF($N$5:$N$25,E30,$L$5:$L$25)</f>
        <v>0</v>
      </c>
      <c r="M30" s="101">
        <f t="shared" ref="M30:M39" si="55">SUMIF($N$5:$N$25,E30,$M$5:$M$25)</f>
        <v>0</v>
      </c>
      <c r="N30" s="102" t="str">
        <f>IF(M30=0,"",M30/$M$27)</f>
        <v/>
      </c>
      <c r="O30" s="102"/>
      <c r="P30" s="52"/>
      <c r="T30" s="101">
        <f t="shared" si="45"/>
        <v>0</v>
      </c>
      <c r="U30" s="101">
        <f t="shared" si="45"/>
        <v>0</v>
      </c>
      <c r="V30" s="1980"/>
      <c r="W30" s="101">
        <f t="shared" ref="W30:W39" si="56">SUMIF($N$5:$N$25,E30,$W$5:$W$25)</f>
        <v>0</v>
      </c>
      <c r="Y30" s="101">
        <f t="shared" si="47"/>
        <v>0</v>
      </c>
      <c r="Z30" s="101">
        <f t="shared" si="47"/>
        <v>0</v>
      </c>
      <c r="AA30" s="101">
        <f t="shared" si="48"/>
        <v>0</v>
      </c>
      <c r="AB30" s="101">
        <f t="shared" si="48"/>
        <v>0</v>
      </c>
      <c r="AC30" s="101">
        <f t="shared" si="49"/>
        <v>0</v>
      </c>
      <c r="AD30" s="101">
        <f t="shared" si="49"/>
        <v>0</v>
      </c>
      <c r="AE30" s="101">
        <f t="shared" si="50"/>
        <v>0</v>
      </c>
      <c r="AF30" s="101">
        <f t="shared" si="50"/>
        <v>0</v>
      </c>
      <c r="AG30" s="101">
        <f t="shared" si="51"/>
        <v>0</v>
      </c>
      <c r="AH30" s="101">
        <f t="shared" si="51"/>
        <v>0</v>
      </c>
    </row>
    <row r="31" spans="1:59" ht="13.5" thickBot="1">
      <c r="D31" s="1598" t="str">
        <f>IF('Rakenna TULOSENNUSTE'!A109&lt;&gt;"",'Rakenna TULOSENNUSTE'!A109,"Ei")</f>
        <v>X</v>
      </c>
      <c r="E31" s="903" t="str">
        <f>Lähtötiedot!$A$62</f>
        <v>eläin</v>
      </c>
      <c r="I31" s="100"/>
      <c r="J31" s="101">
        <f t="shared" si="52"/>
        <v>0</v>
      </c>
      <c r="K31" s="101">
        <f t="shared" si="53"/>
        <v>0</v>
      </c>
      <c r="L31" s="101">
        <f t="shared" si="54"/>
        <v>0</v>
      </c>
      <c r="M31" s="101">
        <f t="shared" si="55"/>
        <v>0</v>
      </c>
      <c r="N31" s="102" t="str">
        <f>IF(M31=0,"",M31/$M$27)</f>
        <v/>
      </c>
      <c r="O31" s="102"/>
      <c r="P31" s="52"/>
      <c r="T31" s="101">
        <f t="shared" si="45"/>
        <v>0</v>
      </c>
      <c r="U31" s="101">
        <f t="shared" si="45"/>
        <v>0</v>
      </c>
      <c r="V31" s="1980"/>
      <c r="W31" s="101">
        <f t="shared" si="56"/>
        <v>0</v>
      </c>
      <c r="Y31" s="101">
        <f t="shared" si="47"/>
        <v>0</v>
      </c>
      <c r="Z31" s="101">
        <f t="shared" si="47"/>
        <v>0</v>
      </c>
      <c r="AA31" s="101">
        <f t="shared" si="48"/>
        <v>0</v>
      </c>
      <c r="AB31" s="101">
        <f t="shared" si="48"/>
        <v>0</v>
      </c>
      <c r="AC31" s="101">
        <f t="shared" si="49"/>
        <v>0</v>
      </c>
      <c r="AD31" s="101">
        <f t="shared" si="49"/>
        <v>0</v>
      </c>
      <c r="AE31" s="101">
        <f t="shared" si="50"/>
        <v>0</v>
      </c>
      <c r="AF31" s="101">
        <f t="shared" si="50"/>
        <v>0</v>
      </c>
      <c r="AG31" s="101">
        <f t="shared" si="51"/>
        <v>0</v>
      </c>
      <c r="AH31" s="101">
        <f t="shared" si="51"/>
        <v>0</v>
      </c>
    </row>
    <row r="32" spans="1:59" ht="13.5" thickBot="1">
      <c r="D32" s="1598" t="str">
        <f>IF('Rakenna TULOSENNUSTE'!A110&lt;&gt;"",'Rakenna TULOSENNUSTE'!A110,"Ei")</f>
        <v>X</v>
      </c>
      <c r="E32" s="903" t="str">
        <f>Lähtötiedot!$A$63</f>
        <v>puutarha</v>
      </c>
      <c r="I32" s="100"/>
      <c r="J32" s="101">
        <f t="shared" si="52"/>
        <v>0</v>
      </c>
      <c r="K32" s="101">
        <f t="shared" si="53"/>
        <v>0</v>
      </c>
      <c r="L32" s="101">
        <f t="shared" si="54"/>
        <v>0</v>
      </c>
      <c r="M32" s="101">
        <f t="shared" si="55"/>
        <v>0</v>
      </c>
      <c r="N32" s="102" t="str">
        <f>IF(M32=0,"",M32/$M$27)</f>
        <v/>
      </c>
      <c r="O32" s="102"/>
      <c r="P32" s="52"/>
      <c r="T32" s="101">
        <f t="shared" si="45"/>
        <v>0</v>
      </c>
      <c r="U32" s="101">
        <f t="shared" si="45"/>
        <v>0</v>
      </c>
      <c r="V32" s="1980"/>
      <c r="W32" s="101">
        <f t="shared" si="56"/>
        <v>0</v>
      </c>
      <c r="Y32" s="101">
        <f t="shared" si="47"/>
        <v>0</v>
      </c>
      <c r="Z32" s="101">
        <f t="shared" si="47"/>
        <v>0</v>
      </c>
      <c r="AA32" s="101">
        <f t="shared" si="48"/>
        <v>0</v>
      </c>
      <c r="AB32" s="101">
        <f t="shared" si="48"/>
        <v>0</v>
      </c>
      <c r="AC32" s="101">
        <f t="shared" si="49"/>
        <v>0</v>
      </c>
      <c r="AD32" s="101">
        <f t="shared" si="49"/>
        <v>0</v>
      </c>
      <c r="AE32" s="101">
        <f t="shared" si="50"/>
        <v>0</v>
      </c>
      <c r="AF32" s="101">
        <f t="shared" si="50"/>
        <v>0</v>
      </c>
      <c r="AG32" s="101">
        <f t="shared" si="51"/>
        <v>0</v>
      </c>
      <c r="AH32" s="101">
        <f t="shared" si="51"/>
        <v>0</v>
      </c>
    </row>
    <row r="33" spans="4:34" ht="13.5" thickBot="1">
      <c r="D33" s="1598" t="str">
        <f>IF('Rakenna TULOSENNUSTE'!A111&lt;&gt;"",'Rakenna TULOSENNUSTE'!A111,"Ei")</f>
        <v>X</v>
      </c>
      <c r="E33" s="903" t="str">
        <f>Lähtötiedot!$A$64</f>
        <v>urakka</v>
      </c>
      <c r="J33" s="101">
        <f t="shared" si="52"/>
        <v>0</v>
      </c>
      <c r="K33" s="101">
        <f t="shared" si="53"/>
        <v>0</v>
      </c>
      <c r="L33" s="101">
        <f t="shared" si="54"/>
        <v>0</v>
      </c>
      <c r="M33" s="101">
        <f t="shared" si="55"/>
        <v>0</v>
      </c>
      <c r="N33" s="102" t="str">
        <f t="shared" ref="N33:N36" si="57">IF(M33=0,"",M33/$M$27)</f>
        <v/>
      </c>
      <c r="O33" s="102"/>
      <c r="P33" s="52"/>
      <c r="T33" s="101">
        <f t="shared" si="45"/>
        <v>0</v>
      </c>
      <c r="U33" s="101">
        <f t="shared" si="45"/>
        <v>0</v>
      </c>
      <c r="V33" s="1980"/>
      <c r="W33" s="101">
        <f t="shared" si="56"/>
        <v>0</v>
      </c>
      <c r="Y33" s="101">
        <f t="shared" si="47"/>
        <v>0</v>
      </c>
      <c r="Z33" s="101">
        <f t="shared" si="47"/>
        <v>0</v>
      </c>
      <c r="AA33" s="101">
        <f t="shared" si="48"/>
        <v>0</v>
      </c>
      <c r="AB33" s="101">
        <f t="shared" si="48"/>
        <v>0</v>
      </c>
      <c r="AC33" s="101">
        <f t="shared" si="49"/>
        <v>0</v>
      </c>
      <c r="AD33" s="101">
        <f t="shared" si="49"/>
        <v>0</v>
      </c>
      <c r="AE33" s="101">
        <f t="shared" si="50"/>
        <v>0</v>
      </c>
      <c r="AF33" s="101">
        <f t="shared" si="50"/>
        <v>0</v>
      </c>
      <c r="AG33" s="101">
        <f t="shared" si="51"/>
        <v>0</v>
      </c>
      <c r="AH33" s="101">
        <f t="shared" si="51"/>
        <v>0</v>
      </c>
    </row>
    <row r="34" spans="4:34" ht="13.5" thickBot="1">
      <c r="D34" s="1598" t="str">
        <f>IF('Rakenna TULOSENNUSTE'!A112&lt;&gt;"",'Rakenna TULOSENNUSTE'!A112,"Ei")</f>
        <v>x</v>
      </c>
      <c r="E34" s="903" t="str">
        <f>Lähtötiedot!$A$65</f>
        <v>jatkoja</v>
      </c>
      <c r="J34" s="101">
        <f t="shared" si="52"/>
        <v>0</v>
      </c>
      <c r="K34" s="101">
        <f t="shared" si="53"/>
        <v>0</v>
      </c>
      <c r="L34" s="101">
        <f t="shared" si="54"/>
        <v>0</v>
      </c>
      <c r="M34" s="101">
        <f t="shared" si="55"/>
        <v>0</v>
      </c>
      <c r="N34" s="102" t="str">
        <f t="shared" si="57"/>
        <v/>
      </c>
      <c r="O34" s="102"/>
      <c r="P34" s="52"/>
      <c r="T34" s="101">
        <f t="shared" si="45"/>
        <v>0</v>
      </c>
      <c r="U34" s="101">
        <f t="shared" si="45"/>
        <v>0</v>
      </c>
      <c r="V34" s="1980"/>
      <c r="W34" s="101">
        <f t="shared" si="56"/>
        <v>0</v>
      </c>
      <c r="Y34" s="101">
        <f t="shared" si="47"/>
        <v>0</v>
      </c>
      <c r="Z34" s="101">
        <f t="shared" si="47"/>
        <v>0</v>
      </c>
      <c r="AA34" s="101">
        <f t="shared" si="48"/>
        <v>0</v>
      </c>
      <c r="AB34" s="101">
        <f t="shared" si="48"/>
        <v>0</v>
      </c>
      <c r="AC34" s="101">
        <f t="shared" si="49"/>
        <v>0</v>
      </c>
      <c r="AD34" s="101">
        <f t="shared" si="49"/>
        <v>0</v>
      </c>
      <c r="AE34" s="101">
        <f t="shared" si="50"/>
        <v>0</v>
      </c>
      <c r="AF34" s="101">
        <f t="shared" si="50"/>
        <v>0</v>
      </c>
      <c r="AG34" s="101">
        <f t="shared" si="51"/>
        <v>0</v>
      </c>
      <c r="AH34" s="101">
        <f t="shared" si="51"/>
        <v>0</v>
      </c>
    </row>
    <row r="35" spans="4:34" ht="13.5" thickBot="1">
      <c r="D35" s="1598" t="str">
        <f>IF('Rakenna TULOSENNUSTE'!A113&lt;&gt;"",'Rakenna TULOSENNUSTE'!A113,"Ei")</f>
        <v>Ei</v>
      </c>
      <c r="E35" s="903" t="str">
        <f>Lähtötiedot!$A$66</f>
        <v>metsä</v>
      </c>
      <c r="J35" s="101">
        <f t="shared" si="52"/>
        <v>0</v>
      </c>
      <c r="K35" s="101">
        <f t="shared" si="53"/>
        <v>0</v>
      </c>
      <c r="L35" s="101">
        <f t="shared" si="54"/>
        <v>0</v>
      </c>
      <c r="M35" s="101">
        <f t="shared" si="55"/>
        <v>0</v>
      </c>
      <c r="N35" s="102" t="str">
        <f t="shared" si="57"/>
        <v/>
      </c>
      <c r="O35" s="102"/>
      <c r="P35" s="52"/>
      <c r="T35" s="101">
        <f t="shared" si="45"/>
        <v>0</v>
      </c>
      <c r="U35" s="101">
        <f t="shared" si="45"/>
        <v>0</v>
      </c>
      <c r="V35" s="1980"/>
      <c r="W35" s="101">
        <f>SUMIF($N$5:$N$25,E35,$W$5:$W$25)</f>
        <v>0</v>
      </c>
      <c r="Y35" s="101">
        <f t="shared" si="47"/>
        <v>0</v>
      </c>
      <c r="Z35" s="101">
        <f t="shared" si="47"/>
        <v>0</v>
      </c>
      <c r="AA35" s="101">
        <f t="shared" si="48"/>
        <v>0</v>
      </c>
      <c r="AB35" s="101">
        <f t="shared" si="48"/>
        <v>0</v>
      </c>
      <c r="AC35" s="101">
        <f t="shared" si="49"/>
        <v>0</v>
      </c>
      <c r="AD35" s="101">
        <f t="shared" si="49"/>
        <v>0</v>
      </c>
      <c r="AE35" s="101">
        <f t="shared" si="50"/>
        <v>0</v>
      </c>
      <c r="AF35" s="101">
        <f t="shared" si="50"/>
        <v>0</v>
      </c>
      <c r="AG35" s="101">
        <f>IF($D35="x",SUMIF($N$5:$N$25,$E35,AG$5:AG$25),0)</f>
        <v>0</v>
      </c>
      <c r="AH35" s="101">
        <f t="shared" si="51"/>
        <v>0</v>
      </c>
    </row>
    <row r="36" spans="4:34" ht="13.5" thickBot="1">
      <c r="D36" s="1598" t="str">
        <f>IF('Rakenna TULOSENNUSTE'!A114&lt;&gt;"",'Rakenna TULOSENNUSTE'!A114,"Ei")</f>
        <v>Ei</v>
      </c>
      <c r="E36" s="903" t="str">
        <f>Lähtötiedot!$A$67</f>
        <v>evl</v>
      </c>
      <c r="J36" s="101">
        <f t="shared" si="52"/>
        <v>0</v>
      </c>
      <c r="K36" s="101">
        <f t="shared" si="53"/>
        <v>0</v>
      </c>
      <c r="L36" s="101">
        <f t="shared" si="54"/>
        <v>0</v>
      </c>
      <c r="M36" s="101">
        <f>SUMIF($N$5:$N$25,E36,$M$5:$M$25)</f>
        <v>0</v>
      </c>
      <c r="N36" s="102" t="str">
        <f t="shared" si="57"/>
        <v/>
      </c>
      <c r="O36" s="102"/>
      <c r="P36" s="52"/>
      <c r="T36" s="101">
        <f t="shared" si="45"/>
        <v>0</v>
      </c>
      <c r="U36" s="101">
        <f t="shared" si="45"/>
        <v>0</v>
      </c>
      <c r="V36" s="1980"/>
      <c r="W36" s="101">
        <f t="shared" si="56"/>
        <v>0</v>
      </c>
      <c r="Y36" s="101">
        <f t="shared" si="47"/>
        <v>0</v>
      </c>
      <c r="Z36" s="101">
        <f t="shared" si="47"/>
        <v>0</v>
      </c>
      <c r="AA36" s="101">
        <f t="shared" si="48"/>
        <v>0</v>
      </c>
      <c r="AB36" s="101">
        <f t="shared" si="48"/>
        <v>0</v>
      </c>
      <c r="AC36" s="101">
        <f t="shared" si="49"/>
        <v>0</v>
      </c>
      <c r="AD36" s="101">
        <f t="shared" si="49"/>
        <v>0</v>
      </c>
      <c r="AE36" s="101">
        <f t="shared" si="50"/>
        <v>0</v>
      </c>
      <c r="AF36" s="101">
        <f t="shared" si="50"/>
        <v>0</v>
      </c>
      <c r="AG36" s="101">
        <f t="shared" si="51"/>
        <v>0</v>
      </c>
      <c r="AH36" s="101">
        <f t="shared" si="51"/>
        <v>0</v>
      </c>
    </row>
    <row r="37" spans="4:34" ht="13.5" thickBot="1">
      <c r="D37" s="1598" t="str">
        <f>IF('Rakenna TULOSENNUSTE'!A115&lt;&gt;"",'Rakenna TULOSENNUSTE'!A115,"Ei")</f>
        <v>X</v>
      </c>
      <c r="E37" s="903" t="str">
        <f>Lähtötiedot!$A$68</f>
        <v>mansikka</v>
      </c>
      <c r="J37" s="101">
        <f t="shared" si="52"/>
        <v>0</v>
      </c>
      <c r="K37" s="101">
        <f>SUMIF($N$5:$N$25,E37,$K$5:$K$25)</f>
        <v>0</v>
      </c>
      <c r="L37" s="101">
        <f t="shared" si="54"/>
        <v>0</v>
      </c>
      <c r="M37" s="101">
        <f t="shared" si="55"/>
        <v>0</v>
      </c>
      <c r="N37" s="1494"/>
      <c r="O37" s="1494"/>
      <c r="P37" s="52"/>
      <c r="T37" s="101">
        <f t="shared" si="45"/>
        <v>0</v>
      </c>
      <c r="U37" s="101">
        <f t="shared" si="45"/>
        <v>0</v>
      </c>
      <c r="V37" s="1980"/>
      <c r="W37" s="101">
        <f t="shared" si="56"/>
        <v>0</v>
      </c>
      <c r="Y37" s="101">
        <f t="shared" si="47"/>
        <v>0</v>
      </c>
      <c r="Z37" s="101">
        <f t="shared" si="47"/>
        <v>0</v>
      </c>
      <c r="AA37" s="101">
        <f t="shared" si="48"/>
        <v>0</v>
      </c>
      <c r="AB37" s="101">
        <f t="shared" si="48"/>
        <v>0</v>
      </c>
      <c r="AC37" s="101">
        <f t="shared" si="49"/>
        <v>0</v>
      </c>
      <c r="AD37" s="101">
        <f t="shared" si="49"/>
        <v>0</v>
      </c>
      <c r="AE37" s="101">
        <f t="shared" si="50"/>
        <v>0</v>
      </c>
      <c r="AF37" s="101">
        <f t="shared" si="50"/>
        <v>0</v>
      </c>
      <c r="AG37" s="101">
        <f t="shared" si="51"/>
        <v>0</v>
      </c>
      <c r="AH37" s="101">
        <f t="shared" si="51"/>
        <v>0</v>
      </c>
    </row>
    <row r="38" spans="4:34" ht="13.5" thickBot="1">
      <c r="D38" s="1598" t="str">
        <f>IF('Rakenna TULOSENNUSTE'!A116&lt;&gt;"",'Rakenna TULOSENNUSTE'!A116,"Ei")</f>
        <v>X</v>
      </c>
      <c r="E38" s="903" t="str">
        <f>Lähtötiedot!$A$69</f>
        <v>herukka</v>
      </c>
      <c r="J38" s="101">
        <f t="shared" si="52"/>
        <v>0</v>
      </c>
      <c r="K38" s="101">
        <f t="shared" si="53"/>
        <v>0</v>
      </c>
      <c r="L38" s="101">
        <f t="shared" si="54"/>
        <v>0</v>
      </c>
      <c r="M38" s="101">
        <f t="shared" si="55"/>
        <v>0</v>
      </c>
      <c r="N38" s="1494"/>
      <c r="O38" s="1494"/>
      <c r="P38" s="52"/>
      <c r="T38" s="101">
        <f t="shared" si="45"/>
        <v>0</v>
      </c>
      <c r="U38" s="101">
        <f t="shared" si="45"/>
        <v>0</v>
      </c>
      <c r="V38" s="1980"/>
      <c r="W38" s="101">
        <f t="shared" si="56"/>
        <v>0</v>
      </c>
      <c r="Y38" s="101">
        <f t="shared" si="47"/>
        <v>0</v>
      </c>
      <c r="Z38" s="101">
        <f t="shared" si="47"/>
        <v>0</v>
      </c>
      <c r="AA38" s="101">
        <f t="shared" si="48"/>
        <v>0</v>
      </c>
      <c r="AB38" s="101">
        <f t="shared" si="48"/>
        <v>0</v>
      </c>
      <c r="AC38" s="101">
        <f t="shared" si="49"/>
        <v>0</v>
      </c>
      <c r="AD38" s="101">
        <f t="shared" si="49"/>
        <v>0</v>
      </c>
      <c r="AE38" s="101">
        <f t="shared" si="50"/>
        <v>0</v>
      </c>
      <c r="AF38" s="101">
        <f t="shared" si="50"/>
        <v>0</v>
      </c>
      <c r="AG38" s="101">
        <f t="shared" si="51"/>
        <v>0</v>
      </c>
      <c r="AH38" s="101">
        <f t="shared" si="51"/>
        <v>0</v>
      </c>
    </row>
    <row r="39" spans="4:34" ht="13.5" thickBot="1">
      <c r="D39" s="1598" t="str">
        <f>IF('Rakenna TULOSENNUSTE'!A117&lt;&gt;"",'Rakenna TULOSENNUSTE'!A117,"Ei")</f>
        <v>X</v>
      </c>
      <c r="E39" s="903" t="str">
        <f>Lähtötiedot!$A$70</f>
        <v>öljykasvit</v>
      </c>
      <c r="J39" s="101">
        <f t="shared" si="52"/>
        <v>0</v>
      </c>
      <c r="K39" s="101">
        <f t="shared" si="53"/>
        <v>0</v>
      </c>
      <c r="L39" s="101">
        <f t="shared" si="54"/>
        <v>0</v>
      </c>
      <c r="M39" s="101">
        <f t="shared" si="55"/>
        <v>0</v>
      </c>
      <c r="N39" s="1494"/>
      <c r="O39" s="1494"/>
      <c r="P39" s="52"/>
      <c r="T39" s="101">
        <f t="shared" si="45"/>
        <v>0</v>
      </c>
      <c r="U39" s="101">
        <f t="shared" si="45"/>
        <v>0</v>
      </c>
      <c r="V39" s="1980"/>
      <c r="W39" s="101">
        <f t="shared" si="56"/>
        <v>0</v>
      </c>
      <c r="Y39" s="101">
        <f t="shared" si="47"/>
        <v>0</v>
      </c>
      <c r="Z39" s="101">
        <f t="shared" si="47"/>
        <v>0</v>
      </c>
      <c r="AA39" s="101">
        <f t="shared" si="48"/>
        <v>0</v>
      </c>
      <c r="AB39" s="101">
        <f t="shared" si="48"/>
        <v>0</v>
      </c>
      <c r="AC39" s="101">
        <f t="shared" si="49"/>
        <v>0</v>
      </c>
      <c r="AD39" s="101">
        <f t="shared" si="49"/>
        <v>0</v>
      </c>
      <c r="AE39" s="101">
        <f t="shared" si="50"/>
        <v>0</v>
      </c>
      <c r="AF39" s="101">
        <f t="shared" si="50"/>
        <v>0</v>
      </c>
      <c r="AG39" s="101">
        <f t="shared" si="51"/>
        <v>0</v>
      </c>
      <c r="AH39" s="101">
        <f t="shared" si="51"/>
        <v>0</v>
      </c>
    </row>
    <row r="40" spans="4:34">
      <c r="E40" t="s">
        <v>3</v>
      </c>
      <c r="J40" s="1492">
        <f>SUM(J29:J39)</f>
        <v>0</v>
      </c>
      <c r="K40" s="1492">
        <f t="shared" ref="K40:M40" si="58">SUM(K29:K39)</f>
        <v>0</v>
      </c>
      <c r="L40" s="1492">
        <f t="shared" si="58"/>
        <v>0</v>
      </c>
      <c r="M40" s="1492">
        <f t="shared" si="58"/>
        <v>0</v>
      </c>
      <c r="T40" s="1492">
        <f>SUM(T29:T39)</f>
        <v>0</v>
      </c>
      <c r="U40" s="1492">
        <f>SUM(U29:U39)</f>
        <v>0</v>
      </c>
      <c r="V40" s="1980"/>
      <c r="W40" s="1492">
        <f>SUM(W29:W39)</f>
        <v>0</v>
      </c>
      <c r="Y40" s="1492">
        <f t="shared" ref="Y40:AH40" si="59">SUM(Y29:Y39)</f>
        <v>0</v>
      </c>
      <c r="Z40" s="1492">
        <f t="shared" si="59"/>
        <v>0</v>
      </c>
      <c r="AA40" s="1492">
        <f t="shared" si="59"/>
        <v>0</v>
      </c>
      <c r="AB40" s="1492">
        <f t="shared" si="59"/>
        <v>0</v>
      </c>
      <c r="AC40" s="1492">
        <f t="shared" si="59"/>
        <v>0</v>
      </c>
      <c r="AD40" s="1492">
        <f t="shared" si="59"/>
        <v>0</v>
      </c>
      <c r="AE40" s="1492">
        <f t="shared" si="59"/>
        <v>0</v>
      </c>
      <c r="AF40" s="1492">
        <f t="shared" si="59"/>
        <v>0</v>
      </c>
      <c r="AG40" s="1492">
        <f t="shared" si="59"/>
        <v>0</v>
      </c>
      <c r="AH40" s="1492">
        <f t="shared" si="59"/>
        <v>0</v>
      </c>
    </row>
  </sheetData>
  <sheetProtection sheet="1" formatCells="0" formatColumns="0" formatRows="0"/>
  <mergeCells count="11">
    <mergeCell ref="Z2:AH2"/>
    <mergeCell ref="AJ3:AS3"/>
    <mergeCell ref="AU3:BD3"/>
    <mergeCell ref="R1:R4"/>
    <mergeCell ref="C2:C4"/>
    <mergeCell ref="I3:I4"/>
    <mergeCell ref="E2:E4"/>
    <mergeCell ref="D2:D4"/>
    <mergeCell ref="N1:N4"/>
    <mergeCell ref="P1:P4"/>
    <mergeCell ref="O1:O4"/>
  </mergeCells>
  <conditionalFormatting sqref="N5:N25">
    <cfRule type="expression" dxfId="57" priority="3">
      <formula>$H5="VÄÄRIN!"</formula>
    </cfRule>
  </conditionalFormatting>
  <conditionalFormatting sqref="O5:O25">
    <cfRule type="cellIs" dxfId="56" priority="1" operator="equal">
      <formula>"Virhe!"</formula>
    </cfRule>
  </conditionalFormatting>
  <hyperlinks>
    <hyperlink ref="A2" r:id="rId1" xr:uid="{00000000-0004-0000-0500-000000000000}"/>
    <hyperlink ref="G4" location="Annuiteettikertoimet!A1" display="Annuiteettikerroin" xr:uid="{00000000-0004-0000-0500-000001000000}"/>
    <hyperlink ref="A4" r:id="rId2" xr:uid="{00000000-0004-0000-0500-000002000000}"/>
  </hyperlinks>
  <pageMargins left="0.7" right="0.7" top="0.75" bottom="0.75" header="0.51180555555555551" footer="0.51180555555555551"/>
  <pageSetup paperSize="9" scale="65" firstPageNumber="0" orientation="landscape" horizontalDpi="300" verticalDpi="300" r:id="rId3"/>
  <headerFooter alignWithMargins="0"/>
  <colBreaks count="2" manualBreakCount="2">
    <brk id="15" max="1048575" man="1"/>
    <brk id="17" max="1048575" man="1"/>
  </colBreaks>
  <legacyDrawing r:id="rId4"/>
  <extLst>
    <ext xmlns:x14="http://schemas.microsoft.com/office/spreadsheetml/2009/9/main" uri="{CCE6A557-97BC-4b89-ADB6-D9C93CAAB3DF}">
      <x14:dataValidations xmlns:xm="http://schemas.microsoft.com/office/excel/2006/main" count="1">
        <x14:dataValidation type="list" errorStyle="warning" allowBlank="1" showErrorMessage="1" errorTitle="Kohdistus tarvitaan" error="Ilman kohdistusta laskelman tiedot eivät siirry oikealle laskelmalle." xr:uid="{00000000-0002-0000-0500-000000000000}">
          <x14:formula1>
            <xm:f>Lähtötiedot!$C$102:$C$112</xm:f>
          </x14:formula1>
          <xm:sqref>N5:N25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dimension ref="A1:BN85"/>
  <sheetViews>
    <sheetView zoomScale="80" zoomScaleNormal="80" zoomScaleSheetLayoutView="70" workbookViewId="0">
      <selection activeCell="A5" sqref="A5"/>
    </sheetView>
  </sheetViews>
  <sheetFormatPr defaultColWidth="11.42578125" defaultRowHeight="12.75"/>
  <cols>
    <col min="1" max="1" width="23.7109375" style="103" customWidth="1"/>
    <col min="2" max="2" width="14.140625" style="103" customWidth="1"/>
    <col min="3" max="3" width="15" style="103" customWidth="1"/>
    <col min="4" max="4" width="1" style="103" hidden="1" customWidth="1"/>
    <col min="5" max="5" width="0.28515625" style="103" hidden="1" customWidth="1"/>
    <col min="6" max="6" width="13.5703125" style="103" customWidth="1"/>
    <col min="7" max="7" width="13.42578125" style="103" customWidth="1"/>
    <col min="8" max="8" width="13.140625" style="103" customWidth="1"/>
    <col min="9" max="9" width="7.85546875" style="103" hidden="1" customWidth="1"/>
    <col min="10" max="10" width="13.140625" style="103" hidden="1" customWidth="1"/>
    <col min="11" max="11" width="11.140625" style="103" hidden="1" customWidth="1"/>
    <col min="12" max="12" width="12.7109375" style="103" hidden="1" customWidth="1"/>
    <col min="13" max="13" width="18.5703125" style="103" customWidth="1"/>
    <col min="14" max="14" width="9.28515625" style="103" customWidth="1"/>
    <col min="15" max="15" width="9.5703125" style="103" hidden="1" customWidth="1"/>
    <col min="16" max="16" width="11.140625" style="103" hidden="1" customWidth="1"/>
    <col min="17" max="17" width="15" style="103" customWidth="1"/>
    <col min="18" max="18" width="13.42578125" style="103" customWidth="1"/>
    <col min="19" max="19" width="12.7109375" style="103" customWidth="1"/>
    <col min="20" max="20" width="11.42578125" style="103"/>
    <col min="21" max="21" width="13.28515625" style="103" customWidth="1"/>
    <col min="22" max="22" width="17.42578125" style="103" customWidth="1"/>
    <col min="23" max="23" width="9.85546875" style="103" customWidth="1"/>
    <col min="24" max="24" width="6.7109375" style="103" customWidth="1"/>
    <col min="25" max="25" width="6.140625" style="103" customWidth="1"/>
    <col min="26" max="26" width="0.42578125" style="103" customWidth="1"/>
    <col min="27" max="27" width="10" style="103" customWidth="1"/>
    <col min="28" max="28" width="8.140625" style="103" customWidth="1"/>
    <col min="29" max="29" width="11.42578125" style="103" customWidth="1"/>
    <col min="30" max="30" width="13.42578125" style="103" hidden="1" customWidth="1"/>
    <col min="31" max="31" width="11.42578125" style="103" customWidth="1"/>
    <col min="32" max="32" width="12.85546875" style="103" customWidth="1"/>
    <col min="33" max="33" width="3.140625" style="103" hidden="1" customWidth="1"/>
    <col min="34" max="34" width="11.42578125" style="103" hidden="1" customWidth="1"/>
    <col min="35" max="35" width="14.28515625" style="103" hidden="1" customWidth="1"/>
    <col min="36" max="36" width="15.140625" style="103" hidden="1" customWidth="1"/>
    <col min="37" max="41" width="11.42578125" style="103" hidden="1" customWidth="1"/>
    <col min="42" max="45" width="12.85546875" style="103" hidden="1" customWidth="1"/>
    <col min="46" max="54" width="11.42578125" style="103" hidden="1" customWidth="1"/>
    <col min="55" max="55" width="4.140625" style="103" hidden="1" customWidth="1"/>
    <col min="56" max="65" width="11.42578125" style="103" hidden="1" customWidth="1"/>
    <col min="66" max="16384" width="11.42578125" style="103"/>
  </cols>
  <sheetData>
    <row r="1" spans="1:66" ht="15.75" customHeight="1">
      <c r="A1" s="104" t="s">
        <v>288</v>
      </c>
      <c r="B1" s="104"/>
      <c r="I1" s="104"/>
      <c r="W1" s="2667" t="s">
        <v>1820</v>
      </c>
      <c r="X1" s="2670" t="s">
        <v>258</v>
      </c>
      <c r="Y1" s="2669" t="s">
        <v>5</v>
      </c>
      <c r="Z1" s="1406"/>
      <c r="AA1" s="2664" t="s">
        <v>289</v>
      </c>
    </row>
    <row r="2" spans="1:66" ht="13.5" thickBot="1">
      <c r="A2" s="1738" t="s">
        <v>255</v>
      </c>
      <c r="M2" s="106" t="s">
        <v>290</v>
      </c>
      <c r="R2" s="899">
        <f>Lähtötiedot!C4</f>
        <v>2027</v>
      </c>
      <c r="W2" s="2667"/>
      <c r="X2" s="2670"/>
      <c r="Y2" s="2669"/>
      <c r="Z2" s="1406"/>
      <c r="AA2" s="2664"/>
      <c r="AI2" s="2614" t="s">
        <v>248</v>
      </c>
      <c r="AJ2" s="2614"/>
      <c r="AK2" s="2614"/>
      <c r="AL2" s="2614"/>
      <c r="AM2" s="2614"/>
      <c r="AN2" s="2614"/>
      <c r="AO2" s="2614"/>
      <c r="AP2" s="2614"/>
      <c r="AQ2" s="2614"/>
    </row>
    <row r="3" spans="1:66" ht="13.5" thickBot="1">
      <c r="A3" s="27"/>
      <c r="B3" s="106"/>
      <c r="C3" s="106"/>
      <c r="D3" s="106"/>
      <c r="E3" s="106"/>
      <c r="F3" s="106"/>
      <c r="G3" s="106"/>
      <c r="H3" s="106"/>
      <c r="I3" s="106"/>
      <c r="J3" s="107"/>
      <c r="K3" s="107"/>
      <c r="L3" s="107"/>
      <c r="M3" s="107"/>
      <c r="N3" s="2656" t="s">
        <v>291</v>
      </c>
      <c r="O3" s="2656"/>
      <c r="P3" s="2656"/>
      <c r="Q3" s="2656"/>
      <c r="R3" s="107"/>
      <c r="W3" s="2667"/>
      <c r="X3" s="2670"/>
      <c r="Y3" s="2669"/>
      <c r="Z3" s="1406"/>
      <c r="AA3" s="2664"/>
      <c r="AG3"/>
      <c r="AH3"/>
      <c r="AI3" s="1251">
        <v>2</v>
      </c>
      <c r="AJ3"/>
      <c r="AK3" s="1251">
        <v>3</v>
      </c>
      <c r="AL3"/>
      <c r="AM3" s="1251">
        <v>4</v>
      </c>
      <c r="AN3"/>
      <c r="AO3" s="1251">
        <v>5</v>
      </c>
      <c r="AP3"/>
      <c r="AQ3" s="1251">
        <v>6</v>
      </c>
      <c r="AS3" s="2661" t="s">
        <v>254</v>
      </c>
      <c r="AT3" s="2662"/>
      <c r="AU3" s="2662"/>
      <c r="AV3" s="2662"/>
      <c r="AW3" s="2662"/>
      <c r="AX3" s="2662"/>
      <c r="AY3" s="2662"/>
      <c r="AZ3" s="2662"/>
      <c r="BA3" s="2662"/>
      <c r="BB3" s="2663"/>
      <c r="BD3" s="2661" t="s">
        <v>254</v>
      </c>
      <c r="BE3" s="2662"/>
      <c r="BF3" s="2662"/>
      <c r="BG3" s="2662"/>
      <c r="BH3" s="2662"/>
      <c r="BI3" s="2662"/>
      <c r="BJ3" s="2662"/>
      <c r="BK3" s="2662"/>
      <c r="BL3" s="2662"/>
      <c r="BM3" s="2663"/>
    </row>
    <row r="4" spans="1:66" s="111" customFormat="1" ht="82.5" customHeight="1" thickBot="1">
      <c r="A4" s="992" t="s">
        <v>292</v>
      </c>
      <c r="B4" s="108" t="s">
        <v>293</v>
      </c>
      <c r="C4" s="108" t="s">
        <v>294</v>
      </c>
      <c r="D4" s="108" t="s">
        <v>258</v>
      </c>
      <c r="E4" s="109" t="s">
        <v>295</v>
      </c>
      <c r="F4" s="994" t="s">
        <v>296</v>
      </c>
      <c r="G4" s="995" t="s">
        <v>297</v>
      </c>
      <c r="H4" s="995" t="s">
        <v>298</v>
      </c>
      <c r="I4" s="992" t="s">
        <v>299</v>
      </c>
      <c r="J4" s="992" t="s">
        <v>300</v>
      </c>
      <c r="K4" s="992" t="s">
        <v>301</v>
      </c>
      <c r="L4" s="992" t="s">
        <v>302</v>
      </c>
      <c r="M4" s="992" t="s">
        <v>303</v>
      </c>
      <c r="N4" s="992" t="s">
        <v>251</v>
      </c>
      <c r="O4" s="997" t="s">
        <v>257</v>
      </c>
      <c r="P4" s="108" t="s">
        <v>252</v>
      </c>
      <c r="Q4" s="109" t="s">
        <v>304</v>
      </c>
      <c r="R4" s="1580" t="s">
        <v>32</v>
      </c>
      <c r="S4" s="1581" t="s">
        <v>305</v>
      </c>
      <c r="T4" s="1580" t="s">
        <v>306</v>
      </c>
      <c r="U4" s="1580" t="s">
        <v>307</v>
      </c>
      <c r="V4" s="2392" t="s">
        <v>308</v>
      </c>
      <c r="W4" s="2667"/>
      <c r="X4" s="2670"/>
      <c r="Y4" s="2669"/>
      <c r="Z4" s="1407" t="s">
        <v>261</v>
      </c>
      <c r="AA4" s="2665"/>
      <c r="AB4" s="1395" t="s">
        <v>262</v>
      </c>
      <c r="AC4" s="1395" t="s">
        <v>309</v>
      </c>
      <c r="AD4" s="1395" t="s">
        <v>264</v>
      </c>
      <c r="AE4" s="1395" t="s">
        <v>265</v>
      </c>
      <c r="AF4" s="1395" t="s">
        <v>266</v>
      </c>
      <c r="AG4"/>
      <c r="AH4" s="1395" t="s">
        <v>267</v>
      </c>
      <c r="AI4" s="1395" t="s">
        <v>264</v>
      </c>
      <c r="AJ4" s="1395" t="s">
        <v>268</v>
      </c>
      <c r="AK4" s="1395" t="s">
        <v>264</v>
      </c>
      <c r="AL4" s="1395" t="s">
        <v>269</v>
      </c>
      <c r="AM4" s="1395" t="s">
        <v>264</v>
      </c>
      <c r="AN4" s="1395" t="s">
        <v>270</v>
      </c>
      <c r="AO4" s="1395" t="s">
        <v>264</v>
      </c>
      <c r="AP4" s="1395" t="s">
        <v>271</v>
      </c>
      <c r="AQ4" s="1395" t="s">
        <v>264</v>
      </c>
      <c r="AS4" s="1395" t="s">
        <v>272</v>
      </c>
      <c r="AT4" s="1395" t="s">
        <v>273</v>
      </c>
      <c r="AU4" s="1395" t="s">
        <v>274</v>
      </c>
      <c r="AV4" s="1395" t="s">
        <v>273</v>
      </c>
      <c r="AW4" s="1395" t="s">
        <v>275</v>
      </c>
      <c r="AX4" s="1395" t="s">
        <v>273</v>
      </c>
      <c r="AY4" s="1395" t="s">
        <v>276</v>
      </c>
      <c r="AZ4" s="1395" t="s">
        <v>273</v>
      </c>
      <c r="BA4" s="1395" t="s">
        <v>277</v>
      </c>
      <c r="BB4" s="1395" t="s">
        <v>273</v>
      </c>
      <c r="BC4" s="1395"/>
      <c r="BD4" s="1395" t="s">
        <v>278</v>
      </c>
      <c r="BE4" s="1395" t="s">
        <v>279</v>
      </c>
      <c r="BF4" s="1395" t="s">
        <v>280</v>
      </c>
      <c r="BG4" s="1395" t="s">
        <v>279</v>
      </c>
      <c r="BH4" s="1395" t="s">
        <v>281</v>
      </c>
      <c r="BI4" s="1395" t="s">
        <v>282</v>
      </c>
      <c r="BJ4" s="1395" t="s">
        <v>283</v>
      </c>
      <c r="BK4" s="1395" t="s">
        <v>279</v>
      </c>
      <c r="BL4" s="1395" t="s">
        <v>284</v>
      </c>
      <c r="BM4" s="1395" t="s">
        <v>279</v>
      </c>
      <c r="BN4" s="2407" t="s">
        <v>1821</v>
      </c>
    </row>
    <row r="5" spans="1:66">
      <c r="A5" s="112" t="s">
        <v>1849</v>
      </c>
      <c r="B5" s="113"/>
      <c r="C5" s="124">
        <v>1</v>
      </c>
      <c r="D5" s="1503" t="b">
        <f>_xlfn.IFNA(W5=VLOOKUP(W5,Lähtötiedot!$A$60:$A$70,1,FALSE),"VÄÄRIN!")</f>
        <v>1</v>
      </c>
      <c r="E5" s="116">
        <v>0</v>
      </c>
      <c r="F5" s="117">
        <v>0</v>
      </c>
      <c r="G5" s="996">
        <v>0</v>
      </c>
      <c r="H5" s="1918">
        <f>IF(F5&gt;G5,F5,G5)</f>
        <v>0</v>
      </c>
      <c r="I5" s="1919">
        <f t="shared" ref="I5" si="0">IF(B5&lt;&gt;"",$R$2-B5,0)</f>
        <v>0</v>
      </c>
      <c r="J5" s="118">
        <f>IF(Y5="T",H5-(H5/IF(C5&gt;0,C5,1)),H5-(M5))</f>
        <v>0</v>
      </c>
      <c r="K5" s="1127">
        <f>H5/IF(C5&gt;0,C5,1)</f>
        <v>0</v>
      </c>
      <c r="L5" s="1127" t="e">
        <f>P5-Q5</f>
        <v>#VALUE!</v>
      </c>
      <c r="M5" s="118">
        <f>IF(Y5="T",H5/IF(C5&gt;0,C5,1),P5-Q5)</f>
        <v>0</v>
      </c>
      <c r="N5" s="119">
        <v>0.03</v>
      </c>
      <c r="O5" s="85">
        <f t="shared" ref="O5:O20" si="1">IFERROR((N5*(1+N5)^C5)/(((1+N5)^C5)-1),1)</f>
        <v>1.0299999999999991</v>
      </c>
      <c r="P5" s="93" t="str">
        <f>IF(Y5="A",IFERROR(ABS(PMT(N5,C5,H5,0,0)),0),"Ei käytössä")</f>
        <v>Ei käytössä</v>
      </c>
      <c r="Q5" s="120">
        <f>IF(Y5="T",J5/2*N5,H5*N5)</f>
        <v>0</v>
      </c>
      <c r="R5" s="121">
        <v>0</v>
      </c>
      <c r="S5" s="122">
        <f t="shared" ref="S5:S20" si="2">0.2/100*F5</f>
        <v>0</v>
      </c>
      <c r="T5" s="122">
        <v>0</v>
      </c>
      <c r="U5" s="122">
        <f t="shared" ref="U5:U11" si="3">1/100*G5</f>
        <v>0</v>
      </c>
      <c r="V5" s="123">
        <f>M5+Q5+R5+S5+T5+U5</f>
        <v>0</v>
      </c>
      <c r="W5" s="2393" t="s">
        <v>204</v>
      </c>
      <c r="X5" s="2411" t="str">
        <f>IF(AND(F5&gt;0,BN5&gt;0),"Ok",IF(AND(F5&gt;0,W5="evl"),"Ok",IF(AND(F5&gt;0,W5="jatkoja"),"Ok",IF(F5=0,"","Virhe!"))))</f>
        <v/>
      </c>
      <c r="Y5" s="1131" t="str">
        <f>IF(Lähtötiedot!$F$8&lt;&gt;"A","T","A")</f>
        <v>T</v>
      </c>
      <c r="Z5" s="1408">
        <f>F5-M5</f>
        <v>0</v>
      </c>
      <c r="AA5" s="1192">
        <v>1</v>
      </c>
      <c r="AB5" s="1455">
        <v>0.04</v>
      </c>
      <c r="AC5" s="1402">
        <f>AB5*F5*AA5</f>
        <v>0</v>
      </c>
      <c r="AD5" s="1402">
        <f>(F5-AC5)*AA5</f>
        <v>0</v>
      </c>
      <c r="AE5" s="1192">
        <v>0.05</v>
      </c>
      <c r="AF5" s="1138">
        <f>AE5*F5*AA5</f>
        <v>0</v>
      </c>
      <c r="AH5" s="1397">
        <f>$AD5*$AB5*AA5</f>
        <v>0</v>
      </c>
      <c r="AI5" s="1138">
        <f>ABS(((-1+$AB5)^AI$3)*$H5)*AA5</f>
        <v>0</v>
      </c>
      <c r="AJ5" s="1397">
        <f>AI5*$AB5*$AA$5</f>
        <v>0</v>
      </c>
      <c r="AK5" s="1138">
        <f>ABS(((-1+$AB5)^AK$3)*$H5)*AA5</f>
        <v>0</v>
      </c>
      <c r="AL5" s="1397">
        <f>AK5*$AB5*$AA$5</f>
        <v>0</v>
      </c>
      <c r="AM5" s="1138">
        <f>ABS(((-1+$AB5)^AM$3)*$H5)*AA5</f>
        <v>0</v>
      </c>
      <c r="AN5" s="1397">
        <f>AM5*$AB5*$AA$5</f>
        <v>0</v>
      </c>
      <c r="AO5" s="1138">
        <f>ABS(((-1+$AB5)^AO$3)*$H5)*AA5</f>
        <v>0</v>
      </c>
      <c r="AP5" s="1397">
        <f>AO5*$AB5*$AA$5</f>
        <v>0</v>
      </c>
      <c r="AQ5" s="1138">
        <f>ABS(((-1+$AB5)^AQ$3)*$H5)*AA5</f>
        <v>0</v>
      </c>
      <c r="AS5" s="1397">
        <f>IF(Z5&gt;0,ABS(PMT($N5,$C5,$F5,0))-($N5*$Z5),0)</f>
        <v>0</v>
      </c>
      <c r="AT5" s="1138">
        <f>$Z5-ABS($AS5)</f>
        <v>0</v>
      </c>
      <c r="AU5" s="1397">
        <f>IF(AT5&gt;0,ABS(PMT($N5,$C5,$F5,0))-($N5*AT5),0)</f>
        <v>0</v>
      </c>
      <c r="AV5" s="1138">
        <f>AT5-ABS(AU5)</f>
        <v>0</v>
      </c>
      <c r="AW5" s="1397">
        <f>IF(AV5&gt;0,ABS(PMT($N5,$C5,$F5,0))-($N5*AV5),0)</f>
        <v>0</v>
      </c>
      <c r="AX5" s="1138">
        <f>AV5-ABS(AW5)</f>
        <v>0</v>
      </c>
      <c r="AY5" s="1397">
        <f>IF(AX5&gt;0,ABS(PMT($N5,$C5,$F5,0))-($N5*AX5),0)</f>
        <v>0</v>
      </c>
      <c r="AZ5" s="1138">
        <f>AX5-ABS(AY5)</f>
        <v>0</v>
      </c>
      <c r="BA5" s="1397">
        <f>IF(AZ5&gt;0,ABS(PMT($N5,$C5,$F5,0))-($N5*AZ5),0)</f>
        <v>0</v>
      </c>
      <c r="BB5" s="1138">
        <f>AZ5-ABS(BA5)</f>
        <v>0</v>
      </c>
      <c r="BC5" s="1138"/>
      <c r="BD5" s="1397">
        <f>IF(Z5&gt;0,$M5,0)</f>
        <v>0</v>
      </c>
      <c r="BE5" s="1138">
        <f>Z5-BD5</f>
        <v>0</v>
      </c>
      <c r="BF5" s="1397">
        <f>IF(BE5&gt;0,$M5,0)</f>
        <v>0</v>
      </c>
      <c r="BG5" s="1138">
        <f>BE5-BF5</f>
        <v>0</v>
      </c>
      <c r="BH5" s="1397">
        <f>IF(BG5&gt;0,$M5,0)</f>
        <v>0</v>
      </c>
      <c r="BI5" s="1138">
        <f>BG5-BH5</f>
        <v>0</v>
      </c>
      <c r="BJ5" s="1397">
        <f>IF(BI5&gt;0,$M5,0)</f>
        <v>0</v>
      </c>
      <c r="BK5" s="1138">
        <f>BI5-BJ5</f>
        <v>0</v>
      </c>
      <c r="BL5" s="1397">
        <f>IF(BK5&gt;0,$M5,0)</f>
        <v>0</v>
      </c>
      <c r="BM5" s="1138">
        <f>BK5-BL5</f>
        <v>0</v>
      </c>
      <c r="BN5" s="1131">
        <f>VLOOKUP(W5,Lähtötiedot!$C$102:$D$112,2,FALSE)</f>
        <v>0</v>
      </c>
    </row>
    <row r="6" spans="1:66">
      <c r="A6" s="112" t="s">
        <v>1850</v>
      </c>
      <c r="B6" s="113"/>
      <c r="C6" s="124">
        <v>1</v>
      </c>
      <c r="D6" s="1503" t="b">
        <f>_xlfn.IFNA(W6=VLOOKUP(W6,Lähtötiedot!$A$60:$A$70,1,FALSE),"VÄÄRIN!")</f>
        <v>1</v>
      </c>
      <c r="E6" s="116">
        <v>0</v>
      </c>
      <c r="F6" s="117">
        <v>0</v>
      </c>
      <c r="G6" s="996">
        <v>0</v>
      </c>
      <c r="H6" s="2395">
        <f t="shared" ref="H6:H20" si="4">IF(F6&gt;G6,F6,G6)</f>
        <v>0</v>
      </c>
      <c r="I6" s="1919">
        <f t="shared" ref="I6:I20" si="5">IF(B6&lt;&gt;"",$R$2-B6,0)</f>
        <v>0</v>
      </c>
      <c r="J6" s="118">
        <f t="shared" ref="J6:J20" si="6">IF(Y6="T",H6-(H6/IF(C6&gt;0,C6,1)),H6-(M6))</f>
        <v>0</v>
      </c>
      <c r="K6" s="1127">
        <f t="shared" ref="K6:K20" si="7">H6/IF(C6&gt;0,C6,1)</f>
        <v>0</v>
      </c>
      <c r="L6" s="1127" t="e">
        <f t="shared" ref="L6:L20" si="8">P6-Q6</f>
        <v>#VALUE!</v>
      </c>
      <c r="M6" s="118">
        <f t="shared" ref="M6:M20" si="9">IF(Y6="T",H6/IF(C6&gt;0,C6,1),P6-Q6)</f>
        <v>0</v>
      </c>
      <c r="N6" s="119">
        <v>0.03</v>
      </c>
      <c r="O6" s="85">
        <f t="shared" si="1"/>
        <v>1.0299999999999991</v>
      </c>
      <c r="P6" s="93" t="str">
        <f t="shared" ref="P6:P20" si="10">IF(Y6="A",IFERROR(ABS(PMT(N6,C6,H6,0,0)),0),"Ei käytössä")</f>
        <v>Ei käytössä</v>
      </c>
      <c r="Q6" s="120">
        <f t="shared" ref="Q6:Q20" si="11">IF(Y6="T",J6/2*N6,H6*N6)</f>
        <v>0</v>
      </c>
      <c r="R6" s="121">
        <v>0</v>
      </c>
      <c r="S6" s="122">
        <f t="shared" si="2"/>
        <v>0</v>
      </c>
      <c r="T6" s="122">
        <v>0</v>
      </c>
      <c r="U6" s="122">
        <f t="shared" si="3"/>
        <v>0</v>
      </c>
      <c r="V6" s="123">
        <f t="shared" ref="V6:V20" si="12">M6+Q6+R6+S6+T6+U6</f>
        <v>0</v>
      </c>
      <c r="W6" s="2393" t="s">
        <v>210</v>
      </c>
      <c r="X6" s="2411" t="str">
        <f t="shared" ref="X6:X20" si="13">IF(AND(F6&gt;0,BN6&gt;0),"Ok",IF(AND(F6&gt;0,W6="evl"),"Ok",IF(AND(F6&gt;0,W6="jatkoja"),"Ok",IF(F6=0,"","Virhe!"))))</f>
        <v/>
      </c>
      <c r="Y6" s="1131" t="str">
        <f>IF(Lähtötiedot!$F$8&lt;&gt;"A","T","A")</f>
        <v>T</v>
      </c>
      <c r="Z6" s="1408">
        <f t="shared" ref="Z6:Z20" si="14">F6-M6</f>
        <v>0</v>
      </c>
      <c r="AA6" s="1192">
        <v>1</v>
      </c>
      <c r="AB6" s="1192">
        <v>0.04</v>
      </c>
      <c r="AC6" s="1402">
        <f t="shared" ref="AC6:AC20" si="15">AB6*F6*AA6</f>
        <v>0</v>
      </c>
      <c r="AD6" s="1402">
        <f t="shared" ref="AD6:AD20" si="16">(F6-AC6)*AA6</f>
        <v>0</v>
      </c>
      <c r="AE6" s="1192">
        <v>0.05</v>
      </c>
      <c r="AF6" s="1138">
        <f t="shared" ref="AF6:AF20" si="17">AE6*F6</f>
        <v>0</v>
      </c>
      <c r="AH6" s="1397">
        <f t="shared" ref="AH6:AH20" si="18">$AD6*$AB6*AA6</f>
        <v>0</v>
      </c>
      <c r="AI6" s="1138">
        <f t="shared" ref="AI6:AI20" si="19">ABS(((-1+$AB6)^AI$3)*$H6)*AA6</f>
        <v>0</v>
      </c>
      <c r="AJ6" s="1397">
        <f t="shared" ref="AJ6:AJ20" si="20">AI6*$AB6*$AA$5</f>
        <v>0</v>
      </c>
      <c r="AK6" s="1138">
        <f t="shared" ref="AK6:AK20" si="21">ABS(((-1+$AB6)^AK$3)*$H6)*AA6</f>
        <v>0</v>
      </c>
      <c r="AL6" s="1397">
        <f t="shared" ref="AL6:AL20" si="22">AK6*$AB6*$AA$5</f>
        <v>0</v>
      </c>
      <c r="AM6" s="1138">
        <f t="shared" ref="AM6:AM20" si="23">ABS(((-1+$AB6)^AM$3)*$H6)*AA6</f>
        <v>0</v>
      </c>
      <c r="AN6" s="1397">
        <f t="shared" ref="AN6:AN20" si="24">AM6*$AB6*$AA$5</f>
        <v>0</v>
      </c>
      <c r="AO6" s="1138">
        <f t="shared" ref="AO6:AO20" si="25">ABS(((-1+$AB6)^AO$3)*$H6)*AA6</f>
        <v>0</v>
      </c>
      <c r="AP6" s="1397">
        <f t="shared" ref="AP6:AP20" si="26">AO6*$AB6*$AA$5</f>
        <v>0</v>
      </c>
      <c r="AQ6" s="1138">
        <f t="shared" ref="AQ6:AQ20" si="27">ABS(((-1+$AB6)^AQ$3)*$H6)*AA6</f>
        <v>0</v>
      </c>
      <c r="AS6" s="1397">
        <f t="shared" ref="AS6:AS20" si="28">IF(Z6&gt;0,ABS(PMT($N6,$C6,$F6,0))-($N6*$Z6),0)</f>
        <v>0</v>
      </c>
      <c r="AT6" s="1138">
        <f t="shared" ref="AT6:AT20" si="29">$Z6-ABS($AS6)</f>
        <v>0</v>
      </c>
      <c r="AU6" s="1397">
        <f t="shared" ref="AU6:AU20" si="30">IF(AT6&gt;0,ABS(PMT($N6,$C6,$F6,0))-($N6*AT6),0)</f>
        <v>0</v>
      </c>
      <c r="AV6" s="1138">
        <f t="shared" ref="AV6:AV20" si="31">AT6-ABS(AU6)</f>
        <v>0</v>
      </c>
      <c r="AW6" s="1397">
        <f t="shared" ref="AW6:AW20" si="32">IF(AV6&gt;0,ABS(PMT($N6,$C6,$F6,0))-($N6*AV6),0)</f>
        <v>0</v>
      </c>
      <c r="AX6" s="1138">
        <f t="shared" ref="AX6:AX20" si="33">AV6-ABS(AW6)</f>
        <v>0</v>
      </c>
      <c r="AY6" s="1397">
        <f t="shared" ref="AY6:AY20" si="34">IF(AX6&gt;0,ABS(PMT($N6,$C6,$F6,0))-($N6*AX6),0)</f>
        <v>0</v>
      </c>
      <c r="AZ6" s="1138">
        <f t="shared" ref="AZ6:AZ20" si="35">AX6-ABS(AY6)</f>
        <v>0</v>
      </c>
      <c r="BA6" s="1397">
        <f t="shared" ref="BA6:BA20" si="36">IF(AZ6&gt;0,ABS(PMT($N6,$C6,$F6,0))-($N6*AZ6),0)</f>
        <v>0</v>
      </c>
      <c r="BB6" s="1138">
        <f t="shared" ref="BB6:BB20" si="37">AZ6-ABS(BA6)</f>
        <v>0</v>
      </c>
      <c r="BC6" s="1138"/>
      <c r="BD6" s="1397">
        <f t="shared" ref="BD6:BD20" si="38">IF(Z6&gt;0,$M6,0)</f>
        <v>0</v>
      </c>
      <c r="BE6" s="1138">
        <f t="shared" ref="BE6:BE20" si="39">Z6-BD6</f>
        <v>0</v>
      </c>
      <c r="BF6" s="1397">
        <f t="shared" ref="BF6:BF20" si="40">IF(BE6&gt;0,$M6,0)</f>
        <v>0</v>
      </c>
      <c r="BG6" s="1138">
        <f t="shared" ref="BG6:BG20" si="41">BE6-BF6</f>
        <v>0</v>
      </c>
      <c r="BH6" s="1397">
        <f t="shared" ref="BH6:BH20" si="42">IF(BG6&gt;0,$M6,0)</f>
        <v>0</v>
      </c>
      <c r="BI6" s="1138">
        <f t="shared" ref="BI6:BI20" si="43">BG6-BH6</f>
        <v>0</v>
      </c>
      <c r="BJ6" s="1397">
        <f t="shared" ref="BJ6:BJ20" si="44">IF(BI6&gt;0,$M6,0)</f>
        <v>0</v>
      </c>
      <c r="BK6" s="1138">
        <f t="shared" ref="BK6:BK20" si="45">BI6-BJ6</f>
        <v>0</v>
      </c>
      <c r="BL6" s="1397">
        <f t="shared" ref="BL6:BL20" si="46">IF(BK6&gt;0,$M6,0)</f>
        <v>0</v>
      </c>
      <c r="BM6" s="1138">
        <f t="shared" ref="BM6:BM20" si="47">BK6-BL6</f>
        <v>0</v>
      </c>
      <c r="BN6" s="1131">
        <f>VLOOKUP(W6,Lähtötiedot!$C$102:$D$112,2,FALSE)</f>
        <v>0</v>
      </c>
    </row>
    <row r="7" spans="1:66">
      <c r="A7" s="112" t="s">
        <v>1851</v>
      </c>
      <c r="B7" s="113"/>
      <c r="C7" s="124">
        <v>1</v>
      </c>
      <c r="D7" s="1503" t="b">
        <f>_xlfn.IFNA(W7=VLOOKUP(W7,Lähtötiedot!$A$60:$A$70,1,FALSE),"VÄÄRIN!")</f>
        <v>1</v>
      </c>
      <c r="E7" s="116">
        <v>0</v>
      </c>
      <c r="F7" s="117">
        <v>0</v>
      </c>
      <c r="G7" s="996">
        <v>0</v>
      </c>
      <c r="H7" s="2396">
        <f t="shared" si="4"/>
        <v>0</v>
      </c>
      <c r="I7" s="1919">
        <f t="shared" si="5"/>
        <v>0</v>
      </c>
      <c r="J7" s="118">
        <f t="shared" si="6"/>
        <v>0</v>
      </c>
      <c r="K7" s="1127">
        <f t="shared" si="7"/>
        <v>0</v>
      </c>
      <c r="L7" s="1127" t="e">
        <f t="shared" si="8"/>
        <v>#VALUE!</v>
      </c>
      <c r="M7" s="118">
        <f t="shared" si="9"/>
        <v>0</v>
      </c>
      <c r="N7" s="119">
        <v>0.03</v>
      </c>
      <c r="O7" s="85">
        <f t="shared" si="1"/>
        <v>1.0299999999999991</v>
      </c>
      <c r="P7" s="93" t="str">
        <f t="shared" si="10"/>
        <v>Ei käytössä</v>
      </c>
      <c r="Q7" s="120">
        <f t="shared" si="11"/>
        <v>0</v>
      </c>
      <c r="R7" s="121">
        <v>0</v>
      </c>
      <c r="S7" s="122">
        <v>0</v>
      </c>
      <c r="T7" s="122">
        <v>0</v>
      </c>
      <c r="U7" s="122">
        <f t="shared" si="3"/>
        <v>0</v>
      </c>
      <c r="V7" s="123">
        <f t="shared" si="12"/>
        <v>0</v>
      </c>
      <c r="W7" s="2393" t="s">
        <v>204</v>
      </c>
      <c r="X7" s="2411" t="str">
        <f t="shared" si="13"/>
        <v/>
      </c>
      <c r="Y7" s="1131" t="str">
        <f>IF(Lähtötiedot!$F$8&lt;&gt;"A","T","A")</f>
        <v>T</v>
      </c>
      <c r="Z7" s="1408">
        <f t="shared" si="14"/>
        <v>0</v>
      </c>
      <c r="AA7" s="1192">
        <v>1</v>
      </c>
      <c r="AB7" s="1192">
        <v>0.04</v>
      </c>
      <c r="AC7" s="1402">
        <f t="shared" si="15"/>
        <v>0</v>
      </c>
      <c r="AD7" s="1402">
        <f t="shared" si="16"/>
        <v>0</v>
      </c>
      <c r="AE7" s="1192">
        <v>0.05</v>
      </c>
      <c r="AF7" s="1138">
        <f t="shared" si="17"/>
        <v>0</v>
      </c>
      <c r="AH7" s="1397">
        <f t="shared" si="18"/>
        <v>0</v>
      </c>
      <c r="AI7" s="1138">
        <f t="shared" si="19"/>
        <v>0</v>
      </c>
      <c r="AJ7" s="1397">
        <f t="shared" si="20"/>
        <v>0</v>
      </c>
      <c r="AK7" s="1138">
        <f t="shared" si="21"/>
        <v>0</v>
      </c>
      <c r="AL7" s="1397">
        <f t="shared" si="22"/>
        <v>0</v>
      </c>
      <c r="AM7" s="1138">
        <f t="shared" si="23"/>
        <v>0</v>
      </c>
      <c r="AN7" s="1397">
        <f t="shared" si="24"/>
        <v>0</v>
      </c>
      <c r="AO7" s="1138">
        <f t="shared" si="25"/>
        <v>0</v>
      </c>
      <c r="AP7" s="1397">
        <f t="shared" si="26"/>
        <v>0</v>
      </c>
      <c r="AQ7" s="1138">
        <f t="shared" si="27"/>
        <v>0</v>
      </c>
      <c r="AS7" s="1397">
        <f t="shared" si="28"/>
        <v>0</v>
      </c>
      <c r="AT7" s="1138">
        <f t="shared" si="29"/>
        <v>0</v>
      </c>
      <c r="AU7" s="1397">
        <f t="shared" si="30"/>
        <v>0</v>
      </c>
      <c r="AV7" s="1138">
        <f t="shared" si="31"/>
        <v>0</v>
      </c>
      <c r="AW7" s="1397">
        <f t="shared" si="32"/>
        <v>0</v>
      </c>
      <c r="AX7" s="1138">
        <f t="shared" si="33"/>
        <v>0</v>
      </c>
      <c r="AY7" s="1397">
        <f t="shared" si="34"/>
        <v>0</v>
      </c>
      <c r="AZ7" s="1138">
        <f t="shared" si="35"/>
        <v>0</v>
      </c>
      <c r="BA7" s="1397">
        <f t="shared" si="36"/>
        <v>0</v>
      </c>
      <c r="BB7" s="1138">
        <f t="shared" si="37"/>
        <v>0</v>
      </c>
      <c r="BC7" s="1138"/>
      <c r="BD7" s="1397">
        <f t="shared" si="38"/>
        <v>0</v>
      </c>
      <c r="BE7" s="1138">
        <f t="shared" si="39"/>
        <v>0</v>
      </c>
      <c r="BF7" s="1397">
        <f t="shared" si="40"/>
        <v>0</v>
      </c>
      <c r="BG7" s="1138">
        <f t="shared" si="41"/>
        <v>0</v>
      </c>
      <c r="BH7" s="1397">
        <f t="shared" si="42"/>
        <v>0</v>
      </c>
      <c r="BI7" s="1138">
        <f t="shared" si="43"/>
        <v>0</v>
      </c>
      <c r="BJ7" s="1397">
        <f t="shared" si="44"/>
        <v>0</v>
      </c>
      <c r="BK7" s="1138">
        <f t="shared" si="45"/>
        <v>0</v>
      </c>
      <c r="BL7" s="1397">
        <f t="shared" si="46"/>
        <v>0</v>
      </c>
      <c r="BM7" s="1138">
        <f t="shared" si="47"/>
        <v>0</v>
      </c>
      <c r="BN7" s="1131">
        <f>VLOOKUP(W7,Lähtötiedot!$C$102:$D$112,2,FALSE)</f>
        <v>0</v>
      </c>
    </row>
    <row r="8" spans="1:66">
      <c r="A8" s="112" t="s">
        <v>1852</v>
      </c>
      <c r="B8" s="113"/>
      <c r="C8" s="124">
        <v>1</v>
      </c>
      <c r="D8" s="1503" t="b">
        <f>_xlfn.IFNA(W8=VLOOKUP(W8,Lähtötiedot!$A$60:$A$70,1,FALSE),"VÄÄRIN!")</f>
        <v>1</v>
      </c>
      <c r="E8" s="116">
        <v>0</v>
      </c>
      <c r="F8" s="117">
        <v>0</v>
      </c>
      <c r="G8" s="996">
        <v>0</v>
      </c>
      <c r="H8" s="1918">
        <f t="shared" si="4"/>
        <v>0</v>
      </c>
      <c r="I8" s="1919">
        <f t="shared" si="5"/>
        <v>0</v>
      </c>
      <c r="J8" s="118">
        <f t="shared" si="6"/>
        <v>0</v>
      </c>
      <c r="K8" s="1127">
        <f t="shared" si="7"/>
        <v>0</v>
      </c>
      <c r="L8" s="1127" t="e">
        <f t="shared" si="8"/>
        <v>#VALUE!</v>
      </c>
      <c r="M8" s="118">
        <f t="shared" si="9"/>
        <v>0</v>
      </c>
      <c r="N8" s="119">
        <v>0.03</v>
      </c>
      <c r="O8" s="85">
        <f t="shared" si="1"/>
        <v>1.0299999999999991</v>
      </c>
      <c r="P8" s="93" t="str">
        <f t="shared" si="10"/>
        <v>Ei käytössä</v>
      </c>
      <c r="Q8" s="120">
        <f t="shared" si="11"/>
        <v>0</v>
      </c>
      <c r="R8" s="121">
        <v>0</v>
      </c>
      <c r="S8" s="122">
        <f t="shared" si="2"/>
        <v>0</v>
      </c>
      <c r="T8" s="122">
        <v>0</v>
      </c>
      <c r="U8" s="122">
        <f t="shared" si="3"/>
        <v>0</v>
      </c>
      <c r="V8" s="123">
        <f t="shared" si="12"/>
        <v>0</v>
      </c>
      <c r="W8" s="2393" t="s">
        <v>204</v>
      </c>
      <c r="X8" s="2411" t="str">
        <f t="shared" si="13"/>
        <v/>
      </c>
      <c r="Y8" s="1131" t="str">
        <f>IF(Lähtötiedot!$F$8&lt;&gt;"A","T","A")</f>
        <v>T</v>
      </c>
      <c r="Z8" s="1408">
        <f t="shared" si="14"/>
        <v>0</v>
      </c>
      <c r="AA8" s="1192">
        <v>1</v>
      </c>
      <c r="AB8" s="1192">
        <v>0.04</v>
      </c>
      <c r="AC8" s="1402">
        <f t="shared" si="15"/>
        <v>0</v>
      </c>
      <c r="AD8" s="1402">
        <f t="shared" si="16"/>
        <v>0</v>
      </c>
      <c r="AE8" s="1192">
        <v>0.05</v>
      </c>
      <c r="AF8" s="1138">
        <f t="shared" si="17"/>
        <v>0</v>
      </c>
      <c r="AH8" s="1397">
        <f t="shared" si="18"/>
        <v>0</v>
      </c>
      <c r="AI8" s="1138">
        <f t="shared" si="19"/>
        <v>0</v>
      </c>
      <c r="AJ8" s="1397">
        <f t="shared" si="20"/>
        <v>0</v>
      </c>
      <c r="AK8" s="1138">
        <f t="shared" si="21"/>
        <v>0</v>
      </c>
      <c r="AL8" s="1397">
        <f t="shared" si="22"/>
        <v>0</v>
      </c>
      <c r="AM8" s="1138">
        <f t="shared" si="23"/>
        <v>0</v>
      </c>
      <c r="AN8" s="1397">
        <f>AM8*$AB8*$AA$5</f>
        <v>0</v>
      </c>
      <c r="AO8" s="1138">
        <f t="shared" si="25"/>
        <v>0</v>
      </c>
      <c r="AP8" s="1397">
        <f t="shared" si="26"/>
        <v>0</v>
      </c>
      <c r="AQ8" s="1138">
        <f t="shared" si="27"/>
        <v>0</v>
      </c>
      <c r="AS8" s="1397">
        <f t="shared" si="28"/>
        <v>0</v>
      </c>
      <c r="AT8" s="1138">
        <f t="shared" si="29"/>
        <v>0</v>
      </c>
      <c r="AU8" s="1397">
        <f t="shared" si="30"/>
        <v>0</v>
      </c>
      <c r="AV8" s="1138">
        <f t="shared" si="31"/>
        <v>0</v>
      </c>
      <c r="AW8" s="1397">
        <f t="shared" si="32"/>
        <v>0</v>
      </c>
      <c r="AX8" s="1138">
        <f t="shared" si="33"/>
        <v>0</v>
      </c>
      <c r="AY8" s="1397">
        <f t="shared" si="34"/>
        <v>0</v>
      </c>
      <c r="AZ8" s="1138">
        <f t="shared" si="35"/>
        <v>0</v>
      </c>
      <c r="BA8" s="1397">
        <f t="shared" si="36"/>
        <v>0</v>
      </c>
      <c r="BB8" s="1138">
        <f t="shared" si="37"/>
        <v>0</v>
      </c>
      <c r="BC8" s="1138"/>
      <c r="BD8" s="1397">
        <f t="shared" si="38"/>
        <v>0</v>
      </c>
      <c r="BE8" s="1138">
        <f t="shared" si="39"/>
        <v>0</v>
      </c>
      <c r="BF8" s="1397">
        <f t="shared" si="40"/>
        <v>0</v>
      </c>
      <c r="BG8" s="1138">
        <f t="shared" si="41"/>
        <v>0</v>
      </c>
      <c r="BH8" s="1397">
        <f t="shared" si="42"/>
        <v>0</v>
      </c>
      <c r="BI8" s="1138">
        <f t="shared" si="43"/>
        <v>0</v>
      </c>
      <c r="BJ8" s="1397">
        <f t="shared" si="44"/>
        <v>0</v>
      </c>
      <c r="BK8" s="1138">
        <f t="shared" si="45"/>
        <v>0</v>
      </c>
      <c r="BL8" s="1397">
        <f t="shared" si="46"/>
        <v>0</v>
      </c>
      <c r="BM8" s="1138">
        <f t="shared" si="47"/>
        <v>0</v>
      </c>
      <c r="BN8" s="1131">
        <f>VLOOKUP(W8,Lähtötiedot!$C$102:$D$112,2,FALSE)</f>
        <v>0</v>
      </c>
    </row>
    <row r="9" spans="1:66">
      <c r="A9" s="112" t="s">
        <v>1853</v>
      </c>
      <c r="B9" s="113"/>
      <c r="C9" s="124">
        <v>1</v>
      </c>
      <c r="D9" s="1503" t="b">
        <f>_xlfn.IFNA(W9=VLOOKUP(W9,Lähtötiedot!$A$60:$A$70,1,FALSE),"VÄÄRIN!")</f>
        <v>1</v>
      </c>
      <c r="E9" s="116">
        <v>0</v>
      </c>
      <c r="F9" s="117">
        <v>0</v>
      </c>
      <c r="G9" s="996">
        <v>0</v>
      </c>
      <c r="H9" s="1918">
        <f t="shared" si="4"/>
        <v>0</v>
      </c>
      <c r="I9" s="1919">
        <f t="shared" si="5"/>
        <v>0</v>
      </c>
      <c r="J9" s="118">
        <f t="shared" si="6"/>
        <v>0</v>
      </c>
      <c r="K9" s="1127">
        <f t="shared" si="7"/>
        <v>0</v>
      </c>
      <c r="L9" s="1127" t="e">
        <f t="shared" si="8"/>
        <v>#VALUE!</v>
      </c>
      <c r="M9" s="118">
        <f t="shared" si="9"/>
        <v>0</v>
      </c>
      <c r="N9" s="119">
        <v>0.03</v>
      </c>
      <c r="O9" s="85">
        <f t="shared" si="1"/>
        <v>1.0299999999999991</v>
      </c>
      <c r="P9" s="93" t="str">
        <f t="shared" si="10"/>
        <v>Ei käytössä</v>
      </c>
      <c r="Q9" s="120">
        <f t="shared" si="11"/>
        <v>0</v>
      </c>
      <c r="R9" s="121">
        <v>0</v>
      </c>
      <c r="S9" s="122">
        <f t="shared" si="2"/>
        <v>0</v>
      </c>
      <c r="T9" s="122">
        <v>0</v>
      </c>
      <c r="U9" s="122">
        <f t="shared" si="3"/>
        <v>0</v>
      </c>
      <c r="V9" s="123">
        <f t="shared" si="12"/>
        <v>0</v>
      </c>
      <c r="W9" s="2393" t="s">
        <v>204</v>
      </c>
      <c r="X9" s="2411" t="str">
        <f t="shared" si="13"/>
        <v/>
      </c>
      <c r="Y9" s="1131" t="str">
        <f>IF(Lähtötiedot!$F$8&lt;&gt;"A","T","A")</f>
        <v>T</v>
      </c>
      <c r="Z9" s="1408">
        <f t="shared" si="14"/>
        <v>0</v>
      </c>
      <c r="AA9" s="1192">
        <v>1</v>
      </c>
      <c r="AB9" s="1192">
        <v>0.04</v>
      </c>
      <c r="AC9" s="1402">
        <f t="shared" si="15"/>
        <v>0</v>
      </c>
      <c r="AD9" s="1402">
        <f t="shared" si="16"/>
        <v>0</v>
      </c>
      <c r="AE9" s="1192">
        <v>0.05</v>
      </c>
      <c r="AF9" s="1138">
        <f t="shared" si="17"/>
        <v>0</v>
      </c>
      <c r="AH9" s="1397">
        <f t="shared" si="18"/>
        <v>0</v>
      </c>
      <c r="AI9" s="1138">
        <f t="shared" si="19"/>
        <v>0</v>
      </c>
      <c r="AJ9" s="1397">
        <f t="shared" si="20"/>
        <v>0</v>
      </c>
      <c r="AK9" s="1138">
        <f t="shared" si="21"/>
        <v>0</v>
      </c>
      <c r="AL9" s="1397">
        <f t="shared" si="22"/>
        <v>0</v>
      </c>
      <c r="AM9" s="1138">
        <f t="shared" si="23"/>
        <v>0</v>
      </c>
      <c r="AN9" s="1397">
        <f t="shared" si="24"/>
        <v>0</v>
      </c>
      <c r="AO9" s="1138">
        <f t="shared" si="25"/>
        <v>0</v>
      </c>
      <c r="AP9" s="1397">
        <f t="shared" si="26"/>
        <v>0</v>
      </c>
      <c r="AQ9" s="1138">
        <f t="shared" si="27"/>
        <v>0</v>
      </c>
      <c r="AS9" s="1397">
        <f t="shared" si="28"/>
        <v>0</v>
      </c>
      <c r="AT9" s="1138">
        <f t="shared" si="29"/>
        <v>0</v>
      </c>
      <c r="AU9" s="1397">
        <f t="shared" si="30"/>
        <v>0</v>
      </c>
      <c r="AV9" s="1138">
        <f t="shared" si="31"/>
        <v>0</v>
      </c>
      <c r="AW9" s="1397">
        <f t="shared" si="32"/>
        <v>0</v>
      </c>
      <c r="AX9" s="1138">
        <f t="shared" si="33"/>
        <v>0</v>
      </c>
      <c r="AY9" s="1397">
        <f t="shared" si="34"/>
        <v>0</v>
      </c>
      <c r="AZ9" s="1138">
        <f t="shared" si="35"/>
        <v>0</v>
      </c>
      <c r="BA9" s="1397">
        <f t="shared" si="36"/>
        <v>0</v>
      </c>
      <c r="BB9" s="1138">
        <f t="shared" si="37"/>
        <v>0</v>
      </c>
      <c r="BC9" s="1138"/>
      <c r="BD9" s="1397">
        <f t="shared" si="38"/>
        <v>0</v>
      </c>
      <c r="BE9" s="1138">
        <f t="shared" si="39"/>
        <v>0</v>
      </c>
      <c r="BF9" s="1397">
        <f t="shared" si="40"/>
        <v>0</v>
      </c>
      <c r="BG9" s="1138">
        <f t="shared" si="41"/>
        <v>0</v>
      </c>
      <c r="BH9" s="1397">
        <f t="shared" si="42"/>
        <v>0</v>
      </c>
      <c r="BI9" s="1138">
        <f t="shared" si="43"/>
        <v>0</v>
      </c>
      <c r="BJ9" s="1397">
        <f t="shared" si="44"/>
        <v>0</v>
      </c>
      <c r="BK9" s="1138">
        <f t="shared" si="45"/>
        <v>0</v>
      </c>
      <c r="BL9" s="1397">
        <f t="shared" si="46"/>
        <v>0</v>
      </c>
      <c r="BM9" s="1138">
        <f t="shared" si="47"/>
        <v>0</v>
      </c>
      <c r="BN9" s="1131">
        <f>VLOOKUP(W9,Lähtötiedot!$C$102:$D$112,2,FALSE)</f>
        <v>0</v>
      </c>
    </row>
    <row r="10" spans="1:66">
      <c r="A10" s="112" t="s">
        <v>310</v>
      </c>
      <c r="B10" s="113"/>
      <c r="C10" s="124">
        <v>1</v>
      </c>
      <c r="D10" s="1503" t="b">
        <f>_xlfn.IFNA(W10=VLOOKUP(W10,Lähtötiedot!$A$60:$A$70,1,FALSE),"VÄÄRIN!")</f>
        <v>1</v>
      </c>
      <c r="E10" s="116">
        <v>0</v>
      </c>
      <c r="F10" s="117">
        <v>0</v>
      </c>
      <c r="G10" s="996">
        <v>0</v>
      </c>
      <c r="H10" s="1918">
        <f t="shared" si="4"/>
        <v>0</v>
      </c>
      <c r="I10" s="1919">
        <f t="shared" si="5"/>
        <v>0</v>
      </c>
      <c r="J10" s="118">
        <f t="shared" si="6"/>
        <v>0</v>
      </c>
      <c r="K10" s="1127">
        <f t="shared" si="7"/>
        <v>0</v>
      </c>
      <c r="L10" s="1127" t="e">
        <f t="shared" si="8"/>
        <v>#VALUE!</v>
      </c>
      <c r="M10" s="118">
        <f t="shared" si="9"/>
        <v>0</v>
      </c>
      <c r="N10" s="119">
        <v>0.03</v>
      </c>
      <c r="O10" s="85">
        <f t="shared" si="1"/>
        <v>1.0299999999999991</v>
      </c>
      <c r="P10" s="93" t="str">
        <f t="shared" si="10"/>
        <v>Ei käytössä</v>
      </c>
      <c r="Q10" s="120">
        <f t="shared" si="11"/>
        <v>0</v>
      </c>
      <c r="R10" s="121">
        <v>0</v>
      </c>
      <c r="S10" s="122">
        <f t="shared" si="2"/>
        <v>0</v>
      </c>
      <c r="T10" s="122">
        <v>0</v>
      </c>
      <c r="U10" s="122">
        <f t="shared" si="3"/>
        <v>0</v>
      </c>
      <c r="V10" s="123">
        <f t="shared" si="12"/>
        <v>0</v>
      </c>
      <c r="W10" s="2393" t="s">
        <v>204</v>
      </c>
      <c r="X10" s="2411" t="str">
        <f t="shared" si="13"/>
        <v/>
      </c>
      <c r="Y10" s="1131" t="str">
        <f>IF(Lähtötiedot!$F$8&lt;&gt;"A","T","A")</f>
        <v>T</v>
      </c>
      <c r="Z10" s="1408">
        <f t="shared" si="14"/>
        <v>0</v>
      </c>
      <c r="AA10" s="1192">
        <v>1</v>
      </c>
      <c r="AB10" s="1192">
        <v>0.04</v>
      </c>
      <c r="AC10" s="1402">
        <f t="shared" si="15"/>
        <v>0</v>
      </c>
      <c r="AD10" s="1402">
        <f t="shared" si="16"/>
        <v>0</v>
      </c>
      <c r="AE10" s="1192">
        <v>0.05</v>
      </c>
      <c r="AF10" s="1138">
        <f t="shared" si="17"/>
        <v>0</v>
      </c>
      <c r="AH10" s="1397">
        <f t="shared" si="18"/>
        <v>0</v>
      </c>
      <c r="AI10" s="1138">
        <f t="shared" si="19"/>
        <v>0</v>
      </c>
      <c r="AJ10" s="1397">
        <f t="shared" si="20"/>
        <v>0</v>
      </c>
      <c r="AK10" s="1138">
        <f t="shared" si="21"/>
        <v>0</v>
      </c>
      <c r="AL10" s="1397">
        <f t="shared" si="22"/>
        <v>0</v>
      </c>
      <c r="AM10" s="1138">
        <f t="shared" si="23"/>
        <v>0</v>
      </c>
      <c r="AN10" s="1397">
        <f t="shared" si="24"/>
        <v>0</v>
      </c>
      <c r="AO10" s="1138">
        <f t="shared" si="25"/>
        <v>0</v>
      </c>
      <c r="AP10" s="1397">
        <f t="shared" si="26"/>
        <v>0</v>
      </c>
      <c r="AQ10" s="1138">
        <f t="shared" si="27"/>
        <v>0</v>
      </c>
      <c r="AS10" s="1397">
        <f t="shared" si="28"/>
        <v>0</v>
      </c>
      <c r="AT10" s="1138">
        <f t="shared" si="29"/>
        <v>0</v>
      </c>
      <c r="AU10" s="1397">
        <f t="shared" si="30"/>
        <v>0</v>
      </c>
      <c r="AV10" s="1138">
        <f t="shared" si="31"/>
        <v>0</v>
      </c>
      <c r="AW10" s="1397">
        <f t="shared" si="32"/>
        <v>0</v>
      </c>
      <c r="AX10" s="1138">
        <f t="shared" si="33"/>
        <v>0</v>
      </c>
      <c r="AY10" s="1397">
        <f t="shared" si="34"/>
        <v>0</v>
      </c>
      <c r="AZ10" s="1138">
        <f t="shared" si="35"/>
        <v>0</v>
      </c>
      <c r="BA10" s="1397">
        <f t="shared" si="36"/>
        <v>0</v>
      </c>
      <c r="BB10" s="1138">
        <f t="shared" si="37"/>
        <v>0</v>
      </c>
      <c r="BC10" s="1138"/>
      <c r="BD10" s="1397">
        <f t="shared" si="38"/>
        <v>0</v>
      </c>
      <c r="BE10" s="1138">
        <f t="shared" si="39"/>
        <v>0</v>
      </c>
      <c r="BF10" s="1397">
        <f t="shared" si="40"/>
        <v>0</v>
      </c>
      <c r="BG10" s="1138">
        <f t="shared" si="41"/>
        <v>0</v>
      </c>
      <c r="BH10" s="1397">
        <f t="shared" si="42"/>
        <v>0</v>
      </c>
      <c r="BI10" s="1138">
        <f t="shared" si="43"/>
        <v>0</v>
      </c>
      <c r="BJ10" s="1397">
        <f t="shared" si="44"/>
        <v>0</v>
      </c>
      <c r="BK10" s="1138">
        <f t="shared" si="45"/>
        <v>0</v>
      </c>
      <c r="BL10" s="1397">
        <f t="shared" si="46"/>
        <v>0</v>
      </c>
      <c r="BM10" s="1138">
        <f t="shared" si="47"/>
        <v>0</v>
      </c>
      <c r="BN10" s="1131">
        <f>VLOOKUP(W10,Lähtötiedot!$C$102:$D$112,2,FALSE)</f>
        <v>0</v>
      </c>
    </row>
    <row r="11" spans="1:66">
      <c r="A11" s="112" t="s">
        <v>311</v>
      </c>
      <c r="B11" s="113"/>
      <c r="C11" s="124">
        <v>1</v>
      </c>
      <c r="D11" s="1503" t="b">
        <f>_xlfn.IFNA(W11=VLOOKUP(W11,Lähtötiedot!$A$60:$A$70,1,FALSE),"VÄÄRIN!")</f>
        <v>1</v>
      </c>
      <c r="E11" s="116">
        <v>0</v>
      </c>
      <c r="F11" s="117">
        <v>0</v>
      </c>
      <c r="G11" s="996">
        <v>0</v>
      </c>
      <c r="H11" s="1918">
        <f t="shared" si="4"/>
        <v>0</v>
      </c>
      <c r="I11" s="1919">
        <f t="shared" si="5"/>
        <v>0</v>
      </c>
      <c r="J11" s="118">
        <f t="shared" si="6"/>
        <v>0</v>
      </c>
      <c r="K11" s="1127">
        <f t="shared" si="7"/>
        <v>0</v>
      </c>
      <c r="L11" s="1127" t="e">
        <f t="shared" si="8"/>
        <v>#VALUE!</v>
      </c>
      <c r="M11" s="118">
        <f t="shared" si="9"/>
        <v>0</v>
      </c>
      <c r="N11" s="119">
        <v>0.03</v>
      </c>
      <c r="O11" s="85">
        <f t="shared" si="1"/>
        <v>1.0299999999999991</v>
      </c>
      <c r="P11" s="93" t="str">
        <f t="shared" si="10"/>
        <v>Ei käytössä</v>
      </c>
      <c r="Q11" s="120">
        <f t="shared" si="11"/>
        <v>0</v>
      </c>
      <c r="R11" s="121">
        <v>0</v>
      </c>
      <c r="S11" s="122">
        <f t="shared" si="2"/>
        <v>0</v>
      </c>
      <c r="T11" s="122">
        <v>0</v>
      </c>
      <c r="U11" s="122">
        <f t="shared" si="3"/>
        <v>0</v>
      </c>
      <c r="V11" s="123">
        <f t="shared" si="12"/>
        <v>0</v>
      </c>
      <c r="W11" s="2393" t="s">
        <v>213</v>
      </c>
      <c r="X11" s="2411" t="str">
        <f t="shared" si="13"/>
        <v/>
      </c>
      <c r="Y11" s="1131" t="str">
        <f>IF(Lähtötiedot!$F$8&lt;&gt;"A","T","A")</f>
        <v>T</v>
      </c>
      <c r="Z11" s="1408">
        <f t="shared" si="14"/>
        <v>0</v>
      </c>
      <c r="AA11" s="1192">
        <v>1</v>
      </c>
      <c r="AB11" s="1192">
        <v>0.04</v>
      </c>
      <c r="AC11" s="1402">
        <f t="shared" si="15"/>
        <v>0</v>
      </c>
      <c r="AD11" s="1402">
        <f t="shared" si="16"/>
        <v>0</v>
      </c>
      <c r="AE11" s="1192">
        <v>0.05</v>
      </c>
      <c r="AF11" s="1138">
        <f t="shared" si="17"/>
        <v>0</v>
      </c>
      <c r="AH11" s="1397">
        <f t="shared" si="18"/>
        <v>0</v>
      </c>
      <c r="AI11" s="1138">
        <f t="shared" si="19"/>
        <v>0</v>
      </c>
      <c r="AJ11" s="1397">
        <f t="shared" si="20"/>
        <v>0</v>
      </c>
      <c r="AK11" s="1138">
        <f t="shared" si="21"/>
        <v>0</v>
      </c>
      <c r="AL11" s="1397">
        <f t="shared" si="22"/>
        <v>0</v>
      </c>
      <c r="AM11" s="1138">
        <f t="shared" si="23"/>
        <v>0</v>
      </c>
      <c r="AN11" s="1397">
        <f t="shared" si="24"/>
        <v>0</v>
      </c>
      <c r="AO11" s="1138">
        <f t="shared" si="25"/>
        <v>0</v>
      </c>
      <c r="AP11" s="1397">
        <f>AO11*$AB11*$AA$5</f>
        <v>0</v>
      </c>
      <c r="AQ11" s="1138">
        <f t="shared" si="27"/>
        <v>0</v>
      </c>
      <c r="AS11" s="1397">
        <f t="shared" si="28"/>
        <v>0</v>
      </c>
      <c r="AT11" s="1138">
        <f t="shared" si="29"/>
        <v>0</v>
      </c>
      <c r="AU11" s="1397">
        <f t="shared" si="30"/>
        <v>0</v>
      </c>
      <c r="AV11" s="1138">
        <f t="shared" si="31"/>
        <v>0</v>
      </c>
      <c r="AW11" s="1397">
        <f t="shared" si="32"/>
        <v>0</v>
      </c>
      <c r="AX11" s="1138">
        <f t="shared" si="33"/>
        <v>0</v>
      </c>
      <c r="AY11" s="1397">
        <f t="shared" si="34"/>
        <v>0</v>
      </c>
      <c r="AZ11" s="1138">
        <f t="shared" si="35"/>
        <v>0</v>
      </c>
      <c r="BA11" s="1397">
        <f t="shared" si="36"/>
        <v>0</v>
      </c>
      <c r="BB11" s="1138">
        <f t="shared" si="37"/>
        <v>0</v>
      </c>
      <c r="BC11" s="1138"/>
      <c r="BD11" s="1397">
        <f t="shared" si="38"/>
        <v>0</v>
      </c>
      <c r="BE11" s="1138">
        <f t="shared" si="39"/>
        <v>0</v>
      </c>
      <c r="BF11" s="1397">
        <f t="shared" si="40"/>
        <v>0</v>
      </c>
      <c r="BG11" s="1138">
        <f t="shared" si="41"/>
        <v>0</v>
      </c>
      <c r="BH11" s="1397">
        <f t="shared" si="42"/>
        <v>0</v>
      </c>
      <c r="BI11" s="1138">
        <f t="shared" si="43"/>
        <v>0</v>
      </c>
      <c r="BJ11" s="1397">
        <f t="shared" si="44"/>
        <v>0</v>
      </c>
      <c r="BK11" s="1138">
        <f t="shared" si="45"/>
        <v>0</v>
      </c>
      <c r="BL11" s="1397">
        <f t="shared" si="46"/>
        <v>0</v>
      </c>
      <c r="BM11" s="1138">
        <f t="shared" si="47"/>
        <v>0</v>
      </c>
      <c r="BN11" s="1131">
        <f>VLOOKUP(W11,Lähtötiedot!$C$102:$D$112,2,FALSE)</f>
        <v>0</v>
      </c>
    </row>
    <row r="12" spans="1:66">
      <c r="A12" s="112" t="s">
        <v>311</v>
      </c>
      <c r="B12" s="113"/>
      <c r="C12" s="124">
        <v>1</v>
      </c>
      <c r="D12" s="1503" t="b">
        <f>_xlfn.IFNA(W12=VLOOKUP(W12,Lähtötiedot!$A$60:$A$70,1,FALSE),"VÄÄRIN!")</f>
        <v>1</v>
      </c>
      <c r="E12" s="116">
        <v>0</v>
      </c>
      <c r="F12" s="117">
        <v>0</v>
      </c>
      <c r="G12" s="996">
        <v>0</v>
      </c>
      <c r="H12" s="1918">
        <f t="shared" si="4"/>
        <v>0</v>
      </c>
      <c r="I12" s="1919">
        <f t="shared" si="5"/>
        <v>0</v>
      </c>
      <c r="J12" s="118">
        <f t="shared" si="6"/>
        <v>0</v>
      </c>
      <c r="K12" s="1127">
        <f t="shared" si="7"/>
        <v>0</v>
      </c>
      <c r="L12" s="1127" t="e">
        <f t="shared" si="8"/>
        <v>#VALUE!</v>
      </c>
      <c r="M12" s="118">
        <f t="shared" si="9"/>
        <v>0</v>
      </c>
      <c r="N12" s="119">
        <v>0.03</v>
      </c>
      <c r="O12" s="85">
        <f t="shared" si="1"/>
        <v>1.0299999999999991</v>
      </c>
      <c r="P12" s="93" t="str">
        <f t="shared" si="10"/>
        <v>Ei käytössä</v>
      </c>
      <c r="Q12" s="120">
        <f t="shared" si="11"/>
        <v>0</v>
      </c>
      <c r="R12" s="121">
        <v>0</v>
      </c>
      <c r="S12" s="122">
        <f t="shared" si="2"/>
        <v>0</v>
      </c>
      <c r="T12" s="122">
        <v>0</v>
      </c>
      <c r="U12" s="122">
        <f t="shared" ref="U12:U20" si="48">1/100*G12</f>
        <v>0</v>
      </c>
      <c r="V12" s="123">
        <f t="shared" si="12"/>
        <v>0</v>
      </c>
      <c r="W12" s="2393" t="s">
        <v>204</v>
      </c>
      <c r="X12" s="2411" t="str">
        <f t="shared" si="13"/>
        <v/>
      </c>
      <c r="Y12" s="1131" t="str">
        <f>IF(Lähtötiedot!$F$8&lt;&gt;"A","T","A")</f>
        <v>T</v>
      </c>
      <c r="Z12" s="1408">
        <f t="shared" si="14"/>
        <v>0</v>
      </c>
      <c r="AA12" s="1192">
        <v>1</v>
      </c>
      <c r="AB12" s="1192">
        <v>0.04</v>
      </c>
      <c r="AC12" s="1402">
        <f t="shared" si="15"/>
        <v>0</v>
      </c>
      <c r="AD12" s="1402">
        <f t="shared" si="16"/>
        <v>0</v>
      </c>
      <c r="AE12" s="1192">
        <v>0.05</v>
      </c>
      <c r="AF12" s="1138">
        <f t="shared" si="17"/>
        <v>0</v>
      </c>
      <c r="AH12" s="1397">
        <f t="shared" si="18"/>
        <v>0</v>
      </c>
      <c r="AI12" s="1138">
        <f t="shared" si="19"/>
        <v>0</v>
      </c>
      <c r="AJ12" s="1397">
        <f t="shared" si="20"/>
        <v>0</v>
      </c>
      <c r="AK12" s="1138">
        <f t="shared" si="21"/>
        <v>0</v>
      </c>
      <c r="AL12" s="1397">
        <f t="shared" si="22"/>
        <v>0</v>
      </c>
      <c r="AM12" s="1138">
        <f t="shared" si="23"/>
        <v>0</v>
      </c>
      <c r="AN12" s="1397">
        <f t="shared" si="24"/>
        <v>0</v>
      </c>
      <c r="AO12" s="1138">
        <f t="shared" si="25"/>
        <v>0</v>
      </c>
      <c r="AP12" s="1397">
        <f t="shared" si="26"/>
        <v>0</v>
      </c>
      <c r="AQ12" s="1138">
        <f t="shared" si="27"/>
        <v>0</v>
      </c>
      <c r="AS12" s="1397">
        <f t="shared" si="28"/>
        <v>0</v>
      </c>
      <c r="AT12" s="1138">
        <f t="shared" si="29"/>
        <v>0</v>
      </c>
      <c r="AU12" s="1397">
        <f t="shared" si="30"/>
        <v>0</v>
      </c>
      <c r="AV12" s="1138">
        <f t="shared" si="31"/>
        <v>0</v>
      </c>
      <c r="AW12" s="1397">
        <f t="shared" si="32"/>
        <v>0</v>
      </c>
      <c r="AX12" s="1138">
        <f t="shared" si="33"/>
        <v>0</v>
      </c>
      <c r="AY12" s="1397">
        <f t="shared" si="34"/>
        <v>0</v>
      </c>
      <c r="AZ12" s="1138">
        <f t="shared" si="35"/>
        <v>0</v>
      </c>
      <c r="BA12" s="1397">
        <f t="shared" si="36"/>
        <v>0</v>
      </c>
      <c r="BB12" s="1138">
        <f t="shared" si="37"/>
        <v>0</v>
      </c>
      <c r="BC12" s="1138"/>
      <c r="BD12" s="1397">
        <f t="shared" si="38"/>
        <v>0</v>
      </c>
      <c r="BE12" s="1138">
        <f t="shared" si="39"/>
        <v>0</v>
      </c>
      <c r="BF12" s="1397">
        <f t="shared" si="40"/>
        <v>0</v>
      </c>
      <c r="BG12" s="1138">
        <f t="shared" si="41"/>
        <v>0</v>
      </c>
      <c r="BH12" s="1397">
        <f t="shared" si="42"/>
        <v>0</v>
      </c>
      <c r="BI12" s="1138">
        <f t="shared" si="43"/>
        <v>0</v>
      </c>
      <c r="BJ12" s="1397">
        <f t="shared" si="44"/>
        <v>0</v>
      </c>
      <c r="BK12" s="1138">
        <f t="shared" si="45"/>
        <v>0</v>
      </c>
      <c r="BL12" s="1397">
        <f t="shared" si="46"/>
        <v>0</v>
      </c>
      <c r="BM12" s="1138">
        <f t="shared" si="47"/>
        <v>0</v>
      </c>
      <c r="BN12" s="1131">
        <f>VLOOKUP(W12,Lähtötiedot!$C$102:$D$112,2,FALSE)</f>
        <v>0</v>
      </c>
    </row>
    <row r="13" spans="1:66">
      <c r="A13" s="112" t="s">
        <v>311</v>
      </c>
      <c r="B13" s="113"/>
      <c r="C13" s="124">
        <v>1</v>
      </c>
      <c r="D13" s="1503" t="b">
        <f>_xlfn.IFNA(W13=VLOOKUP(W13,Lähtötiedot!$A$60:$A$70,1,FALSE),"VÄÄRIN!")</f>
        <v>1</v>
      </c>
      <c r="E13" s="116">
        <v>0</v>
      </c>
      <c r="F13" s="117">
        <v>0</v>
      </c>
      <c r="G13" s="996">
        <v>0</v>
      </c>
      <c r="H13" s="1918">
        <f t="shared" si="4"/>
        <v>0</v>
      </c>
      <c r="I13" s="1919">
        <f t="shared" si="5"/>
        <v>0</v>
      </c>
      <c r="J13" s="118">
        <f t="shared" si="6"/>
        <v>0</v>
      </c>
      <c r="K13" s="1127">
        <f t="shared" si="7"/>
        <v>0</v>
      </c>
      <c r="L13" s="1127" t="e">
        <f t="shared" si="8"/>
        <v>#VALUE!</v>
      </c>
      <c r="M13" s="118">
        <f t="shared" si="9"/>
        <v>0</v>
      </c>
      <c r="N13" s="119">
        <v>0.03</v>
      </c>
      <c r="O13" s="85">
        <f t="shared" si="1"/>
        <v>1.0299999999999991</v>
      </c>
      <c r="P13" s="93" t="str">
        <f t="shared" si="10"/>
        <v>Ei käytössä</v>
      </c>
      <c r="Q13" s="120">
        <f t="shared" si="11"/>
        <v>0</v>
      </c>
      <c r="R13" s="121">
        <v>0</v>
      </c>
      <c r="S13" s="122">
        <f t="shared" si="2"/>
        <v>0</v>
      </c>
      <c r="T13" s="122">
        <v>0</v>
      </c>
      <c r="U13" s="122">
        <f t="shared" si="48"/>
        <v>0</v>
      </c>
      <c r="V13" s="123">
        <f t="shared" si="12"/>
        <v>0</v>
      </c>
      <c r="W13" s="2393" t="s">
        <v>204</v>
      </c>
      <c r="X13" s="2411" t="str">
        <f t="shared" si="13"/>
        <v/>
      </c>
      <c r="Y13" s="1131" t="str">
        <f>IF(Lähtötiedot!$F$8&lt;&gt;"A","T","A")</f>
        <v>T</v>
      </c>
      <c r="Z13" s="1408">
        <f t="shared" si="14"/>
        <v>0</v>
      </c>
      <c r="AA13" s="1192">
        <v>1</v>
      </c>
      <c r="AB13" s="1192">
        <v>0.04</v>
      </c>
      <c r="AC13" s="1402">
        <f t="shared" si="15"/>
        <v>0</v>
      </c>
      <c r="AD13" s="1402">
        <f t="shared" si="16"/>
        <v>0</v>
      </c>
      <c r="AE13" s="1192">
        <v>0.05</v>
      </c>
      <c r="AF13" s="1138">
        <f t="shared" si="17"/>
        <v>0</v>
      </c>
      <c r="AH13" s="1397">
        <f t="shared" si="18"/>
        <v>0</v>
      </c>
      <c r="AI13" s="1138">
        <f t="shared" si="19"/>
        <v>0</v>
      </c>
      <c r="AJ13" s="1397">
        <f t="shared" si="20"/>
        <v>0</v>
      </c>
      <c r="AK13" s="1138">
        <f>ABS(((-1+$AB13)^AK$3)*$H13)*AA13</f>
        <v>0</v>
      </c>
      <c r="AL13" s="1397">
        <f t="shared" si="22"/>
        <v>0</v>
      </c>
      <c r="AM13" s="1138">
        <f t="shared" si="23"/>
        <v>0</v>
      </c>
      <c r="AN13" s="1397">
        <f t="shared" si="24"/>
        <v>0</v>
      </c>
      <c r="AO13" s="1138">
        <f t="shared" si="25"/>
        <v>0</v>
      </c>
      <c r="AP13" s="1397">
        <f t="shared" si="26"/>
        <v>0</v>
      </c>
      <c r="AQ13" s="1138">
        <f t="shared" si="27"/>
        <v>0</v>
      </c>
      <c r="AS13" s="1397">
        <f t="shared" si="28"/>
        <v>0</v>
      </c>
      <c r="AT13" s="1138">
        <f t="shared" si="29"/>
        <v>0</v>
      </c>
      <c r="AU13" s="1397">
        <f t="shared" si="30"/>
        <v>0</v>
      </c>
      <c r="AV13" s="1138">
        <f t="shared" si="31"/>
        <v>0</v>
      </c>
      <c r="AW13" s="1397">
        <f t="shared" si="32"/>
        <v>0</v>
      </c>
      <c r="AX13" s="1138">
        <f t="shared" si="33"/>
        <v>0</v>
      </c>
      <c r="AY13" s="1397">
        <f t="shared" si="34"/>
        <v>0</v>
      </c>
      <c r="AZ13" s="1138">
        <f t="shared" si="35"/>
        <v>0</v>
      </c>
      <c r="BA13" s="1397">
        <f t="shared" si="36"/>
        <v>0</v>
      </c>
      <c r="BB13" s="1138">
        <f t="shared" si="37"/>
        <v>0</v>
      </c>
      <c r="BC13" s="1138"/>
      <c r="BD13" s="1397">
        <f t="shared" si="38"/>
        <v>0</v>
      </c>
      <c r="BE13" s="1138">
        <f t="shared" si="39"/>
        <v>0</v>
      </c>
      <c r="BF13" s="1397">
        <f t="shared" si="40"/>
        <v>0</v>
      </c>
      <c r="BG13" s="1138">
        <f t="shared" si="41"/>
        <v>0</v>
      </c>
      <c r="BH13" s="1397">
        <f t="shared" si="42"/>
        <v>0</v>
      </c>
      <c r="BI13" s="1138">
        <f t="shared" si="43"/>
        <v>0</v>
      </c>
      <c r="BJ13" s="1397">
        <f t="shared" si="44"/>
        <v>0</v>
      </c>
      <c r="BK13" s="1138">
        <f t="shared" si="45"/>
        <v>0</v>
      </c>
      <c r="BL13" s="1397">
        <f t="shared" si="46"/>
        <v>0</v>
      </c>
      <c r="BM13" s="1138">
        <f t="shared" si="47"/>
        <v>0</v>
      </c>
      <c r="BN13" s="1131">
        <f>VLOOKUP(W13,Lähtötiedot!$C$102:$D$112,2,FALSE)</f>
        <v>0</v>
      </c>
    </row>
    <row r="14" spans="1:66">
      <c r="A14" s="112" t="s">
        <v>311</v>
      </c>
      <c r="B14" s="113"/>
      <c r="C14" s="124">
        <v>1</v>
      </c>
      <c r="D14" s="1503" t="b">
        <f>_xlfn.IFNA(W14=VLOOKUP(W14,Lähtötiedot!$A$60:$A$70,1,FALSE),"VÄÄRIN!")</f>
        <v>1</v>
      </c>
      <c r="E14" s="116">
        <v>0</v>
      </c>
      <c r="F14" s="117">
        <v>0</v>
      </c>
      <c r="G14" s="996">
        <v>0</v>
      </c>
      <c r="H14" s="1918">
        <f t="shared" si="4"/>
        <v>0</v>
      </c>
      <c r="I14" s="1919">
        <f t="shared" si="5"/>
        <v>0</v>
      </c>
      <c r="J14" s="118">
        <f t="shared" si="6"/>
        <v>0</v>
      </c>
      <c r="K14" s="1127">
        <f t="shared" si="7"/>
        <v>0</v>
      </c>
      <c r="L14" s="1127" t="e">
        <f t="shared" si="8"/>
        <v>#VALUE!</v>
      </c>
      <c r="M14" s="118">
        <f t="shared" si="9"/>
        <v>0</v>
      </c>
      <c r="N14" s="119">
        <v>0.03</v>
      </c>
      <c r="O14" s="85">
        <f t="shared" si="1"/>
        <v>1.0299999999999991</v>
      </c>
      <c r="P14" s="93" t="str">
        <f t="shared" si="10"/>
        <v>Ei käytössä</v>
      </c>
      <c r="Q14" s="120">
        <f t="shared" si="11"/>
        <v>0</v>
      </c>
      <c r="R14" s="121">
        <v>0</v>
      </c>
      <c r="S14" s="122">
        <f t="shared" si="2"/>
        <v>0</v>
      </c>
      <c r="T14" s="122">
        <v>0</v>
      </c>
      <c r="U14" s="122">
        <f t="shared" si="48"/>
        <v>0</v>
      </c>
      <c r="V14" s="123">
        <f t="shared" si="12"/>
        <v>0</v>
      </c>
      <c r="W14" s="2393" t="s">
        <v>204</v>
      </c>
      <c r="X14" s="2411" t="str">
        <f t="shared" si="13"/>
        <v/>
      </c>
      <c r="Y14" s="1131" t="str">
        <f>IF(Lähtötiedot!$F$8&lt;&gt;"A","T","A")</f>
        <v>T</v>
      </c>
      <c r="Z14" s="1408">
        <f t="shared" si="14"/>
        <v>0</v>
      </c>
      <c r="AA14" s="1192">
        <v>1</v>
      </c>
      <c r="AB14" s="1192">
        <v>0.04</v>
      </c>
      <c r="AC14" s="1402">
        <f t="shared" si="15"/>
        <v>0</v>
      </c>
      <c r="AD14" s="1402">
        <f t="shared" si="16"/>
        <v>0</v>
      </c>
      <c r="AE14" s="1192">
        <v>0.05</v>
      </c>
      <c r="AF14" s="1138">
        <f t="shared" si="17"/>
        <v>0</v>
      </c>
      <c r="AH14" s="1397">
        <f t="shared" si="18"/>
        <v>0</v>
      </c>
      <c r="AI14" s="1138">
        <f t="shared" si="19"/>
        <v>0</v>
      </c>
      <c r="AJ14" s="1397">
        <f t="shared" si="20"/>
        <v>0</v>
      </c>
      <c r="AK14" s="1138">
        <f t="shared" si="21"/>
        <v>0</v>
      </c>
      <c r="AL14" s="1397">
        <f t="shared" si="22"/>
        <v>0</v>
      </c>
      <c r="AM14" s="1138">
        <f t="shared" si="23"/>
        <v>0</v>
      </c>
      <c r="AN14" s="1397">
        <f t="shared" si="24"/>
        <v>0</v>
      </c>
      <c r="AO14" s="1138">
        <f t="shared" si="25"/>
        <v>0</v>
      </c>
      <c r="AP14" s="1397">
        <f t="shared" si="26"/>
        <v>0</v>
      </c>
      <c r="AQ14" s="1138">
        <f t="shared" si="27"/>
        <v>0</v>
      </c>
      <c r="AS14" s="1397">
        <f t="shared" si="28"/>
        <v>0</v>
      </c>
      <c r="AT14" s="1138">
        <f t="shared" si="29"/>
        <v>0</v>
      </c>
      <c r="AU14" s="1397">
        <f t="shared" si="30"/>
        <v>0</v>
      </c>
      <c r="AV14" s="1138">
        <f t="shared" si="31"/>
        <v>0</v>
      </c>
      <c r="AW14" s="1397">
        <f t="shared" si="32"/>
        <v>0</v>
      </c>
      <c r="AX14" s="1138">
        <f t="shared" si="33"/>
        <v>0</v>
      </c>
      <c r="AY14" s="1397">
        <f t="shared" si="34"/>
        <v>0</v>
      </c>
      <c r="AZ14" s="1138">
        <f t="shared" si="35"/>
        <v>0</v>
      </c>
      <c r="BA14" s="1397">
        <f t="shared" si="36"/>
        <v>0</v>
      </c>
      <c r="BB14" s="1138">
        <f t="shared" si="37"/>
        <v>0</v>
      </c>
      <c r="BC14" s="1138"/>
      <c r="BD14" s="1397">
        <f t="shared" si="38"/>
        <v>0</v>
      </c>
      <c r="BE14" s="1138">
        <f t="shared" si="39"/>
        <v>0</v>
      </c>
      <c r="BF14" s="1397">
        <f t="shared" si="40"/>
        <v>0</v>
      </c>
      <c r="BG14" s="1138">
        <f t="shared" si="41"/>
        <v>0</v>
      </c>
      <c r="BH14" s="1397">
        <f t="shared" si="42"/>
        <v>0</v>
      </c>
      <c r="BI14" s="1138">
        <f t="shared" si="43"/>
        <v>0</v>
      </c>
      <c r="BJ14" s="1397">
        <f t="shared" si="44"/>
        <v>0</v>
      </c>
      <c r="BK14" s="1138">
        <f t="shared" si="45"/>
        <v>0</v>
      </c>
      <c r="BL14" s="1397">
        <f t="shared" si="46"/>
        <v>0</v>
      </c>
      <c r="BM14" s="1138">
        <f t="shared" si="47"/>
        <v>0</v>
      </c>
      <c r="BN14" s="1131">
        <f>VLOOKUP(W14,Lähtötiedot!$C$102:$D$112,2,FALSE)</f>
        <v>0</v>
      </c>
    </row>
    <row r="15" spans="1:66">
      <c r="A15" s="112" t="s">
        <v>312</v>
      </c>
      <c r="B15" s="113"/>
      <c r="C15" s="124">
        <v>1</v>
      </c>
      <c r="D15" s="1503" t="b">
        <f>_xlfn.IFNA(W15=VLOOKUP(W15,Lähtötiedot!$A$60:$A$70,1,FALSE),"VÄÄRIN!")</f>
        <v>1</v>
      </c>
      <c r="E15" s="116">
        <v>0</v>
      </c>
      <c r="F15" s="117">
        <v>0</v>
      </c>
      <c r="G15" s="996">
        <v>0</v>
      </c>
      <c r="H15" s="1918">
        <f t="shared" si="4"/>
        <v>0</v>
      </c>
      <c r="I15" s="1919">
        <f t="shared" si="5"/>
        <v>0</v>
      </c>
      <c r="J15" s="118">
        <f t="shared" si="6"/>
        <v>0</v>
      </c>
      <c r="K15" s="1127">
        <f t="shared" si="7"/>
        <v>0</v>
      </c>
      <c r="L15" s="1127" t="e">
        <f t="shared" si="8"/>
        <v>#VALUE!</v>
      </c>
      <c r="M15" s="118">
        <f t="shared" si="9"/>
        <v>0</v>
      </c>
      <c r="N15" s="119">
        <v>0.03</v>
      </c>
      <c r="O15" s="85">
        <f t="shared" si="1"/>
        <v>1.0299999999999991</v>
      </c>
      <c r="P15" s="93" t="str">
        <f t="shared" si="10"/>
        <v>Ei käytössä</v>
      </c>
      <c r="Q15" s="120">
        <f t="shared" si="11"/>
        <v>0</v>
      </c>
      <c r="R15" s="121">
        <v>0</v>
      </c>
      <c r="S15" s="122">
        <f t="shared" si="2"/>
        <v>0</v>
      </c>
      <c r="T15" s="122">
        <v>0</v>
      </c>
      <c r="U15" s="122">
        <f t="shared" si="48"/>
        <v>0</v>
      </c>
      <c r="V15" s="123">
        <f t="shared" si="12"/>
        <v>0</v>
      </c>
      <c r="W15" s="2393" t="s">
        <v>204</v>
      </c>
      <c r="X15" s="2411" t="str">
        <f t="shared" si="13"/>
        <v/>
      </c>
      <c r="Y15" s="1131" t="str">
        <f>IF(Lähtötiedot!$F$8&lt;&gt;"A","T","A")</f>
        <v>T</v>
      </c>
      <c r="Z15" s="1408">
        <f t="shared" si="14"/>
        <v>0</v>
      </c>
      <c r="AA15" s="1192">
        <v>1</v>
      </c>
      <c r="AB15" s="1192">
        <v>0.04</v>
      </c>
      <c r="AC15" s="1402">
        <f t="shared" si="15"/>
        <v>0</v>
      </c>
      <c r="AD15" s="1402">
        <f t="shared" si="16"/>
        <v>0</v>
      </c>
      <c r="AE15" s="1192">
        <v>0.05</v>
      </c>
      <c r="AF15" s="1138">
        <f t="shared" si="17"/>
        <v>0</v>
      </c>
      <c r="AH15" s="1397">
        <f t="shared" si="18"/>
        <v>0</v>
      </c>
      <c r="AI15" s="1138">
        <f t="shared" si="19"/>
        <v>0</v>
      </c>
      <c r="AJ15" s="1397">
        <f t="shared" si="20"/>
        <v>0</v>
      </c>
      <c r="AK15" s="1138">
        <f t="shared" si="21"/>
        <v>0</v>
      </c>
      <c r="AL15" s="1397">
        <f t="shared" si="22"/>
        <v>0</v>
      </c>
      <c r="AM15" s="1138">
        <f t="shared" si="23"/>
        <v>0</v>
      </c>
      <c r="AN15" s="1397">
        <f t="shared" si="24"/>
        <v>0</v>
      </c>
      <c r="AO15" s="1138">
        <f t="shared" si="25"/>
        <v>0</v>
      </c>
      <c r="AP15" s="1397">
        <f t="shared" si="26"/>
        <v>0</v>
      </c>
      <c r="AQ15" s="1138">
        <f t="shared" si="27"/>
        <v>0</v>
      </c>
      <c r="AS15" s="1397">
        <f t="shared" si="28"/>
        <v>0</v>
      </c>
      <c r="AT15" s="1138">
        <f t="shared" si="29"/>
        <v>0</v>
      </c>
      <c r="AU15" s="1397">
        <f t="shared" si="30"/>
        <v>0</v>
      </c>
      <c r="AV15" s="1138">
        <f t="shared" si="31"/>
        <v>0</v>
      </c>
      <c r="AW15" s="1397">
        <f t="shared" si="32"/>
        <v>0</v>
      </c>
      <c r="AX15" s="1138">
        <f t="shared" si="33"/>
        <v>0</v>
      </c>
      <c r="AY15" s="1397">
        <f t="shared" si="34"/>
        <v>0</v>
      </c>
      <c r="AZ15" s="1138">
        <f t="shared" si="35"/>
        <v>0</v>
      </c>
      <c r="BA15" s="1397">
        <f t="shared" si="36"/>
        <v>0</v>
      </c>
      <c r="BB15" s="1138">
        <f t="shared" si="37"/>
        <v>0</v>
      </c>
      <c r="BC15" s="1138"/>
      <c r="BD15" s="1397">
        <f t="shared" si="38"/>
        <v>0</v>
      </c>
      <c r="BE15" s="1138">
        <f t="shared" si="39"/>
        <v>0</v>
      </c>
      <c r="BF15" s="1397">
        <f t="shared" si="40"/>
        <v>0</v>
      </c>
      <c r="BG15" s="1138">
        <f t="shared" si="41"/>
        <v>0</v>
      </c>
      <c r="BH15" s="1397">
        <f t="shared" si="42"/>
        <v>0</v>
      </c>
      <c r="BI15" s="1138">
        <f t="shared" si="43"/>
        <v>0</v>
      </c>
      <c r="BJ15" s="1397">
        <f t="shared" si="44"/>
        <v>0</v>
      </c>
      <c r="BK15" s="1138">
        <f t="shared" si="45"/>
        <v>0</v>
      </c>
      <c r="BL15" s="1397">
        <f t="shared" si="46"/>
        <v>0</v>
      </c>
      <c r="BM15" s="1138">
        <f t="shared" si="47"/>
        <v>0</v>
      </c>
      <c r="BN15" s="1131">
        <f>VLOOKUP(W15,Lähtötiedot!$C$102:$D$112,2,FALSE)</f>
        <v>0</v>
      </c>
    </row>
    <row r="16" spans="1:66">
      <c r="A16" s="112" t="s">
        <v>313</v>
      </c>
      <c r="B16" s="113"/>
      <c r="C16" s="124">
        <v>1</v>
      </c>
      <c r="D16" s="1503" t="b">
        <f>_xlfn.IFNA(W16=VLOOKUP(W16,Lähtötiedot!$A$60:$A$70,1,FALSE),"VÄÄRIN!")</f>
        <v>1</v>
      </c>
      <c r="E16" s="116">
        <v>0</v>
      </c>
      <c r="F16" s="117"/>
      <c r="G16" s="996">
        <v>0</v>
      </c>
      <c r="H16" s="1918">
        <f t="shared" si="4"/>
        <v>0</v>
      </c>
      <c r="I16" s="1919">
        <f t="shared" si="5"/>
        <v>0</v>
      </c>
      <c r="J16" s="118">
        <f t="shared" si="6"/>
        <v>0</v>
      </c>
      <c r="K16" s="1127">
        <f t="shared" si="7"/>
        <v>0</v>
      </c>
      <c r="L16" s="1127" t="e">
        <f t="shared" si="8"/>
        <v>#VALUE!</v>
      </c>
      <c r="M16" s="118">
        <f t="shared" si="9"/>
        <v>0</v>
      </c>
      <c r="N16" s="119">
        <v>0.03</v>
      </c>
      <c r="O16" s="85">
        <f t="shared" si="1"/>
        <v>1.0299999999999991</v>
      </c>
      <c r="P16" s="93" t="str">
        <f t="shared" si="10"/>
        <v>Ei käytössä</v>
      </c>
      <c r="Q16" s="120">
        <f t="shared" si="11"/>
        <v>0</v>
      </c>
      <c r="R16" s="121">
        <v>0</v>
      </c>
      <c r="S16" s="122">
        <f t="shared" si="2"/>
        <v>0</v>
      </c>
      <c r="T16" s="122">
        <v>0</v>
      </c>
      <c r="U16" s="122">
        <f t="shared" si="48"/>
        <v>0</v>
      </c>
      <c r="V16" s="123">
        <f t="shared" si="12"/>
        <v>0</v>
      </c>
      <c r="W16" s="2393" t="s">
        <v>204</v>
      </c>
      <c r="X16" s="2411" t="str">
        <f t="shared" si="13"/>
        <v/>
      </c>
      <c r="Y16" s="1131" t="str">
        <f>IF(Lähtötiedot!$F$8&lt;&gt;"A","T","A")</f>
        <v>T</v>
      </c>
      <c r="Z16" s="1408">
        <f t="shared" si="14"/>
        <v>0</v>
      </c>
      <c r="AA16" s="1192">
        <v>1</v>
      </c>
      <c r="AB16" s="1192">
        <v>0.04</v>
      </c>
      <c r="AC16" s="1402">
        <f t="shared" si="15"/>
        <v>0</v>
      </c>
      <c r="AD16" s="1402">
        <f t="shared" si="16"/>
        <v>0</v>
      </c>
      <c r="AE16" s="1192">
        <v>0.05</v>
      </c>
      <c r="AF16" s="1138">
        <f t="shared" si="17"/>
        <v>0</v>
      </c>
      <c r="AH16" s="1397">
        <f t="shared" si="18"/>
        <v>0</v>
      </c>
      <c r="AI16" s="1138">
        <f t="shared" si="19"/>
        <v>0</v>
      </c>
      <c r="AJ16" s="1397">
        <f t="shared" si="20"/>
        <v>0</v>
      </c>
      <c r="AK16" s="1138">
        <f t="shared" si="21"/>
        <v>0</v>
      </c>
      <c r="AL16" s="1397">
        <f t="shared" si="22"/>
        <v>0</v>
      </c>
      <c r="AM16" s="1138">
        <f t="shared" si="23"/>
        <v>0</v>
      </c>
      <c r="AN16" s="1397">
        <f t="shared" si="24"/>
        <v>0</v>
      </c>
      <c r="AO16" s="1138">
        <f t="shared" si="25"/>
        <v>0</v>
      </c>
      <c r="AP16" s="1397">
        <f t="shared" si="26"/>
        <v>0</v>
      </c>
      <c r="AQ16" s="1138">
        <f t="shared" si="27"/>
        <v>0</v>
      </c>
      <c r="AS16" s="1397">
        <f t="shared" si="28"/>
        <v>0</v>
      </c>
      <c r="AT16" s="1138">
        <f t="shared" si="29"/>
        <v>0</v>
      </c>
      <c r="AU16" s="1397">
        <f t="shared" si="30"/>
        <v>0</v>
      </c>
      <c r="AV16" s="1138">
        <f t="shared" si="31"/>
        <v>0</v>
      </c>
      <c r="AW16" s="1397">
        <f t="shared" si="32"/>
        <v>0</v>
      </c>
      <c r="AX16" s="1138">
        <f t="shared" si="33"/>
        <v>0</v>
      </c>
      <c r="AY16" s="1397">
        <f t="shared" si="34"/>
        <v>0</v>
      </c>
      <c r="AZ16" s="1138">
        <f t="shared" si="35"/>
        <v>0</v>
      </c>
      <c r="BA16" s="1397">
        <f t="shared" si="36"/>
        <v>0</v>
      </c>
      <c r="BB16" s="1138">
        <f t="shared" si="37"/>
        <v>0</v>
      </c>
      <c r="BC16" s="1138"/>
      <c r="BD16" s="1397">
        <f t="shared" si="38"/>
        <v>0</v>
      </c>
      <c r="BE16" s="1138">
        <f t="shared" si="39"/>
        <v>0</v>
      </c>
      <c r="BF16" s="1397">
        <f t="shared" si="40"/>
        <v>0</v>
      </c>
      <c r="BG16" s="1138">
        <f t="shared" si="41"/>
        <v>0</v>
      </c>
      <c r="BH16" s="1397">
        <f t="shared" si="42"/>
        <v>0</v>
      </c>
      <c r="BI16" s="1138">
        <f t="shared" si="43"/>
        <v>0</v>
      </c>
      <c r="BJ16" s="1397">
        <f t="shared" si="44"/>
        <v>0</v>
      </c>
      <c r="BK16" s="1138">
        <f t="shared" si="45"/>
        <v>0</v>
      </c>
      <c r="BL16" s="1397">
        <f t="shared" si="46"/>
        <v>0</v>
      </c>
      <c r="BM16" s="1138">
        <f t="shared" si="47"/>
        <v>0</v>
      </c>
      <c r="BN16" s="1131">
        <f>VLOOKUP(W16,Lähtötiedot!$C$102:$D$112,2,FALSE)</f>
        <v>0</v>
      </c>
    </row>
    <row r="17" spans="1:66">
      <c r="A17" s="125" t="s">
        <v>312</v>
      </c>
      <c r="B17" s="113"/>
      <c r="C17" s="124">
        <v>30</v>
      </c>
      <c r="D17" s="1503" t="b">
        <f>_xlfn.IFNA(W17=VLOOKUP(W17,Lähtötiedot!$A$60:$A$70,1,FALSE),"VÄÄRIN!")</f>
        <v>1</v>
      </c>
      <c r="E17" s="116">
        <v>0</v>
      </c>
      <c r="F17" s="117">
        <v>0</v>
      </c>
      <c r="G17" s="996">
        <v>0</v>
      </c>
      <c r="H17" s="1918">
        <f t="shared" si="4"/>
        <v>0</v>
      </c>
      <c r="I17" s="1919">
        <f t="shared" si="5"/>
        <v>0</v>
      </c>
      <c r="J17" s="118">
        <f t="shared" si="6"/>
        <v>0</v>
      </c>
      <c r="K17" s="1127">
        <f t="shared" si="7"/>
        <v>0</v>
      </c>
      <c r="L17" s="1127" t="e">
        <f t="shared" si="8"/>
        <v>#VALUE!</v>
      </c>
      <c r="M17" s="118">
        <f t="shared" si="9"/>
        <v>0</v>
      </c>
      <c r="N17" s="119">
        <v>0.03</v>
      </c>
      <c r="O17" s="85">
        <f t="shared" si="1"/>
        <v>5.10192593202526E-2</v>
      </c>
      <c r="P17" s="93" t="str">
        <f t="shared" si="10"/>
        <v>Ei käytössä</v>
      </c>
      <c r="Q17" s="120">
        <f t="shared" si="11"/>
        <v>0</v>
      </c>
      <c r="R17" s="121">
        <v>0</v>
      </c>
      <c r="S17" s="122">
        <f t="shared" si="2"/>
        <v>0</v>
      </c>
      <c r="T17" s="122">
        <v>0</v>
      </c>
      <c r="U17" s="122">
        <f t="shared" si="48"/>
        <v>0</v>
      </c>
      <c r="V17" s="123">
        <f t="shared" si="12"/>
        <v>0</v>
      </c>
      <c r="W17" s="2393" t="s">
        <v>204</v>
      </c>
      <c r="X17" s="2411" t="str">
        <f t="shared" si="13"/>
        <v/>
      </c>
      <c r="Y17" s="1131" t="str">
        <f>IF(Lähtötiedot!$F$8&lt;&gt;"A","T","A")</f>
        <v>T</v>
      </c>
      <c r="Z17" s="1408">
        <f t="shared" si="14"/>
        <v>0</v>
      </c>
      <c r="AA17" s="1192">
        <v>1</v>
      </c>
      <c r="AB17" s="1192">
        <v>0.04</v>
      </c>
      <c r="AC17" s="1402">
        <f t="shared" si="15"/>
        <v>0</v>
      </c>
      <c r="AD17" s="1402">
        <f t="shared" si="16"/>
        <v>0</v>
      </c>
      <c r="AE17" s="1192">
        <v>0.05</v>
      </c>
      <c r="AF17" s="1138">
        <f t="shared" si="17"/>
        <v>0</v>
      </c>
      <c r="AH17" s="1397">
        <f t="shared" si="18"/>
        <v>0</v>
      </c>
      <c r="AI17" s="1138">
        <f t="shared" si="19"/>
        <v>0</v>
      </c>
      <c r="AJ17" s="1397">
        <f t="shared" si="20"/>
        <v>0</v>
      </c>
      <c r="AK17" s="1138">
        <f t="shared" si="21"/>
        <v>0</v>
      </c>
      <c r="AL17" s="1397">
        <f t="shared" si="22"/>
        <v>0</v>
      </c>
      <c r="AM17" s="1138">
        <f t="shared" si="23"/>
        <v>0</v>
      </c>
      <c r="AN17" s="1397">
        <f t="shared" si="24"/>
        <v>0</v>
      </c>
      <c r="AO17" s="1138">
        <f t="shared" si="25"/>
        <v>0</v>
      </c>
      <c r="AP17" s="1397">
        <f t="shared" si="26"/>
        <v>0</v>
      </c>
      <c r="AQ17" s="1138">
        <f t="shared" si="27"/>
        <v>0</v>
      </c>
      <c r="AS17" s="1397">
        <f t="shared" si="28"/>
        <v>0</v>
      </c>
      <c r="AT17" s="1138">
        <f t="shared" si="29"/>
        <v>0</v>
      </c>
      <c r="AU17" s="1397">
        <f t="shared" si="30"/>
        <v>0</v>
      </c>
      <c r="AV17" s="1138">
        <f t="shared" si="31"/>
        <v>0</v>
      </c>
      <c r="AW17" s="1397">
        <f t="shared" si="32"/>
        <v>0</v>
      </c>
      <c r="AX17" s="1138">
        <f t="shared" si="33"/>
        <v>0</v>
      </c>
      <c r="AY17" s="1397">
        <f t="shared" si="34"/>
        <v>0</v>
      </c>
      <c r="AZ17" s="1138">
        <f t="shared" si="35"/>
        <v>0</v>
      </c>
      <c r="BA17" s="1397">
        <f t="shared" si="36"/>
        <v>0</v>
      </c>
      <c r="BB17" s="1138">
        <f t="shared" si="37"/>
        <v>0</v>
      </c>
      <c r="BC17" s="1138"/>
      <c r="BD17" s="1397">
        <f t="shared" si="38"/>
        <v>0</v>
      </c>
      <c r="BE17" s="1138">
        <f t="shared" si="39"/>
        <v>0</v>
      </c>
      <c r="BF17" s="1397">
        <f t="shared" si="40"/>
        <v>0</v>
      </c>
      <c r="BG17" s="1138">
        <f t="shared" si="41"/>
        <v>0</v>
      </c>
      <c r="BH17" s="1397">
        <f t="shared" si="42"/>
        <v>0</v>
      </c>
      <c r="BI17" s="1138">
        <f t="shared" si="43"/>
        <v>0</v>
      </c>
      <c r="BJ17" s="1397">
        <f t="shared" si="44"/>
        <v>0</v>
      </c>
      <c r="BK17" s="1138">
        <f t="shared" si="45"/>
        <v>0</v>
      </c>
      <c r="BL17" s="1397">
        <f t="shared" si="46"/>
        <v>0</v>
      </c>
      <c r="BM17" s="1138">
        <f t="shared" si="47"/>
        <v>0</v>
      </c>
      <c r="BN17" s="1131">
        <f>VLOOKUP(W17,Lähtötiedot!$C$102:$D$112,2,FALSE)</f>
        <v>0</v>
      </c>
    </row>
    <row r="18" spans="1:66">
      <c r="A18" s="125" t="s">
        <v>314</v>
      </c>
      <c r="B18" s="113"/>
      <c r="C18" s="124">
        <v>30</v>
      </c>
      <c r="D18" s="1503" t="b">
        <f>_xlfn.IFNA(W18=VLOOKUP(W18,Lähtötiedot!$A$60:$A$70,1,FALSE),"VÄÄRIN!")</f>
        <v>1</v>
      </c>
      <c r="E18" s="116">
        <v>0</v>
      </c>
      <c r="F18" s="117">
        <v>0</v>
      </c>
      <c r="G18" s="996">
        <v>0</v>
      </c>
      <c r="H18" s="1918">
        <f t="shared" si="4"/>
        <v>0</v>
      </c>
      <c r="I18" s="1919">
        <f t="shared" si="5"/>
        <v>0</v>
      </c>
      <c r="J18" s="118">
        <f t="shared" si="6"/>
        <v>0</v>
      </c>
      <c r="K18" s="1127">
        <f t="shared" si="7"/>
        <v>0</v>
      </c>
      <c r="L18" s="1127" t="e">
        <f t="shared" si="8"/>
        <v>#VALUE!</v>
      </c>
      <c r="M18" s="118">
        <f t="shared" si="9"/>
        <v>0</v>
      </c>
      <c r="N18" s="119">
        <v>0</v>
      </c>
      <c r="O18" s="85">
        <f t="shared" si="1"/>
        <v>1</v>
      </c>
      <c r="P18" s="93" t="str">
        <f t="shared" si="10"/>
        <v>Ei käytössä</v>
      </c>
      <c r="Q18" s="120">
        <f t="shared" si="11"/>
        <v>0</v>
      </c>
      <c r="R18" s="121">
        <v>0</v>
      </c>
      <c r="S18" s="122">
        <f t="shared" si="2"/>
        <v>0</v>
      </c>
      <c r="T18" s="122">
        <v>0</v>
      </c>
      <c r="U18" s="122">
        <f t="shared" si="48"/>
        <v>0</v>
      </c>
      <c r="V18" s="123">
        <f t="shared" si="12"/>
        <v>0</v>
      </c>
      <c r="W18" s="2393" t="s">
        <v>204</v>
      </c>
      <c r="X18" s="2411" t="str">
        <f t="shared" si="13"/>
        <v/>
      </c>
      <c r="Y18" s="1131" t="str">
        <f>IF(Lähtötiedot!$F$8&lt;&gt;"A","T","A")</f>
        <v>T</v>
      </c>
      <c r="Z18" s="1408">
        <f t="shared" si="14"/>
        <v>0</v>
      </c>
      <c r="AA18" s="1192">
        <v>0</v>
      </c>
      <c r="AB18" s="1192">
        <v>0</v>
      </c>
      <c r="AC18" s="1402">
        <f t="shared" si="15"/>
        <v>0</v>
      </c>
      <c r="AD18" s="1402">
        <f t="shared" si="16"/>
        <v>0</v>
      </c>
      <c r="AE18" s="1192">
        <v>0</v>
      </c>
      <c r="AF18" s="1138">
        <f t="shared" si="17"/>
        <v>0</v>
      </c>
      <c r="AH18" s="1397">
        <f t="shared" si="18"/>
        <v>0</v>
      </c>
      <c r="AI18" s="1138">
        <f t="shared" si="19"/>
        <v>0</v>
      </c>
      <c r="AJ18" s="1397">
        <f t="shared" si="20"/>
        <v>0</v>
      </c>
      <c r="AK18" s="1138">
        <f t="shared" si="21"/>
        <v>0</v>
      </c>
      <c r="AL18" s="1397">
        <f t="shared" si="22"/>
        <v>0</v>
      </c>
      <c r="AM18" s="1138">
        <f t="shared" si="23"/>
        <v>0</v>
      </c>
      <c r="AN18" s="1397">
        <f t="shared" si="24"/>
        <v>0</v>
      </c>
      <c r="AO18" s="1138">
        <f t="shared" si="25"/>
        <v>0</v>
      </c>
      <c r="AP18" s="1397">
        <f t="shared" si="26"/>
        <v>0</v>
      </c>
      <c r="AQ18" s="1138">
        <f t="shared" si="27"/>
        <v>0</v>
      </c>
      <c r="AS18" s="1397">
        <f t="shared" si="28"/>
        <v>0</v>
      </c>
      <c r="AT18" s="1138">
        <f t="shared" si="29"/>
        <v>0</v>
      </c>
      <c r="AU18" s="1397">
        <f t="shared" si="30"/>
        <v>0</v>
      </c>
      <c r="AV18" s="1138">
        <f t="shared" si="31"/>
        <v>0</v>
      </c>
      <c r="AW18" s="1397">
        <f t="shared" si="32"/>
        <v>0</v>
      </c>
      <c r="AX18" s="1138">
        <f t="shared" si="33"/>
        <v>0</v>
      </c>
      <c r="AY18" s="1397">
        <f t="shared" si="34"/>
        <v>0</v>
      </c>
      <c r="AZ18" s="1138">
        <f t="shared" si="35"/>
        <v>0</v>
      </c>
      <c r="BA18" s="1397">
        <f t="shared" si="36"/>
        <v>0</v>
      </c>
      <c r="BB18" s="1138">
        <f t="shared" si="37"/>
        <v>0</v>
      </c>
      <c r="BC18" s="1138"/>
      <c r="BD18" s="1397">
        <f t="shared" si="38"/>
        <v>0</v>
      </c>
      <c r="BE18" s="1138">
        <f t="shared" si="39"/>
        <v>0</v>
      </c>
      <c r="BF18" s="1397">
        <f t="shared" si="40"/>
        <v>0</v>
      </c>
      <c r="BG18" s="1138">
        <f t="shared" si="41"/>
        <v>0</v>
      </c>
      <c r="BH18" s="1397">
        <f t="shared" si="42"/>
        <v>0</v>
      </c>
      <c r="BI18" s="1138">
        <f t="shared" si="43"/>
        <v>0</v>
      </c>
      <c r="BJ18" s="1397">
        <f t="shared" si="44"/>
        <v>0</v>
      </c>
      <c r="BK18" s="1138">
        <f t="shared" si="45"/>
        <v>0</v>
      </c>
      <c r="BL18" s="1397">
        <f t="shared" si="46"/>
        <v>0</v>
      </c>
      <c r="BM18" s="1138">
        <f t="shared" si="47"/>
        <v>0</v>
      </c>
      <c r="BN18" s="1131">
        <f>VLOOKUP(W18,Lähtötiedot!$C$102:$D$112,2,FALSE)</f>
        <v>0</v>
      </c>
    </row>
    <row r="19" spans="1:66">
      <c r="A19" s="125" t="s">
        <v>314</v>
      </c>
      <c r="B19" s="113"/>
      <c r="C19" s="124">
        <v>30</v>
      </c>
      <c r="D19" s="1503" t="b">
        <f>_xlfn.IFNA(W19=VLOOKUP(W19,Lähtötiedot!$A$60:$A$70,1,FALSE),"VÄÄRIN!")</f>
        <v>1</v>
      </c>
      <c r="E19" s="116">
        <v>0</v>
      </c>
      <c r="F19" s="828">
        <v>0</v>
      </c>
      <c r="G19" s="996">
        <v>0</v>
      </c>
      <c r="H19" s="1918">
        <f t="shared" si="4"/>
        <v>0</v>
      </c>
      <c r="I19" s="1919">
        <f t="shared" si="5"/>
        <v>0</v>
      </c>
      <c r="J19" s="118">
        <f t="shared" si="6"/>
        <v>0</v>
      </c>
      <c r="K19" s="1127">
        <f t="shared" si="7"/>
        <v>0</v>
      </c>
      <c r="L19" s="1127" t="e">
        <f t="shared" si="8"/>
        <v>#VALUE!</v>
      </c>
      <c r="M19" s="118">
        <f t="shared" si="9"/>
        <v>0</v>
      </c>
      <c r="N19" s="119">
        <v>0</v>
      </c>
      <c r="O19" s="85">
        <f t="shared" si="1"/>
        <v>1</v>
      </c>
      <c r="P19" s="93" t="str">
        <f t="shared" si="10"/>
        <v>Ei käytössä</v>
      </c>
      <c r="Q19" s="120">
        <f t="shared" si="11"/>
        <v>0</v>
      </c>
      <c r="R19" s="121">
        <v>0</v>
      </c>
      <c r="S19" s="122">
        <f t="shared" si="2"/>
        <v>0</v>
      </c>
      <c r="T19" s="122">
        <v>0</v>
      </c>
      <c r="U19" s="122">
        <f t="shared" si="48"/>
        <v>0</v>
      </c>
      <c r="V19" s="123">
        <f t="shared" si="12"/>
        <v>0</v>
      </c>
      <c r="W19" s="2393" t="s">
        <v>204</v>
      </c>
      <c r="X19" s="2411" t="str">
        <f t="shared" si="13"/>
        <v/>
      </c>
      <c r="Y19" s="1131" t="str">
        <f>IF(Lähtötiedot!$F$8&lt;&gt;"A","T","A")</f>
        <v>T</v>
      </c>
      <c r="Z19" s="1408">
        <f t="shared" si="14"/>
        <v>0</v>
      </c>
      <c r="AA19" s="1192">
        <v>0</v>
      </c>
      <c r="AB19" s="1192">
        <v>0</v>
      </c>
      <c r="AC19" s="1402">
        <f t="shared" si="15"/>
        <v>0</v>
      </c>
      <c r="AD19" s="1402">
        <f t="shared" si="16"/>
        <v>0</v>
      </c>
      <c r="AE19" s="1192">
        <v>0</v>
      </c>
      <c r="AF19" s="1138">
        <f t="shared" si="17"/>
        <v>0</v>
      </c>
      <c r="AH19" s="1397">
        <f t="shared" si="18"/>
        <v>0</v>
      </c>
      <c r="AI19" s="1138">
        <f t="shared" si="19"/>
        <v>0</v>
      </c>
      <c r="AJ19" s="1397">
        <f t="shared" si="20"/>
        <v>0</v>
      </c>
      <c r="AK19" s="1138">
        <f t="shared" si="21"/>
        <v>0</v>
      </c>
      <c r="AL19" s="1397">
        <f t="shared" si="22"/>
        <v>0</v>
      </c>
      <c r="AM19" s="1138">
        <f t="shared" si="23"/>
        <v>0</v>
      </c>
      <c r="AN19" s="1397">
        <f t="shared" si="24"/>
        <v>0</v>
      </c>
      <c r="AO19" s="1138">
        <f t="shared" si="25"/>
        <v>0</v>
      </c>
      <c r="AP19" s="1397">
        <f t="shared" si="26"/>
        <v>0</v>
      </c>
      <c r="AQ19" s="1138">
        <f t="shared" si="27"/>
        <v>0</v>
      </c>
      <c r="AS19" s="1397">
        <f t="shared" si="28"/>
        <v>0</v>
      </c>
      <c r="AT19" s="1138">
        <f t="shared" si="29"/>
        <v>0</v>
      </c>
      <c r="AU19" s="1397">
        <f t="shared" si="30"/>
        <v>0</v>
      </c>
      <c r="AV19" s="1138">
        <f t="shared" si="31"/>
        <v>0</v>
      </c>
      <c r="AW19" s="1397">
        <f t="shared" si="32"/>
        <v>0</v>
      </c>
      <c r="AX19" s="1138">
        <f t="shared" si="33"/>
        <v>0</v>
      </c>
      <c r="AY19" s="1397">
        <f t="shared" si="34"/>
        <v>0</v>
      </c>
      <c r="AZ19" s="1138">
        <f t="shared" si="35"/>
        <v>0</v>
      </c>
      <c r="BA19" s="1397">
        <f t="shared" si="36"/>
        <v>0</v>
      </c>
      <c r="BB19" s="1138">
        <f t="shared" si="37"/>
        <v>0</v>
      </c>
      <c r="BC19" s="1138"/>
      <c r="BD19" s="1397">
        <f t="shared" si="38"/>
        <v>0</v>
      </c>
      <c r="BE19" s="1138">
        <f t="shared" si="39"/>
        <v>0</v>
      </c>
      <c r="BF19" s="1397">
        <f t="shared" si="40"/>
        <v>0</v>
      </c>
      <c r="BG19" s="1138">
        <f t="shared" si="41"/>
        <v>0</v>
      </c>
      <c r="BH19" s="1397">
        <f t="shared" si="42"/>
        <v>0</v>
      </c>
      <c r="BI19" s="1138">
        <f t="shared" si="43"/>
        <v>0</v>
      </c>
      <c r="BJ19" s="1397">
        <f t="shared" si="44"/>
        <v>0</v>
      </c>
      <c r="BK19" s="1138">
        <f t="shared" si="45"/>
        <v>0</v>
      </c>
      <c r="BL19" s="1397">
        <f t="shared" si="46"/>
        <v>0</v>
      </c>
      <c r="BM19" s="1138">
        <f t="shared" si="47"/>
        <v>0</v>
      </c>
      <c r="BN19" s="1131">
        <f>VLOOKUP(W19,Lähtötiedot!$C$102:$D$112,2,FALSE)</f>
        <v>0</v>
      </c>
    </row>
    <row r="20" spans="1:66" ht="13.5" thickBot="1">
      <c r="A20" s="125" t="s">
        <v>314</v>
      </c>
      <c r="B20" s="113"/>
      <c r="C20" s="127">
        <v>30</v>
      </c>
      <c r="D20" s="1503" t="b">
        <f>_xlfn.IFNA(W20=VLOOKUP(W20,Lähtötiedot!$A$60:$A$70,1,FALSE),"VÄÄRIN!")</f>
        <v>1</v>
      </c>
      <c r="E20" s="827">
        <v>0</v>
      </c>
      <c r="F20" s="828">
        <v>0</v>
      </c>
      <c r="G20" s="996">
        <v>0</v>
      </c>
      <c r="H20" s="1918">
        <f t="shared" si="4"/>
        <v>0</v>
      </c>
      <c r="I20" s="1919">
        <f t="shared" si="5"/>
        <v>0</v>
      </c>
      <c r="J20" s="118">
        <f t="shared" si="6"/>
        <v>0</v>
      </c>
      <c r="K20" s="1127">
        <f t="shared" si="7"/>
        <v>0</v>
      </c>
      <c r="L20" s="1127" t="e">
        <f t="shared" si="8"/>
        <v>#VALUE!</v>
      </c>
      <c r="M20" s="118">
        <f t="shared" si="9"/>
        <v>0</v>
      </c>
      <c r="N20" s="119">
        <v>0</v>
      </c>
      <c r="O20" s="85">
        <f t="shared" si="1"/>
        <v>1</v>
      </c>
      <c r="P20" s="93" t="str">
        <f t="shared" si="10"/>
        <v>Ei käytössä</v>
      </c>
      <c r="Q20" s="120">
        <f t="shared" si="11"/>
        <v>0</v>
      </c>
      <c r="R20" s="129">
        <v>0</v>
      </c>
      <c r="S20" s="122">
        <f t="shared" si="2"/>
        <v>0</v>
      </c>
      <c r="T20" s="130">
        <v>0</v>
      </c>
      <c r="U20" s="122">
        <f t="shared" si="48"/>
        <v>0</v>
      </c>
      <c r="V20" s="131">
        <f t="shared" si="12"/>
        <v>0</v>
      </c>
      <c r="W20" s="2393" t="s">
        <v>204</v>
      </c>
      <c r="X20" s="2411" t="str">
        <f t="shared" si="13"/>
        <v/>
      </c>
      <c r="Y20" s="1131" t="str">
        <f>IF(Lähtötiedot!$F$8&lt;&gt;"A","T","A")</f>
        <v>T</v>
      </c>
      <c r="Z20" s="1408">
        <f t="shared" si="14"/>
        <v>0</v>
      </c>
      <c r="AA20" s="1192">
        <v>0</v>
      </c>
      <c r="AB20" s="1192">
        <v>0</v>
      </c>
      <c r="AC20" s="1402">
        <f t="shared" si="15"/>
        <v>0</v>
      </c>
      <c r="AD20" s="1402">
        <f t="shared" si="16"/>
        <v>0</v>
      </c>
      <c r="AE20" s="1192">
        <v>0</v>
      </c>
      <c r="AF20" s="1138">
        <f t="shared" si="17"/>
        <v>0</v>
      </c>
      <c r="AH20" s="1397">
        <f t="shared" si="18"/>
        <v>0</v>
      </c>
      <c r="AI20" s="1138">
        <f t="shared" si="19"/>
        <v>0</v>
      </c>
      <c r="AJ20" s="1397">
        <f t="shared" si="20"/>
        <v>0</v>
      </c>
      <c r="AK20" s="1138">
        <f t="shared" si="21"/>
        <v>0</v>
      </c>
      <c r="AL20" s="1397">
        <f t="shared" si="22"/>
        <v>0</v>
      </c>
      <c r="AM20" s="1138">
        <f t="shared" si="23"/>
        <v>0</v>
      </c>
      <c r="AN20" s="1397">
        <f t="shared" si="24"/>
        <v>0</v>
      </c>
      <c r="AO20" s="1138">
        <f t="shared" si="25"/>
        <v>0</v>
      </c>
      <c r="AP20" s="1397">
        <f t="shared" si="26"/>
        <v>0</v>
      </c>
      <c r="AQ20" s="1138">
        <f t="shared" si="27"/>
        <v>0</v>
      </c>
      <c r="AS20" s="1397">
        <f t="shared" si="28"/>
        <v>0</v>
      </c>
      <c r="AT20" s="1138">
        <f t="shared" si="29"/>
        <v>0</v>
      </c>
      <c r="AU20" s="1397">
        <f t="shared" si="30"/>
        <v>0</v>
      </c>
      <c r="AV20" s="1138">
        <f t="shared" si="31"/>
        <v>0</v>
      </c>
      <c r="AW20" s="1397">
        <f t="shared" si="32"/>
        <v>0</v>
      </c>
      <c r="AX20" s="1138">
        <f t="shared" si="33"/>
        <v>0</v>
      </c>
      <c r="AY20" s="1397">
        <f t="shared" si="34"/>
        <v>0</v>
      </c>
      <c r="AZ20" s="1138">
        <f t="shared" si="35"/>
        <v>0</v>
      </c>
      <c r="BA20" s="1397">
        <f t="shared" si="36"/>
        <v>0</v>
      </c>
      <c r="BB20" s="1138">
        <f t="shared" si="37"/>
        <v>0</v>
      </c>
      <c r="BC20" s="1138"/>
      <c r="BD20" s="1397">
        <f t="shared" si="38"/>
        <v>0</v>
      </c>
      <c r="BE20" s="1138">
        <f t="shared" si="39"/>
        <v>0</v>
      </c>
      <c r="BF20" s="1397">
        <f t="shared" si="40"/>
        <v>0</v>
      </c>
      <c r="BG20" s="1138">
        <f t="shared" si="41"/>
        <v>0</v>
      </c>
      <c r="BH20" s="1397">
        <f t="shared" si="42"/>
        <v>0</v>
      </c>
      <c r="BI20" s="1138">
        <f t="shared" si="43"/>
        <v>0</v>
      </c>
      <c r="BJ20" s="1397">
        <f t="shared" si="44"/>
        <v>0</v>
      </c>
      <c r="BK20" s="1138">
        <f t="shared" si="45"/>
        <v>0</v>
      </c>
      <c r="BL20" s="1397">
        <f t="shared" si="46"/>
        <v>0</v>
      </c>
      <c r="BM20" s="1138">
        <f t="shared" si="47"/>
        <v>0</v>
      </c>
      <c r="BN20" s="1131">
        <f>VLOOKUP(W20,Lähtötiedot!$C$102:$D$112,2,FALSE)</f>
        <v>0</v>
      </c>
    </row>
    <row r="21" spans="1:66" ht="20.25" customHeight="1">
      <c r="A21" s="132" t="s">
        <v>3</v>
      </c>
      <c r="B21" s="133"/>
      <c r="C21" s="134"/>
      <c r="D21" s="134"/>
      <c r="E21" s="134"/>
      <c r="F21" s="135">
        <f>SUM(F5:F20)</f>
        <v>0</v>
      </c>
      <c r="G21" s="135">
        <f>SUM(G5:G20)</f>
        <v>0</v>
      </c>
      <c r="H21" s="135"/>
      <c r="I21" s="136">
        <f>AVERAGE(I5:I18)</f>
        <v>0</v>
      </c>
      <c r="J21" s="118">
        <f>SUM(J5:J20)</f>
        <v>0</v>
      </c>
      <c r="K21" s="118"/>
      <c r="L21" s="118"/>
      <c r="M21" s="135">
        <f>SUM(M5:M20)</f>
        <v>0</v>
      </c>
      <c r="N21" s="137"/>
      <c r="O21" s="137"/>
      <c r="P21" s="137"/>
      <c r="Q21" s="138">
        <f t="shared" ref="Q21:V21" si="49">SUM(Q5:Q20)</f>
        <v>0</v>
      </c>
      <c r="R21" s="139">
        <f t="shared" si="49"/>
        <v>0</v>
      </c>
      <c r="S21" s="140">
        <f t="shared" si="49"/>
        <v>0</v>
      </c>
      <c r="T21" s="140">
        <f t="shared" si="49"/>
        <v>0</v>
      </c>
      <c r="U21" s="140">
        <f t="shared" si="49"/>
        <v>0</v>
      </c>
      <c r="V21" s="141">
        <f t="shared" si="49"/>
        <v>0</v>
      </c>
      <c r="W21" s="2659" t="s">
        <v>315</v>
      </c>
      <c r="X21" s="1597"/>
      <c r="Z21" s="1410">
        <f t="shared" ref="Z21" si="50">SUM(Z5:Z20)</f>
        <v>0</v>
      </c>
      <c r="AC21" s="1409">
        <f t="shared" ref="AC21" si="51">SUM(AC5:AC20)</f>
        <v>0</v>
      </c>
      <c r="AD21" s="1409">
        <f t="shared" ref="AD21:AF21" si="52">SUM(AD5:AD20)</f>
        <v>0</v>
      </c>
      <c r="AF21" s="1409">
        <f t="shared" si="52"/>
        <v>0</v>
      </c>
      <c r="AH21" s="1409">
        <f t="shared" ref="AH21:AQ21" si="53">SUM(AH5:AH20)</f>
        <v>0</v>
      </c>
      <c r="AI21" s="1409">
        <f t="shared" si="53"/>
        <v>0</v>
      </c>
      <c r="AJ21" s="1409">
        <f t="shared" si="53"/>
        <v>0</v>
      </c>
      <c r="AK21" s="1409">
        <f t="shared" si="53"/>
        <v>0</v>
      </c>
      <c r="AL21" s="1409">
        <f t="shared" si="53"/>
        <v>0</v>
      </c>
      <c r="AM21" s="1409">
        <f t="shared" si="53"/>
        <v>0</v>
      </c>
      <c r="AN21" s="1409">
        <f t="shared" si="53"/>
        <v>0</v>
      </c>
      <c r="AO21" s="1409">
        <f t="shared" si="53"/>
        <v>0</v>
      </c>
      <c r="AP21" s="1409">
        <f t="shared" si="53"/>
        <v>0</v>
      </c>
      <c r="AQ21" s="1409">
        <f t="shared" si="53"/>
        <v>0</v>
      </c>
      <c r="AS21" s="1409">
        <f>IF(SUM(AS5:AS20)&gt;0,SUM(AS5:AS20),0)</f>
        <v>0</v>
      </c>
      <c r="AT21" s="1409">
        <f t="shared" ref="AT21:BB21" si="54">IF(SUM(AT5:AT20)&gt;0,SUM(AT5:AT20),0)</f>
        <v>0</v>
      </c>
      <c r="AU21" s="1409">
        <f t="shared" si="54"/>
        <v>0</v>
      </c>
      <c r="AV21" s="1409">
        <f t="shared" si="54"/>
        <v>0</v>
      </c>
      <c r="AW21" s="1409">
        <f t="shared" si="54"/>
        <v>0</v>
      </c>
      <c r="AX21" s="1409">
        <f t="shared" si="54"/>
        <v>0</v>
      </c>
      <c r="AY21" s="1409">
        <f t="shared" si="54"/>
        <v>0</v>
      </c>
      <c r="AZ21" s="1409">
        <f t="shared" si="54"/>
        <v>0</v>
      </c>
      <c r="BA21" s="1409">
        <f t="shared" si="54"/>
        <v>0</v>
      </c>
      <c r="BB21" s="1409">
        <f t="shared" si="54"/>
        <v>0</v>
      </c>
      <c r="BC21" s="1464"/>
      <c r="BD21" s="1409">
        <f t="shared" ref="BD21:BM21" si="55">SUM(BD5:BD20)</f>
        <v>0</v>
      </c>
      <c r="BE21" s="1409">
        <f t="shared" si="55"/>
        <v>0</v>
      </c>
      <c r="BF21" s="1409">
        <f t="shared" si="55"/>
        <v>0</v>
      </c>
      <c r="BG21" s="1409">
        <f t="shared" si="55"/>
        <v>0</v>
      </c>
      <c r="BH21" s="1409">
        <f t="shared" si="55"/>
        <v>0</v>
      </c>
      <c r="BI21" s="1409">
        <f t="shared" si="55"/>
        <v>0</v>
      </c>
      <c r="BJ21" s="1409">
        <f t="shared" si="55"/>
        <v>0</v>
      </c>
      <c r="BK21" s="1409">
        <f t="shared" si="55"/>
        <v>0</v>
      </c>
      <c r="BL21" s="1409">
        <f t="shared" si="55"/>
        <v>0</v>
      </c>
      <c r="BM21" s="1409">
        <f t="shared" si="55"/>
        <v>0</v>
      </c>
    </row>
    <row r="22" spans="1:66">
      <c r="A22" s="133" t="s">
        <v>135</v>
      </c>
      <c r="B22" s="830" t="str">
        <f>IFERROR(AVERAGE(B5:B20),"")</f>
        <v/>
      </c>
      <c r="C22" s="142">
        <f>AVERAGE(C5:C20)</f>
        <v>8.25</v>
      </c>
      <c r="D22" s="142"/>
      <c r="E22" s="143"/>
      <c r="F22" s="144"/>
      <c r="G22" s="144"/>
      <c r="H22" s="144"/>
      <c r="I22" s="143"/>
      <c r="J22" s="145"/>
      <c r="K22" s="145"/>
      <c r="L22" s="145"/>
      <c r="M22" s="145"/>
      <c r="N22" s="146">
        <f>AVERAGE(N5:N20)</f>
        <v>2.4375000000000008E-2</v>
      </c>
      <c r="O22" s="147"/>
      <c r="P22" s="147"/>
      <c r="Q22" s="123"/>
      <c r="R22" s="145"/>
      <c r="S22" s="134"/>
      <c r="T22" s="134"/>
      <c r="U22" s="134"/>
      <c r="V22" s="133" t="s">
        <v>316</v>
      </c>
      <c r="W22" s="2660"/>
      <c r="X22" s="1597"/>
    </row>
    <row r="23" spans="1:66" ht="13.5" customHeight="1" thickBot="1">
      <c r="A23" s="133"/>
      <c r="B23" s="1596"/>
      <c r="C23" s="143"/>
      <c r="D23" s="143"/>
      <c r="E23" s="143"/>
      <c r="F23" s="4" t="s">
        <v>287</v>
      </c>
      <c r="G23" s="144"/>
      <c r="H23" s="144"/>
      <c r="I23" s="143"/>
      <c r="J23" s="145"/>
      <c r="K23" s="145"/>
      <c r="L23" s="145"/>
      <c r="M23" s="145"/>
      <c r="N23" s="147"/>
      <c r="O23" s="147"/>
      <c r="P23" s="147"/>
      <c r="Q23" s="123"/>
      <c r="R23" s="145"/>
      <c r="S23" s="134"/>
      <c r="T23" s="134"/>
      <c r="U23" s="134"/>
      <c r="V23" s="133"/>
      <c r="W23" s="1990"/>
      <c r="X23" s="1597"/>
      <c r="AA23" s="2668" t="s">
        <v>317</v>
      </c>
      <c r="AB23" s="2668"/>
      <c r="AC23" s="2668"/>
      <c r="AD23" s="2668"/>
      <c r="AE23" s="2668"/>
      <c r="AF23" s="2668"/>
      <c r="AG23" s="2668"/>
      <c r="AH23" s="2668"/>
      <c r="AI23" s="2668"/>
      <c r="AJ23" s="2668"/>
      <c r="AK23" s="2668"/>
      <c r="AL23" s="2668"/>
      <c r="AM23" s="2668"/>
      <c r="AN23" s="2668"/>
      <c r="AO23" s="2668"/>
      <c r="AP23" s="2668"/>
      <c r="AQ23" s="2668"/>
    </row>
    <row r="24" spans="1:66" ht="13.5" thickBot="1">
      <c r="F24" s="1598" t="str">
        <f>IF('Rakenna TULOSENNUSTE'!A107&lt;&gt;"",'Rakenna TULOSENNUSTE'!A107,"Ei")</f>
        <v>x</v>
      </c>
      <c r="G24" s="903" t="str">
        <f>Lähtötiedot!$A$60</f>
        <v>kasvi</v>
      </c>
      <c r="M24" s="148">
        <f>SUMIF($W$5:$W$20,G24,$M$5:$M$20)</f>
        <v>0</v>
      </c>
      <c r="N24" s="149"/>
      <c r="O24" s="149"/>
      <c r="P24" s="149"/>
      <c r="Q24" s="150">
        <f>SUMIF($W$5:$W$20,G24,$Q$5:$Q$20)</f>
        <v>0</v>
      </c>
      <c r="R24" s="1577">
        <f>SUMIF($W$5:$W$20,G24,$R$5:$R$20)</f>
        <v>0</v>
      </c>
      <c r="S24" s="1577">
        <f>SUMIF($W$5:$W$20,G24,$S$5:$S$20)</f>
        <v>0</v>
      </c>
      <c r="T24" s="1577">
        <f>SUMIF($W$5:$W$20,G24,$T$5:$T$20)</f>
        <v>0</v>
      </c>
      <c r="U24" s="1577">
        <f>SUMIF($W$5:$W$20,G24,$U$5:$U$20)</f>
        <v>0</v>
      </c>
      <c r="V24" s="153">
        <f>SUMIF($W$5:$W$20,G24,$V$5:$V$20)</f>
        <v>0</v>
      </c>
      <c r="W24" s="1579">
        <f>SUM(R24:U24)</f>
        <v>0</v>
      </c>
      <c r="X24" s="2406"/>
      <c r="Y24" s="52"/>
      <c r="Z24" s="151" t="str">
        <f t="shared" ref="Z24:Z34" si="56">IF(V24=0,"",V24/$V$21)</f>
        <v/>
      </c>
      <c r="AC24" s="150">
        <f t="shared" ref="AC24:AD34" si="57">IF($F24="x",SUMIF($W$5:$W$20,$G24,AC$5:AC$20),0)</f>
        <v>0</v>
      </c>
      <c r="AD24" s="1601">
        <f>IF($F24="x",SUMIF($W$5:$W$20,$G24,AD$5:AD$20),0)</f>
        <v>0</v>
      </c>
      <c r="AF24" s="150">
        <f>IF($F24="x",SUMIF($W$5:$W$20,G24,$AF$5:$AF$20),0)</f>
        <v>0</v>
      </c>
      <c r="AH24" s="150">
        <f t="shared" ref="AH24:AO34" si="58">IF($F24="x",SUMIF($W$5:$W$20,$G24,AH$5:AH$20),0)</f>
        <v>0</v>
      </c>
      <c r="AI24" s="1601">
        <f>IF($F24="x",SUMIF($W$5:$W$20,$G24,AI$5:AI$20),0)</f>
        <v>0</v>
      </c>
      <c r="AJ24" s="150">
        <f t="shared" ref="AJ24:AJ27" si="59">IF($F24="x",SUMIF($W$5:$W$20,$G24,AJ$5:AJ$20),0)</f>
        <v>0</v>
      </c>
      <c r="AK24" s="1601">
        <f>IF($F24="x",SUMIF($W$5:$W$20,$G24,AK$5:AK$20),0)</f>
        <v>0</v>
      </c>
      <c r="AL24" s="150">
        <f t="shared" ref="AL24:AL27" si="60">IF($F24="x",SUMIF($W$5:$W$20,$G24,AL$5:AL$20),0)</f>
        <v>0</v>
      </c>
      <c r="AM24" s="1601">
        <f>IF($F24="x",SUMIF($W$5:$W$20,$G24,AM$5:AM$20),0)</f>
        <v>0</v>
      </c>
      <c r="AN24" s="150">
        <f t="shared" ref="AN24:AN27" si="61">IF($F24="x",SUMIF($W$5:$W$20,$G24,AN$5:AN$20),0)</f>
        <v>0</v>
      </c>
      <c r="AO24" s="1601">
        <f>IF($F24="x",SUMIF($W$5:$W$20,$G24,AO$5:AO$20),0)</f>
        <v>0</v>
      </c>
      <c r="AP24" s="150">
        <f t="shared" ref="AP24:AQ27" si="62">IF($F24="x",SUMIF($W$5:$W$20,$G24,AP$5:AP$20),0)</f>
        <v>0</v>
      </c>
      <c r="AQ24" s="150">
        <f t="shared" si="62"/>
        <v>0</v>
      </c>
    </row>
    <row r="25" spans="1:66" ht="13.5" thickBot="1">
      <c r="F25" s="1598" t="str">
        <f>IF('Rakenna TULOSENNUSTE'!A108&lt;&gt;"",'Rakenna TULOSENNUSTE'!A108,"Ei")</f>
        <v>X</v>
      </c>
      <c r="G25" s="903" t="str">
        <f>Lähtötiedot!$A$61</f>
        <v>nurmi</v>
      </c>
      <c r="M25" s="148">
        <f t="shared" ref="M25:M34" si="63">SUMIF($W$5:$W$20,G25,$M$5:$M$20)</f>
        <v>0</v>
      </c>
      <c r="N25" s="149"/>
      <c r="O25" s="149"/>
      <c r="P25" s="149"/>
      <c r="Q25" s="150">
        <f t="shared" ref="Q25:Q34" si="64">SUMIF($W$5:$W$20,G25,$Q$5:$Q$20)</f>
        <v>0</v>
      </c>
      <c r="R25" s="1577">
        <f t="shared" ref="R25:R34" si="65">SUMIF($W$5:$W$20,G25,$R$5:$R$20)</f>
        <v>0</v>
      </c>
      <c r="S25" s="1577">
        <f t="shared" ref="S25:S34" si="66">SUMIF($W$5:$W$20,G25,$S$5:$S$20)</f>
        <v>0</v>
      </c>
      <c r="T25" s="1577">
        <f t="shared" ref="T25:T34" si="67">SUMIF($W$5:$W$20,G25,$T$5:$T$20)</f>
        <v>0</v>
      </c>
      <c r="U25" s="1577">
        <f t="shared" ref="U25:U34" si="68">SUMIF($W$5:$W$20,G25,$U$5:$U$20)</f>
        <v>0</v>
      </c>
      <c r="V25" s="153">
        <f t="shared" ref="V25:V34" si="69">SUMIF($W$5:$W$20,G25,$V$5:$V$20)</f>
        <v>0</v>
      </c>
      <c r="W25" s="1579">
        <f t="shared" ref="W25:W34" si="70">SUM(R25:U25)</f>
        <v>0</v>
      </c>
      <c r="X25" s="2406"/>
      <c r="Y25" s="52"/>
      <c r="Z25" s="151" t="str">
        <f t="shared" si="56"/>
        <v/>
      </c>
      <c r="AC25" s="150">
        <f t="shared" si="57"/>
        <v>0</v>
      </c>
      <c r="AD25" s="1601">
        <f>IF($F25="x",SUMIF($W$5:$W$20,$G25,AD$5:AD$20),0)</f>
        <v>0</v>
      </c>
      <c r="AF25" s="150">
        <f t="shared" ref="AF25:AF34" si="71">IF($F25="x",SUMIF($W$5:$W$20,G25,$AF$5:$AF$20),0)</f>
        <v>0</v>
      </c>
      <c r="AH25" s="150">
        <f t="shared" si="58"/>
        <v>0</v>
      </c>
      <c r="AI25" s="1601">
        <f>IF($F25="x",SUMIF($W$5:$W$20,$G25,AI$5:AI$20),0)</f>
        <v>0</v>
      </c>
      <c r="AJ25" s="150">
        <f t="shared" si="59"/>
        <v>0</v>
      </c>
      <c r="AK25" s="1601">
        <f>IF($F25="x",SUMIF($W$5:$W$20,$G25,AK$5:AK$20),0)</f>
        <v>0</v>
      </c>
      <c r="AL25" s="150">
        <f t="shared" si="60"/>
        <v>0</v>
      </c>
      <c r="AM25" s="1601">
        <f>IF($F25="x",SUMIF($W$5:$W$20,$G25,AM$5:AM$20),0)</f>
        <v>0</v>
      </c>
      <c r="AN25" s="150">
        <f t="shared" si="61"/>
        <v>0</v>
      </c>
      <c r="AO25" s="1601">
        <f>IF($F25="x",SUMIF($W$5:$W$20,$G25,AO$5:AO$20),0)</f>
        <v>0</v>
      </c>
      <c r="AP25" s="150">
        <f t="shared" si="62"/>
        <v>0</v>
      </c>
      <c r="AQ25" s="150">
        <f t="shared" si="62"/>
        <v>0</v>
      </c>
    </row>
    <row r="26" spans="1:66" ht="13.5" thickBot="1">
      <c r="A26" s="105"/>
      <c r="B26" s="105"/>
      <c r="F26" s="1598" t="str">
        <f>IF('Rakenna TULOSENNUSTE'!A109&lt;&gt;"",'Rakenna TULOSENNUSTE'!A109,"Ei")</f>
        <v>X</v>
      </c>
      <c r="G26" s="903" t="str">
        <f>Lähtötiedot!$A$62</f>
        <v>eläin</v>
      </c>
      <c r="J26" s="152"/>
      <c r="K26" s="152"/>
      <c r="L26" s="152"/>
      <c r="M26" s="148">
        <f t="shared" si="63"/>
        <v>0</v>
      </c>
      <c r="N26" s="149"/>
      <c r="O26" s="149"/>
      <c r="P26" s="149"/>
      <c r="Q26" s="150">
        <f t="shared" si="64"/>
        <v>0</v>
      </c>
      <c r="R26" s="1577">
        <f t="shared" si="65"/>
        <v>0</v>
      </c>
      <c r="S26" s="1577">
        <f t="shared" si="66"/>
        <v>0</v>
      </c>
      <c r="T26" s="1577">
        <f t="shared" si="67"/>
        <v>0</v>
      </c>
      <c r="U26" s="1577">
        <f t="shared" si="68"/>
        <v>0</v>
      </c>
      <c r="V26" s="153">
        <f t="shared" si="69"/>
        <v>0</v>
      </c>
      <c r="W26" s="1579">
        <f t="shared" si="70"/>
        <v>0</v>
      </c>
      <c r="X26" s="2406"/>
      <c r="Y26" s="52"/>
      <c r="Z26" s="151" t="str">
        <f t="shared" si="56"/>
        <v/>
      </c>
      <c r="AC26" s="150">
        <f t="shared" si="57"/>
        <v>0</v>
      </c>
      <c r="AD26" s="1601">
        <f t="shared" si="57"/>
        <v>0</v>
      </c>
      <c r="AF26" s="150">
        <f t="shared" si="71"/>
        <v>0</v>
      </c>
      <c r="AH26" s="150">
        <f t="shared" si="58"/>
        <v>0</v>
      </c>
      <c r="AI26" s="1601">
        <f t="shared" si="58"/>
        <v>0</v>
      </c>
      <c r="AJ26" s="150">
        <f t="shared" si="59"/>
        <v>0</v>
      </c>
      <c r="AK26" s="1601">
        <f t="shared" si="58"/>
        <v>0</v>
      </c>
      <c r="AL26" s="150">
        <f t="shared" si="60"/>
        <v>0</v>
      </c>
      <c r="AM26" s="1601">
        <f t="shared" si="58"/>
        <v>0</v>
      </c>
      <c r="AN26" s="150">
        <f t="shared" si="61"/>
        <v>0</v>
      </c>
      <c r="AO26" s="1601">
        <f t="shared" si="58"/>
        <v>0</v>
      </c>
      <c r="AP26" s="150">
        <f t="shared" si="62"/>
        <v>0</v>
      </c>
      <c r="AQ26" s="150">
        <f t="shared" si="62"/>
        <v>0</v>
      </c>
    </row>
    <row r="27" spans="1:66" ht="13.5" thickBot="1">
      <c r="F27" s="1598" t="str">
        <f>IF('Rakenna TULOSENNUSTE'!A110&lt;&gt;"",'Rakenna TULOSENNUSTE'!A110,"Ei")</f>
        <v>X</v>
      </c>
      <c r="G27" s="903" t="str">
        <f>Lähtötiedot!$A$63</f>
        <v>puutarha</v>
      </c>
      <c r="M27" s="148">
        <f t="shared" si="63"/>
        <v>0</v>
      </c>
      <c r="N27" s="149"/>
      <c r="O27" s="149"/>
      <c r="P27" s="149"/>
      <c r="Q27" s="150">
        <f t="shared" si="64"/>
        <v>0</v>
      </c>
      <c r="R27" s="1577">
        <f t="shared" si="65"/>
        <v>0</v>
      </c>
      <c r="S27" s="1577">
        <f t="shared" si="66"/>
        <v>0</v>
      </c>
      <c r="T27" s="1577">
        <f t="shared" si="67"/>
        <v>0</v>
      </c>
      <c r="U27" s="1577">
        <f t="shared" si="68"/>
        <v>0</v>
      </c>
      <c r="V27" s="153">
        <f t="shared" si="69"/>
        <v>0</v>
      </c>
      <c r="W27" s="1579">
        <f t="shared" si="70"/>
        <v>0</v>
      </c>
      <c r="X27" s="2406"/>
      <c r="Y27" s="52"/>
      <c r="Z27" s="154" t="str">
        <f t="shared" si="56"/>
        <v/>
      </c>
      <c r="AC27" s="150">
        <f t="shared" si="57"/>
        <v>0</v>
      </c>
      <c r="AD27" s="1601">
        <f t="shared" si="57"/>
        <v>0</v>
      </c>
      <c r="AF27" s="150">
        <f t="shared" si="71"/>
        <v>0</v>
      </c>
      <c r="AH27" s="150">
        <f t="shared" si="58"/>
        <v>0</v>
      </c>
      <c r="AI27" s="1601">
        <f t="shared" si="58"/>
        <v>0</v>
      </c>
      <c r="AJ27" s="150">
        <f t="shared" si="59"/>
        <v>0</v>
      </c>
      <c r="AK27" s="1601">
        <f t="shared" si="58"/>
        <v>0</v>
      </c>
      <c r="AL27" s="150">
        <f t="shared" si="60"/>
        <v>0</v>
      </c>
      <c r="AM27" s="1601">
        <f t="shared" si="58"/>
        <v>0</v>
      </c>
      <c r="AN27" s="150">
        <f t="shared" si="61"/>
        <v>0</v>
      </c>
      <c r="AO27" s="1601">
        <f t="shared" si="58"/>
        <v>0</v>
      </c>
      <c r="AP27" s="150">
        <f t="shared" si="62"/>
        <v>0</v>
      </c>
      <c r="AQ27" s="150">
        <f t="shared" si="62"/>
        <v>0</v>
      </c>
    </row>
    <row r="28" spans="1:66" ht="13.5" thickBot="1">
      <c r="F28" s="1598" t="str">
        <f>IF('Rakenna TULOSENNUSTE'!A111&lt;&gt;"",'Rakenna TULOSENNUSTE'!A111,"Ei")</f>
        <v>X</v>
      </c>
      <c r="G28" s="903" t="str">
        <f>Lähtötiedot!$A$64</f>
        <v>urakka</v>
      </c>
      <c r="M28" s="148">
        <f t="shared" si="63"/>
        <v>0</v>
      </c>
      <c r="N28" s="149"/>
      <c r="O28" s="149"/>
      <c r="P28" s="149"/>
      <c r="Q28" s="150">
        <f t="shared" si="64"/>
        <v>0</v>
      </c>
      <c r="R28" s="1577">
        <f t="shared" si="65"/>
        <v>0</v>
      </c>
      <c r="S28" s="1577">
        <f t="shared" si="66"/>
        <v>0</v>
      </c>
      <c r="T28" s="1577">
        <f t="shared" si="67"/>
        <v>0</v>
      </c>
      <c r="U28" s="1577">
        <f t="shared" si="68"/>
        <v>0</v>
      </c>
      <c r="V28" s="153">
        <f t="shared" si="69"/>
        <v>0</v>
      </c>
      <c r="W28" s="1579">
        <f t="shared" si="70"/>
        <v>0</v>
      </c>
      <c r="X28" s="2406"/>
      <c r="Y28" s="52"/>
      <c r="Z28" s="154" t="str">
        <f t="shared" si="56"/>
        <v/>
      </c>
      <c r="AA28" s="134"/>
      <c r="AC28" s="150">
        <f>IF($F28="x",SUMIF($W$5:$W$20,$G28,AC$5:AC$20),0)</f>
        <v>0</v>
      </c>
      <c r="AD28" s="1601">
        <f t="shared" si="57"/>
        <v>0</v>
      </c>
      <c r="AF28" s="150">
        <f t="shared" si="71"/>
        <v>0</v>
      </c>
      <c r="AH28" s="150">
        <f>IF($F28="x",SUMIF($W$5:$W$20,$G28,AH$5:AH$20),0)</f>
        <v>0</v>
      </c>
      <c r="AI28" s="1601">
        <f t="shared" si="58"/>
        <v>0</v>
      </c>
      <c r="AJ28" s="150">
        <f>IF($F28="x",SUMIF($W$5:$W$20,$G28,AJ$5:AJ$20),0)</f>
        <v>0</v>
      </c>
      <c r="AK28" s="1601">
        <f t="shared" si="58"/>
        <v>0</v>
      </c>
      <c r="AL28" s="150">
        <f>IF($F28="x",SUMIF($W$5:$W$20,$G28,AL$5:AL$20),0)</f>
        <v>0</v>
      </c>
      <c r="AM28" s="1601">
        <f t="shared" si="58"/>
        <v>0</v>
      </c>
      <c r="AN28" s="150">
        <f>IF($F28="x",SUMIF($W$5:$W$20,$G28,AN$5:AN$20),0)</f>
        <v>0</v>
      </c>
      <c r="AO28" s="1601">
        <f t="shared" si="58"/>
        <v>0</v>
      </c>
      <c r="AP28" s="150">
        <f>IF($F28="x",SUMIF($W$5:$W$20,$G28,AP$5:AP$20),0)</f>
        <v>0</v>
      </c>
      <c r="AQ28" s="150">
        <f>IF($F28="x",SUMIF($W$5:$W$20,$G28,AQ$5:AQ$20),0)</f>
        <v>0</v>
      </c>
    </row>
    <row r="29" spans="1:66" ht="15.75" customHeight="1" thickBot="1">
      <c r="A29" s="1"/>
      <c r="F29" s="1598" t="str">
        <f>IF('Rakenna TULOSENNUSTE'!A112&lt;&gt;"",'Rakenna TULOSENNUSTE'!A112,"Ei")</f>
        <v>x</v>
      </c>
      <c r="G29" s="903" t="str">
        <f>Lähtötiedot!$A$65</f>
        <v>jatkoja</v>
      </c>
      <c r="I29" s="155"/>
      <c r="M29" s="148">
        <f t="shared" si="63"/>
        <v>0</v>
      </c>
      <c r="Q29" s="150">
        <f>SUMIF($W$5:$W$20,G29,$Q$5:$Q$20)</f>
        <v>0</v>
      </c>
      <c r="R29" s="1577">
        <f t="shared" si="65"/>
        <v>0</v>
      </c>
      <c r="S29" s="1577">
        <f t="shared" si="66"/>
        <v>0</v>
      </c>
      <c r="T29" s="1577">
        <f t="shared" si="67"/>
        <v>0</v>
      </c>
      <c r="U29" s="1577">
        <f t="shared" si="68"/>
        <v>0</v>
      </c>
      <c r="V29" s="153">
        <f t="shared" si="69"/>
        <v>0</v>
      </c>
      <c r="W29" s="1579">
        <f t="shared" si="70"/>
        <v>0</v>
      </c>
      <c r="X29" s="2406"/>
      <c r="Y29" s="52"/>
      <c r="Z29" s="154" t="str">
        <f t="shared" si="56"/>
        <v/>
      </c>
      <c r="AA29" s="134"/>
      <c r="AC29" s="150">
        <f t="shared" ref="AC29:AC34" si="72">IF($F29="x",SUMIF($W$5:$W$20,$G29,AC$5:AC$20),0)</f>
        <v>0</v>
      </c>
      <c r="AD29" s="1601">
        <f t="shared" si="57"/>
        <v>0</v>
      </c>
      <c r="AF29" s="150">
        <f t="shared" si="71"/>
        <v>0</v>
      </c>
      <c r="AH29" s="150">
        <f t="shared" ref="AH29:AH34" si="73">IF($F29="x",SUMIF($W$5:$W$20,$G29,AH$5:AH$20),0)</f>
        <v>0</v>
      </c>
      <c r="AI29" s="1601">
        <f t="shared" si="58"/>
        <v>0</v>
      </c>
      <c r="AJ29" s="150">
        <f t="shared" ref="AJ29:AJ34" si="74">IF($F29="x",SUMIF($W$5:$W$20,$G29,AJ$5:AJ$20),0)</f>
        <v>0</v>
      </c>
      <c r="AK29" s="1601">
        <f t="shared" si="58"/>
        <v>0</v>
      </c>
      <c r="AL29" s="150">
        <f t="shared" ref="AL29:AL34" si="75">IF($F29="x",SUMIF($W$5:$W$20,$G29,AL$5:AL$20),0)</f>
        <v>0</v>
      </c>
      <c r="AM29" s="1601">
        <f t="shared" si="58"/>
        <v>0</v>
      </c>
      <c r="AN29" s="150">
        <f t="shared" ref="AN29:AN34" si="76">IF($F29="x",SUMIF($W$5:$W$20,$G29,AN$5:AN$20),0)</f>
        <v>0</v>
      </c>
      <c r="AO29" s="1601">
        <f t="shared" si="58"/>
        <v>0</v>
      </c>
      <c r="AP29" s="150">
        <f t="shared" ref="AP29:AQ34" si="77">IF($F29="x",SUMIF($W$5:$W$20,$G29,AP$5:AP$20),0)</f>
        <v>0</v>
      </c>
      <c r="AQ29" s="150">
        <f t="shared" si="77"/>
        <v>0</v>
      </c>
    </row>
    <row r="30" spans="1:66" ht="15.75" customHeight="1" thickBot="1">
      <c r="A30" s="1"/>
      <c r="F30" s="1598" t="str">
        <f>IF('Rakenna TULOSENNUSTE'!A113&lt;&gt;"",'Rakenna TULOSENNUSTE'!A113,"Ei")</f>
        <v>Ei</v>
      </c>
      <c r="G30" s="903" t="str">
        <f>Lähtötiedot!$A$66</f>
        <v>metsä</v>
      </c>
      <c r="I30" s="155"/>
      <c r="M30" s="148">
        <f t="shared" si="63"/>
        <v>0</v>
      </c>
      <c r="Q30" s="150">
        <f t="shared" si="64"/>
        <v>0</v>
      </c>
      <c r="R30" s="1577">
        <f t="shared" si="65"/>
        <v>0</v>
      </c>
      <c r="S30" s="1577">
        <f t="shared" si="66"/>
        <v>0</v>
      </c>
      <c r="T30" s="1577">
        <f t="shared" si="67"/>
        <v>0</v>
      </c>
      <c r="U30" s="1577">
        <f t="shared" si="68"/>
        <v>0</v>
      </c>
      <c r="V30" s="153">
        <f t="shared" si="69"/>
        <v>0</v>
      </c>
      <c r="W30" s="1579">
        <f t="shared" si="70"/>
        <v>0</v>
      </c>
      <c r="X30" s="2406"/>
      <c r="Y30" s="52"/>
      <c r="Z30" s="154" t="str">
        <f t="shared" si="56"/>
        <v/>
      </c>
      <c r="AA30" s="134"/>
      <c r="AC30" s="150">
        <f t="shared" si="72"/>
        <v>0</v>
      </c>
      <c r="AD30" s="1601">
        <f t="shared" si="57"/>
        <v>0</v>
      </c>
      <c r="AF30" s="150">
        <f t="shared" si="71"/>
        <v>0</v>
      </c>
      <c r="AH30" s="150">
        <f t="shared" si="73"/>
        <v>0</v>
      </c>
      <c r="AI30" s="1601">
        <f t="shared" si="58"/>
        <v>0</v>
      </c>
      <c r="AJ30" s="150">
        <f t="shared" si="74"/>
        <v>0</v>
      </c>
      <c r="AK30" s="1601">
        <f t="shared" si="58"/>
        <v>0</v>
      </c>
      <c r="AL30" s="150">
        <f t="shared" si="75"/>
        <v>0</v>
      </c>
      <c r="AM30" s="1601">
        <f t="shared" si="58"/>
        <v>0</v>
      </c>
      <c r="AN30" s="150">
        <f t="shared" si="76"/>
        <v>0</v>
      </c>
      <c r="AO30" s="1601">
        <f t="shared" si="58"/>
        <v>0</v>
      </c>
      <c r="AP30" s="150">
        <f t="shared" si="77"/>
        <v>0</v>
      </c>
      <c r="AQ30" s="150">
        <f t="shared" si="77"/>
        <v>0</v>
      </c>
    </row>
    <row r="31" spans="1:66" ht="12.75" customHeight="1" thickBot="1">
      <c r="B31"/>
      <c r="C31" s="156"/>
      <c r="D31" s="2657" t="s">
        <v>318</v>
      </c>
      <c r="E31"/>
      <c r="F31" s="1598" t="str">
        <f>IF('Rakenna TULOSENNUSTE'!A114&lt;&gt;"",'Rakenna TULOSENNUSTE'!A114,"Ei")</f>
        <v>Ei</v>
      </c>
      <c r="G31" s="903" t="str">
        <f>Lähtötiedot!$A$67</f>
        <v>evl</v>
      </c>
      <c r="H31"/>
      <c r="I31" s="157"/>
      <c r="J31"/>
      <c r="K31"/>
      <c r="L31"/>
      <c r="M31" s="148">
        <f t="shared" si="63"/>
        <v>0</v>
      </c>
      <c r="N31" s="521"/>
      <c r="O31" s="521"/>
      <c r="P31" s="521"/>
      <c r="Q31" s="150">
        <f t="shared" si="64"/>
        <v>0</v>
      </c>
      <c r="R31" s="1577">
        <f t="shared" si="65"/>
        <v>0</v>
      </c>
      <c r="S31" s="1577">
        <f t="shared" si="66"/>
        <v>0</v>
      </c>
      <c r="T31" s="1577">
        <f t="shared" si="67"/>
        <v>0</v>
      </c>
      <c r="U31" s="1577">
        <f t="shared" si="68"/>
        <v>0</v>
      </c>
      <c r="V31" s="153">
        <f t="shared" si="69"/>
        <v>0</v>
      </c>
      <c r="W31" s="1579">
        <f t="shared" si="70"/>
        <v>0</v>
      </c>
      <c r="X31" s="2406"/>
      <c r="Y31" s="52"/>
      <c r="Z31" s="154" t="str">
        <f t="shared" si="56"/>
        <v/>
      </c>
      <c r="AA31" s="134"/>
      <c r="AC31" s="150">
        <f t="shared" si="72"/>
        <v>0</v>
      </c>
      <c r="AD31" s="1601">
        <f t="shared" si="57"/>
        <v>0</v>
      </c>
      <c r="AF31" s="150">
        <f t="shared" si="71"/>
        <v>0</v>
      </c>
      <c r="AH31" s="150">
        <f t="shared" si="73"/>
        <v>0</v>
      </c>
      <c r="AI31" s="1601">
        <f t="shared" si="58"/>
        <v>0</v>
      </c>
      <c r="AJ31" s="150">
        <f t="shared" si="74"/>
        <v>0</v>
      </c>
      <c r="AK31" s="1601">
        <f t="shared" si="58"/>
        <v>0</v>
      </c>
      <c r="AL31" s="150">
        <f t="shared" si="75"/>
        <v>0</v>
      </c>
      <c r="AM31" s="1601">
        <f t="shared" si="58"/>
        <v>0</v>
      </c>
      <c r="AN31" s="150">
        <f t="shared" si="76"/>
        <v>0</v>
      </c>
      <c r="AO31" s="1601">
        <f t="shared" si="58"/>
        <v>0</v>
      </c>
      <c r="AP31" s="150">
        <f t="shared" si="77"/>
        <v>0</v>
      </c>
      <c r="AQ31" s="150">
        <f t="shared" si="77"/>
        <v>0</v>
      </c>
    </row>
    <row r="32" spans="1:66" ht="12.75" customHeight="1" thickBot="1">
      <c r="B32"/>
      <c r="C32" s="156"/>
      <c r="D32" s="2657"/>
      <c r="E32"/>
      <c r="F32" s="1598" t="str">
        <f>IF('Rakenna TULOSENNUSTE'!A115&lt;&gt;"",'Rakenna TULOSENNUSTE'!A115,"Ei")</f>
        <v>X</v>
      </c>
      <c r="G32" s="903" t="str">
        <f>Lähtötiedot!$A$68</f>
        <v>mansikka</v>
      </c>
      <c r="H32"/>
      <c r="I32" s="157"/>
      <c r="J32"/>
      <c r="K32"/>
      <c r="L32"/>
      <c r="M32" s="148">
        <f t="shared" si="63"/>
        <v>0</v>
      </c>
      <c r="N32" s="521"/>
      <c r="O32" s="521"/>
      <c r="P32" s="521"/>
      <c r="Q32" s="150">
        <f t="shared" si="64"/>
        <v>0</v>
      </c>
      <c r="R32" s="1577">
        <f t="shared" si="65"/>
        <v>0</v>
      </c>
      <c r="S32" s="1577">
        <f t="shared" si="66"/>
        <v>0</v>
      </c>
      <c r="T32" s="1577">
        <f t="shared" si="67"/>
        <v>0</v>
      </c>
      <c r="U32" s="1577">
        <f t="shared" si="68"/>
        <v>0</v>
      </c>
      <c r="V32" s="153">
        <f t="shared" si="69"/>
        <v>0</v>
      </c>
      <c r="W32" s="1579">
        <f t="shared" si="70"/>
        <v>0</v>
      </c>
      <c r="X32" s="2406"/>
      <c r="Y32" s="52"/>
      <c r="Z32" s="154" t="str">
        <f t="shared" si="56"/>
        <v/>
      </c>
      <c r="AA32" s="134"/>
      <c r="AC32" s="150">
        <f t="shared" si="72"/>
        <v>0</v>
      </c>
      <c r="AD32" s="1601">
        <f t="shared" si="57"/>
        <v>0</v>
      </c>
      <c r="AF32" s="150">
        <f t="shared" si="71"/>
        <v>0</v>
      </c>
      <c r="AH32" s="150">
        <f t="shared" si="73"/>
        <v>0</v>
      </c>
      <c r="AI32" s="1601">
        <f t="shared" si="58"/>
        <v>0</v>
      </c>
      <c r="AJ32" s="150">
        <f t="shared" si="74"/>
        <v>0</v>
      </c>
      <c r="AK32" s="1601">
        <f t="shared" si="58"/>
        <v>0</v>
      </c>
      <c r="AL32" s="150">
        <f t="shared" si="75"/>
        <v>0</v>
      </c>
      <c r="AM32" s="1601">
        <f t="shared" si="58"/>
        <v>0</v>
      </c>
      <c r="AN32" s="150">
        <f t="shared" si="76"/>
        <v>0</v>
      </c>
      <c r="AO32" s="1601">
        <f t="shared" si="58"/>
        <v>0</v>
      </c>
      <c r="AP32" s="150">
        <f t="shared" si="77"/>
        <v>0</v>
      </c>
      <c r="AQ32" s="150">
        <f t="shared" si="77"/>
        <v>0</v>
      </c>
    </row>
    <row r="33" spans="1:43" ht="12.75" customHeight="1" thickBot="1">
      <c r="B33"/>
      <c r="C33" s="156"/>
      <c r="D33" s="2657"/>
      <c r="E33"/>
      <c r="F33" s="1598" t="str">
        <f>IF('Rakenna TULOSENNUSTE'!A116&lt;&gt;"",'Rakenna TULOSENNUSTE'!A116,"Ei")</f>
        <v>X</v>
      </c>
      <c r="G33" s="903" t="str">
        <f>Lähtötiedot!$A$69</f>
        <v>herukka</v>
      </c>
      <c r="H33"/>
      <c r="I33" s="157"/>
      <c r="J33"/>
      <c r="K33"/>
      <c r="L33"/>
      <c r="M33" s="148">
        <f t="shared" si="63"/>
        <v>0</v>
      </c>
      <c r="N33" s="521"/>
      <c r="O33" s="521"/>
      <c r="P33" s="521"/>
      <c r="Q33" s="150">
        <f t="shared" si="64"/>
        <v>0</v>
      </c>
      <c r="R33" s="1577">
        <f t="shared" si="65"/>
        <v>0</v>
      </c>
      <c r="S33" s="1577">
        <f t="shared" si="66"/>
        <v>0</v>
      </c>
      <c r="T33" s="1577">
        <f t="shared" si="67"/>
        <v>0</v>
      </c>
      <c r="U33" s="1577">
        <f t="shared" si="68"/>
        <v>0</v>
      </c>
      <c r="V33" s="153">
        <f t="shared" si="69"/>
        <v>0</v>
      </c>
      <c r="W33" s="1579">
        <f t="shared" si="70"/>
        <v>0</v>
      </c>
      <c r="X33" s="2406"/>
      <c r="Y33" s="52"/>
      <c r="Z33" s="154" t="str">
        <f t="shared" si="56"/>
        <v/>
      </c>
      <c r="AA33" s="134"/>
      <c r="AC33" s="150">
        <f t="shared" si="72"/>
        <v>0</v>
      </c>
      <c r="AD33" s="1601">
        <f t="shared" si="57"/>
        <v>0</v>
      </c>
      <c r="AF33" s="150">
        <f t="shared" si="71"/>
        <v>0</v>
      </c>
      <c r="AH33" s="150">
        <f t="shared" si="73"/>
        <v>0</v>
      </c>
      <c r="AI33" s="1601">
        <f t="shared" si="58"/>
        <v>0</v>
      </c>
      <c r="AJ33" s="150">
        <f t="shared" si="74"/>
        <v>0</v>
      </c>
      <c r="AK33" s="1601">
        <f t="shared" si="58"/>
        <v>0</v>
      </c>
      <c r="AL33" s="150">
        <f t="shared" si="75"/>
        <v>0</v>
      </c>
      <c r="AM33" s="1601">
        <f t="shared" si="58"/>
        <v>0</v>
      </c>
      <c r="AN33" s="150">
        <f t="shared" si="76"/>
        <v>0</v>
      </c>
      <c r="AO33" s="1601">
        <f t="shared" si="58"/>
        <v>0</v>
      </c>
      <c r="AP33" s="150">
        <f t="shared" si="77"/>
        <v>0</v>
      </c>
      <c r="AQ33" s="150">
        <f t="shared" si="77"/>
        <v>0</v>
      </c>
    </row>
    <row r="34" spans="1:43" ht="12.75" customHeight="1" thickBot="1">
      <c r="B34"/>
      <c r="C34" s="156"/>
      <c r="D34" s="2657"/>
      <c r="E34"/>
      <c r="F34" s="1598" t="str">
        <f>IF('Rakenna TULOSENNUSTE'!A117&lt;&gt;"",'Rakenna TULOSENNUSTE'!A117,"Ei")</f>
        <v>X</v>
      </c>
      <c r="G34" s="903" t="str">
        <f>Lähtötiedot!$A$70</f>
        <v>öljykasvit</v>
      </c>
      <c r="H34"/>
      <c r="I34" s="157"/>
      <c r="J34"/>
      <c r="K34"/>
      <c r="L34"/>
      <c r="M34" s="1576">
        <f t="shared" si="63"/>
        <v>0</v>
      </c>
      <c r="N34" s="521"/>
      <c r="O34" s="521"/>
      <c r="P34" s="521"/>
      <c r="Q34" s="1535">
        <f t="shared" si="64"/>
        <v>0</v>
      </c>
      <c r="R34" s="1578">
        <f t="shared" si="65"/>
        <v>0</v>
      </c>
      <c r="S34" s="1578">
        <f t="shared" si="66"/>
        <v>0</v>
      </c>
      <c r="T34" s="1578">
        <f t="shared" si="67"/>
        <v>0</v>
      </c>
      <c r="U34" s="1578">
        <f t="shared" si="68"/>
        <v>0</v>
      </c>
      <c r="V34" s="1575">
        <f t="shared" si="69"/>
        <v>0</v>
      </c>
      <c r="W34" s="1579">
        <f t="shared" si="70"/>
        <v>0</v>
      </c>
      <c r="X34" s="2406"/>
      <c r="Y34" s="52"/>
      <c r="Z34" s="154" t="str">
        <f t="shared" si="56"/>
        <v/>
      </c>
      <c r="AA34" s="134"/>
      <c r="AC34" s="150">
        <f t="shared" si="72"/>
        <v>0</v>
      </c>
      <c r="AD34" s="1601">
        <f t="shared" si="57"/>
        <v>0</v>
      </c>
      <c r="AF34" s="150">
        <f t="shared" si="71"/>
        <v>0</v>
      </c>
      <c r="AH34" s="150">
        <f t="shared" si="73"/>
        <v>0</v>
      </c>
      <c r="AI34" s="1601">
        <f t="shared" si="58"/>
        <v>0</v>
      </c>
      <c r="AJ34" s="150">
        <f t="shared" si="74"/>
        <v>0</v>
      </c>
      <c r="AK34" s="1601">
        <f t="shared" si="58"/>
        <v>0</v>
      </c>
      <c r="AL34" s="150">
        <f t="shared" si="75"/>
        <v>0</v>
      </c>
      <c r="AM34" s="1601">
        <f t="shared" si="58"/>
        <v>0</v>
      </c>
      <c r="AN34" s="150">
        <f t="shared" si="76"/>
        <v>0</v>
      </c>
      <c r="AO34" s="1601">
        <f t="shared" si="58"/>
        <v>0</v>
      </c>
      <c r="AP34" s="150">
        <f t="shared" si="77"/>
        <v>0</v>
      </c>
      <c r="AQ34" s="150">
        <f t="shared" si="77"/>
        <v>0</v>
      </c>
    </row>
    <row r="35" spans="1:43" ht="12.75" customHeight="1" thickBot="1">
      <c r="B35"/>
      <c r="C35" s="156"/>
      <c r="D35" s="2657"/>
      <c r="E35"/>
      <c r="F35"/>
      <c r="G35" t="s">
        <v>3</v>
      </c>
      <c r="H35"/>
      <c r="I35" s="157"/>
      <c r="J35"/>
      <c r="K35"/>
      <c r="L35"/>
      <c r="M35" s="1599">
        <f>SUM(M24:M34)</f>
        <v>0</v>
      </c>
      <c r="N35" s="521"/>
      <c r="O35" s="521"/>
      <c r="P35" s="521"/>
      <c r="Q35" s="1599">
        <f t="shared" ref="Q35:W35" si="78">SUM(Q24:Q34)</f>
        <v>0</v>
      </c>
      <c r="R35" s="1599">
        <f t="shared" si="78"/>
        <v>0</v>
      </c>
      <c r="S35" s="1599">
        <f t="shared" si="78"/>
        <v>0</v>
      </c>
      <c r="T35" s="1599">
        <f t="shared" si="78"/>
        <v>0</v>
      </c>
      <c r="U35" s="1599">
        <f t="shared" si="78"/>
        <v>0</v>
      </c>
      <c r="V35" s="1599">
        <f t="shared" si="78"/>
        <v>0</v>
      </c>
      <c r="W35" s="1599">
        <f t="shared" si="78"/>
        <v>0</v>
      </c>
      <c r="X35" s="1599"/>
      <c r="Y35" s="134"/>
      <c r="Z35" s="1495"/>
      <c r="AA35" s="134"/>
      <c r="AC35" s="1981">
        <f>SUM(AC24:AC34)</f>
        <v>0</v>
      </c>
      <c r="AD35" s="1599">
        <f>SUM(AD24:AD34)</f>
        <v>0</v>
      </c>
      <c r="AF35" s="1981">
        <f>SUM(AF24:AF34)</f>
        <v>0</v>
      </c>
      <c r="AH35" s="1599">
        <f t="shared" ref="AH35:AQ35" si="79">SUM(AH24:AH34)</f>
        <v>0</v>
      </c>
      <c r="AI35" s="1599">
        <f t="shared" si="79"/>
        <v>0</v>
      </c>
      <c r="AJ35" s="1599">
        <f t="shared" si="79"/>
        <v>0</v>
      </c>
      <c r="AK35" s="1599">
        <f t="shared" si="79"/>
        <v>0</v>
      </c>
      <c r="AL35" s="1599">
        <f t="shared" si="79"/>
        <v>0</v>
      </c>
      <c r="AM35" s="1599">
        <f t="shared" si="79"/>
        <v>0</v>
      </c>
      <c r="AN35" s="1599">
        <f t="shared" si="79"/>
        <v>0</v>
      </c>
      <c r="AO35" s="1599">
        <f t="shared" si="79"/>
        <v>0</v>
      </c>
      <c r="AP35" s="1599">
        <f t="shared" si="79"/>
        <v>0</v>
      </c>
      <c r="AQ35" s="1599">
        <f t="shared" si="79"/>
        <v>0</v>
      </c>
    </row>
    <row r="36" spans="1:43" ht="13.5" customHeight="1" thickBot="1">
      <c r="B36"/>
      <c r="C36" s="156"/>
      <c r="D36" s="2657"/>
      <c r="E36"/>
      <c r="F36"/>
      <c r="G36"/>
      <c r="H36"/>
      <c r="I36" s="157"/>
      <c r="J36"/>
      <c r="K36"/>
      <c r="L36"/>
      <c r="M36"/>
      <c r="N36" s="158"/>
      <c r="O36" s="158"/>
      <c r="P36" s="158"/>
      <c r="Q36" s="158"/>
      <c r="R36" s="158"/>
      <c r="S36" s="158"/>
      <c r="Z36" s="1016">
        <f>SUM(Z24:Z34)</f>
        <v>0</v>
      </c>
    </row>
    <row r="37" spans="1:43" ht="13.5" thickBot="1">
      <c r="B37"/>
      <c r="C37" s="156"/>
      <c r="D37" s="2657"/>
      <c r="E37" s="159" t="s">
        <v>319</v>
      </c>
      <c r="F37"/>
      <c r="G37"/>
      <c r="H37"/>
      <c r="I37" s="157"/>
      <c r="J37"/>
      <c r="K37"/>
      <c r="L37"/>
      <c r="M37"/>
      <c r="N37"/>
      <c r="O37"/>
      <c r="P37"/>
      <c r="Q37" s="38"/>
      <c r="R37"/>
      <c r="S37"/>
    </row>
    <row r="38" spans="1:43">
      <c r="A38" s="2655" t="s">
        <v>320</v>
      </c>
      <c r="B38" s="2655"/>
      <c r="C38" s="2655"/>
      <c r="D38" s="2655"/>
      <c r="E38" s="2655"/>
      <c r="F38" s="2655"/>
      <c r="G38" s="2655"/>
      <c r="H38" s="2655"/>
      <c r="I38" s="2655"/>
      <c r="J38" s="2655"/>
      <c r="K38" s="2655"/>
      <c r="L38" s="2655"/>
      <c r="M38" s="2655"/>
      <c r="N38" s="2655"/>
      <c r="O38" s="2655"/>
      <c r="P38" s="2655"/>
      <c r="Q38" s="2655"/>
      <c r="R38" s="2655"/>
      <c r="S38" s="2655"/>
      <c r="T38" s="2655"/>
      <c r="U38" s="2655"/>
      <c r="V38" s="2655"/>
      <c r="W38" s="2655"/>
      <c r="X38" s="2397"/>
    </row>
    <row r="39" spans="1:43">
      <c r="A39" s="106" t="s">
        <v>321</v>
      </c>
      <c r="B39"/>
      <c r="C39" s="156"/>
      <c r="D39" s="160" t="e">
        <f t="shared" ref="D39:D47" si="80">B39/C39</f>
        <v>#DIV/0!</v>
      </c>
      <c r="E39" s="161"/>
      <c r="F39"/>
      <c r="G39"/>
      <c r="H39"/>
      <c r="I39" s="157"/>
      <c r="J39"/>
      <c r="K39"/>
      <c r="L39"/>
      <c r="O39"/>
      <c r="P39" s="3" t="s">
        <v>322</v>
      </c>
      <c r="Q39" s="38"/>
      <c r="R39"/>
      <c r="S39"/>
    </row>
    <row r="40" spans="1:43">
      <c r="A40" s="105" t="s">
        <v>323</v>
      </c>
      <c r="B40"/>
      <c r="C40" s="156"/>
      <c r="D40" s="160" t="e">
        <f t="shared" si="80"/>
        <v>#DIV/0!</v>
      </c>
      <c r="E40" s="161"/>
      <c r="F40"/>
      <c r="G40"/>
      <c r="H40"/>
      <c r="I40" s="157"/>
      <c r="J40"/>
      <c r="K40"/>
      <c r="L40"/>
      <c r="M40"/>
      <c r="N40"/>
      <c r="O40"/>
      <c r="P40"/>
      <c r="Q40" s="38"/>
      <c r="R40"/>
      <c r="S40"/>
    </row>
    <row r="41" spans="1:43">
      <c r="A41" s="1158" t="s">
        <v>116</v>
      </c>
      <c r="B41" s="886">
        <v>50</v>
      </c>
      <c r="C41" s="156" t="s">
        <v>117</v>
      </c>
      <c r="D41" s="160" t="e">
        <f t="shared" si="80"/>
        <v>#VALUE!</v>
      </c>
      <c r="E41" s="161"/>
      <c r="F41"/>
      <c r="G41"/>
      <c r="H41"/>
      <c r="I41" s="157"/>
      <c r="J41"/>
      <c r="K41"/>
      <c r="L41"/>
      <c r="M41"/>
      <c r="N41"/>
      <c r="P41" t="s">
        <v>324</v>
      </c>
      <c r="Q41" s="38"/>
      <c r="R41"/>
      <c r="S41"/>
    </row>
    <row r="42" spans="1:43" ht="15">
      <c r="A42" s="1158" t="s">
        <v>118</v>
      </c>
      <c r="B42" s="886">
        <v>20</v>
      </c>
      <c r="C42" s="156" t="s">
        <v>117</v>
      </c>
      <c r="D42" s="160" t="e">
        <f t="shared" si="80"/>
        <v>#VALUE!</v>
      </c>
      <c r="E42" s="161"/>
      <c r="F42"/>
      <c r="I42" s="157"/>
      <c r="J42"/>
      <c r="K42"/>
      <c r="L42"/>
      <c r="M42"/>
      <c r="N42"/>
      <c r="O42"/>
      <c r="R42"/>
      <c r="S42"/>
      <c r="T42" s="2666">
        <f>B52</f>
        <v>700000</v>
      </c>
      <c r="U42" s="2666"/>
    </row>
    <row r="43" spans="1:43">
      <c r="A43" s="1158" t="s">
        <v>325</v>
      </c>
      <c r="B43" s="886">
        <v>10</v>
      </c>
      <c r="D43" s="160" t="e">
        <f>B44/C44</f>
        <v>#VALUE!</v>
      </c>
      <c r="E43" s="161"/>
      <c r="F43"/>
      <c r="I43" s="157"/>
      <c r="J43"/>
      <c r="K43"/>
      <c r="L43"/>
      <c r="M43"/>
      <c r="N43"/>
      <c r="O43"/>
      <c r="P43" t="s">
        <v>326</v>
      </c>
      <c r="Q43" s="38"/>
      <c r="R43"/>
      <c r="S43"/>
      <c r="T43" s="1195"/>
      <c r="U43" s="1196">
        <f>B53</f>
        <v>7</v>
      </c>
      <c r="V43" s="105" t="s">
        <v>12</v>
      </c>
    </row>
    <row r="44" spans="1:43">
      <c r="A44" s="1158" t="s">
        <v>115</v>
      </c>
      <c r="B44" s="868">
        <f>B41*B42</f>
        <v>1000</v>
      </c>
      <c r="C44" s="156" t="s">
        <v>295</v>
      </c>
      <c r="D44" s="160" t="e">
        <f>#REF!/#REF!</f>
        <v>#REF!</v>
      </c>
      <c r="E44" s="161"/>
      <c r="F44"/>
      <c r="I44" s="157"/>
      <c r="J44"/>
      <c r="K44"/>
      <c r="L44"/>
      <c r="M44"/>
      <c r="N44"/>
      <c r="O44"/>
      <c r="P44" t="s">
        <v>327</v>
      </c>
      <c r="Q44" s="38"/>
      <c r="R44"/>
      <c r="S44"/>
      <c r="U44" s="1192">
        <v>0.65</v>
      </c>
    </row>
    <row r="45" spans="1:43">
      <c r="A45" s="1158" t="s">
        <v>328</v>
      </c>
      <c r="B45" s="868">
        <f>B44*B43*B43</f>
        <v>100000</v>
      </c>
      <c r="C45" s="156" t="s">
        <v>329</v>
      </c>
      <c r="D45" s="1159"/>
      <c r="E45" s="1161"/>
      <c r="F45"/>
      <c r="I45" s="157"/>
      <c r="J45"/>
      <c r="K45"/>
      <c r="L45"/>
      <c r="M45"/>
      <c r="N45"/>
      <c r="O45"/>
      <c r="P45" t="s">
        <v>330</v>
      </c>
      <c r="Q45" s="38"/>
      <c r="R45"/>
      <c r="S45"/>
      <c r="T45" s="2654">
        <f>T42*U44</f>
        <v>455000</v>
      </c>
      <c r="U45" s="2654"/>
    </row>
    <row r="46" spans="1:43">
      <c r="A46" s="1162" t="s">
        <v>331</v>
      </c>
      <c r="B46" s="886">
        <v>1000</v>
      </c>
      <c r="C46" s="156"/>
      <c r="D46" s="1159"/>
      <c r="E46" s="1161"/>
      <c r="F46"/>
      <c r="I46" s="157"/>
      <c r="J46"/>
      <c r="K46"/>
      <c r="L46"/>
      <c r="M46"/>
      <c r="N46"/>
      <c r="O46"/>
      <c r="P46"/>
      <c r="Q46" s="38"/>
      <c r="R46"/>
      <c r="S46"/>
    </row>
    <row r="47" spans="1:43">
      <c r="A47" s="134" t="s">
        <v>332</v>
      </c>
      <c r="B47" s="886">
        <v>700</v>
      </c>
      <c r="C47" s="156" t="s">
        <v>235</v>
      </c>
      <c r="D47" s="1159" t="e">
        <f t="shared" si="80"/>
        <v>#VALUE!</v>
      </c>
      <c r="E47"/>
      <c r="F47"/>
      <c r="I47" s="157"/>
      <c r="J47"/>
      <c r="K47"/>
      <c r="L47"/>
      <c r="M47"/>
      <c r="N47"/>
      <c r="O47"/>
      <c r="P47"/>
      <c r="Q47" s="38"/>
      <c r="R47"/>
      <c r="S47"/>
    </row>
    <row r="48" spans="1:43">
      <c r="A48" s="105" t="s">
        <v>333</v>
      </c>
      <c r="B48" s="2658">
        <f>IFERROR(B46*B47,"Tarkista luvut!")</f>
        <v>700000</v>
      </c>
      <c r="C48" s="2658"/>
      <c r="D48" s="4" t="s">
        <v>334</v>
      </c>
      <c r="E48"/>
      <c r="F48"/>
      <c r="I48" s="157"/>
      <c r="J48"/>
      <c r="K48"/>
      <c r="L48"/>
      <c r="M48"/>
      <c r="N48"/>
      <c r="O48"/>
      <c r="P48"/>
      <c r="Q48" s="38"/>
      <c r="R48"/>
      <c r="S48"/>
    </row>
    <row r="49" spans="1:19">
      <c r="A49" s="105" t="s">
        <v>335</v>
      </c>
      <c r="B49" s="1163">
        <v>0</v>
      </c>
      <c r="C49" s="156"/>
      <c r="F49"/>
      <c r="I49" s="157"/>
      <c r="J49"/>
      <c r="K49"/>
      <c r="L49"/>
      <c r="M49"/>
      <c r="P49" s="106" t="s">
        <v>336</v>
      </c>
    </row>
    <row r="50" spans="1:19">
      <c r="A50" s="105" t="s">
        <v>333</v>
      </c>
      <c r="B50" s="2653">
        <f>B48*(100%+B49)</f>
        <v>700000</v>
      </c>
      <c r="C50" s="2653"/>
      <c r="F50"/>
      <c r="I50" s="157"/>
      <c r="J50"/>
      <c r="K50"/>
      <c r="L50"/>
      <c r="M50"/>
      <c r="P50" s="1193" t="s">
        <v>337</v>
      </c>
      <c r="Q50" s="1194">
        <f>B55</f>
        <v>504000</v>
      </c>
      <c r="R50" s="105" t="s">
        <v>338</v>
      </c>
    </row>
    <row r="51" spans="1:19">
      <c r="A51" s="106" t="s">
        <v>339</v>
      </c>
      <c r="B51" s="2650">
        <v>0</v>
      </c>
      <c r="C51" s="2651"/>
      <c r="F51"/>
      <c r="I51" s="157"/>
      <c r="J51"/>
      <c r="K51"/>
      <c r="L51"/>
      <c r="M51"/>
      <c r="P51" s="1193" t="s">
        <v>340</v>
      </c>
      <c r="Q51" s="1194">
        <f>T45</f>
        <v>455000</v>
      </c>
      <c r="R51" s="105" t="s">
        <v>341</v>
      </c>
    </row>
    <row r="52" spans="1:19">
      <c r="A52" s="1191" t="s">
        <v>342</v>
      </c>
      <c r="B52" s="2652">
        <f>IF(B51&gt;0,B51,B50)</f>
        <v>700000</v>
      </c>
      <c r="C52" s="2652"/>
      <c r="F52"/>
      <c r="I52" s="157"/>
      <c r="M52"/>
      <c r="P52" s="1193" t="s">
        <v>135</v>
      </c>
      <c r="Q52" s="1194">
        <f>AVERAGE(Q50:Q51)</f>
        <v>479500</v>
      </c>
      <c r="R52" s="105" t="s">
        <v>343</v>
      </c>
    </row>
    <row r="53" spans="1:19">
      <c r="A53" s="105" t="s">
        <v>344</v>
      </c>
      <c r="B53" s="1160">
        <v>7</v>
      </c>
      <c r="C53" s="156" t="s">
        <v>345</v>
      </c>
      <c r="I53" s="157"/>
      <c r="M53"/>
      <c r="P53" s="105" t="s">
        <v>346</v>
      </c>
    </row>
    <row r="54" spans="1:19">
      <c r="A54" s="105" t="s">
        <v>347</v>
      </c>
      <c r="B54" s="1164">
        <v>25</v>
      </c>
      <c r="C54" s="156" t="s">
        <v>345</v>
      </c>
      <c r="I54" s="157"/>
      <c r="M54"/>
    </row>
    <row r="55" spans="1:19">
      <c r="A55" s="134" t="s">
        <v>348</v>
      </c>
      <c r="B55" s="2648">
        <f>B52-(B56*B53)</f>
        <v>504000</v>
      </c>
      <c r="C55" s="2649"/>
      <c r="I55" s="157"/>
      <c r="M55"/>
    </row>
    <row r="56" spans="1:19">
      <c r="A56" s="105" t="s">
        <v>349</v>
      </c>
      <c r="B56" s="2646">
        <f>IFERROR(B52/B54,0)</f>
        <v>28000</v>
      </c>
      <c r="C56" s="2647"/>
      <c r="F56" s="103" t="str">
        <f>"Vuosipoisto "&amp;TEXT(ABS(B56/B48),"0,0 %")</f>
        <v>Vuosipoisto 4,0 %</v>
      </c>
      <c r="I56" s="157"/>
      <c r="M56"/>
    </row>
    <row r="57" spans="1:19">
      <c r="F57" s="105" t="s">
        <v>350</v>
      </c>
      <c r="I57" s="157"/>
      <c r="M57"/>
      <c r="S57" s="105" t="s">
        <v>181</v>
      </c>
    </row>
    <row r="58" spans="1:19">
      <c r="A58" s="105" t="s">
        <v>351</v>
      </c>
      <c r="I58" s="157"/>
      <c r="M58"/>
    </row>
    <row r="59" spans="1:19">
      <c r="I59" s="157"/>
      <c r="M59"/>
    </row>
    <row r="60" spans="1:19">
      <c r="A60" s="149" t="s">
        <v>352</v>
      </c>
      <c r="B60" s="1396">
        <v>0.04</v>
      </c>
      <c r="I60" s="157"/>
      <c r="M60"/>
    </row>
    <row r="61" spans="1:19">
      <c r="A61" s="149" t="s">
        <v>353</v>
      </c>
      <c r="B61" s="1397">
        <f>B52</f>
        <v>700000</v>
      </c>
      <c r="I61" s="157"/>
      <c r="M61"/>
    </row>
    <row r="62" spans="1:19">
      <c r="A62" s="105" t="s">
        <v>354</v>
      </c>
      <c r="B62" s="1398">
        <f>((-1+B60)^B53)</f>
        <v>-0.75144747810815993</v>
      </c>
      <c r="C62" s="1400">
        <f>ABS(B62*B61)</f>
        <v>526013.23467571195</v>
      </c>
      <c r="I62" s="157"/>
      <c r="M62"/>
    </row>
    <row r="63" spans="1:19">
      <c r="I63" s="157"/>
      <c r="M63"/>
    </row>
    <row r="64" spans="1:19" ht="14.25">
      <c r="B64" s="1399"/>
      <c r="I64" s="157"/>
      <c r="M64"/>
    </row>
    <row r="65" spans="1:13">
      <c r="A65" s="1397">
        <f>B61</f>
        <v>700000</v>
      </c>
      <c r="B65" s="1397">
        <f>A65*$B$60</f>
        <v>28000</v>
      </c>
      <c r="C65" s="1397">
        <f>A65-B65</f>
        <v>672000</v>
      </c>
      <c r="I65" s="157"/>
      <c r="M65"/>
    </row>
    <row r="66" spans="1:13">
      <c r="A66" s="1397">
        <f>C65</f>
        <v>672000</v>
      </c>
      <c r="B66" s="1397">
        <f>A66*$B$60</f>
        <v>26880</v>
      </c>
      <c r="C66" s="1397">
        <f>A66-B66</f>
        <v>645120</v>
      </c>
      <c r="I66" s="157"/>
      <c r="M66"/>
    </row>
    <row r="67" spans="1:13">
      <c r="A67" s="1397">
        <f t="shared" ref="A67:A77" si="81">C66</f>
        <v>645120</v>
      </c>
      <c r="B67" s="1397">
        <f t="shared" ref="B67:B77" si="82">A67*$B$60</f>
        <v>25804.799999999999</v>
      </c>
      <c r="C67" s="1397">
        <f t="shared" ref="C67:C77" si="83">A67-B67</f>
        <v>619315.19999999995</v>
      </c>
      <c r="I67" s="157"/>
      <c r="M67"/>
    </row>
    <row r="68" spans="1:13">
      <c r="A68" s="1397">
        <f t="shared" si="81"/>
        <v>619315.19999999995</v>
      </c>
      <c r="B68" s="1397">
        <f t="shared" si="82"/>
        <v>24772.608</v>
      </c>
      <c r="C68" s="1397">
        <f t="shared" si="83"/>
        <v>594542.59199999995</v>
      </c>
      <c r="I68" s="157"/>
      <c r="M68"/>
    </row>
    <row r="69" spans="1:13">
      <c r="A69" s="1397">
        <f t="shared" si="81"/>
        <v>594542.59199999995</v>
      </c>
      <c r="B69" s="1397">
        <f t="shared" si="82"/>
        <v>23781.703679999999</v>
      </c>
      <c r="C69" s="1397">
        <f t="shared" si="83"/>
        <v>570760.88831999991</v>
      </c>
      <c r="I69" s="157"/>
      <c r="M69"/>
    </row>
    <row r="70" spans="1:13">
      <c r="A70" s="1397">
        <f t="shared" si="81"/>
        <v>570760.88831999991</v>
      </c>
      <c r="B70" s="1397">
        <f t="shared" si="82"/>
        <v>22830.435532799998</v>
      </c>
      <c r="C70" s="1397">
        <f t="shared" si="83"/>
        <v>547930.45278719987</v>
      </c>
      <c r="I70" s="157"/>
      <c r="M70"/>
    </row>
    <row r="71" spans="1:13">
      <c r="A71" s="1397">
        <f t="shared" si="81"/>
        <v>547930.45278719987</v>
      </c>
      <c r="B71" s="1397">
        <f t="shared" si="82"/>
        <v>21917.218111487997</v>
      </c>
      <c r="C71" s="1397">
        <f t="shared" si="83"/>
        <v>526013.23467571184</v>
      </c>
      <c r="I71" s="157"/>
      <c r="M71"/>
    </row>
    <row r="72" spans="1:13">
      <c r="A72" s="1397">
        <f t="shared" si="81"/>
        <v>526013.23467571184</v>
      </c>
      <c r="B72" s="1397">
        <f t="shared" si="82"/>
        <v>21040.529387028473</v>
      </c>
      <c r="C72" s="1397">
        <f t="shared" si="83"/>
        <v>504972.70528868336</v>
      </c>
      <c r="I72" s="157"/>
      <c r="M72"/>
    </row>
    <row r="73" spans="1:13">
      <c r="A73" s="1397">
        <f t="shared" si="81"/>
        <v>504972.70528868336</v>
      </c>
      <c r="B73" s="1397">
        <f t="shared" si="82"/>
        <v>20198.908211547336</v>
      </c>
      <c r="C73" s="1397">
        <f t="shared" si="83"/>
        <v>484773.797077136</v>
      </c>
      <c r="I73" s="157"/>
      <c r="M73"/>
    </row>
    <row r="74" spans="1:13">
      <c r="A74" s="1397">
        <f t="shared" si="81"/>
        <v>484773.797077136</v>
      </c>
      <c r="B74" s="1397">
        <f t="shared" si="82"/>
        <v>19390.951883085439</v>
      </c>
      <c r="C74" s="1397">
        <f t="shared" si="83"/>
        <v>465382.84519405058</v>
      </c>
      <c r="I74" s="157"/>
      <c r="M74"/>
    </row>
    <row r="75" spans="1:13">
      <c r="A75" s="1397">
        <f t="shared" si="81"/>
        <v>465382.84519405058</v>
      </c>
      <c r="B75" s="1397">
        <f t="shared" si="82"/>
        <v>18615.313807762024</v>
      </c>
      <c r="C75" s="1397">
        <f t="shared" si="83"/>
        <v>446767.53138628858</v>
      </c>
      <c r="I75" s="157"/>
      <c r="M75"/>
    </row>
    <row r="76" spans="1:13">
      <c r="A76" s="1397">
        <f t="shared" si="81"/>
        <v>446767.53138628858</v>
      </c>
      <c r="B76" s="1397">
        <f t="shared" si="82"/>
        <v>17870.701255451542</v>
      </c>
      <c r="C76" s="1397">
        <f t="shared" si="83"/>
        <v>428896.83013083704</v>
      </c>
      <c r="I76" s="157"/>
      <c r="M76"/>
    </row>
    <row r="77" spans="1:13">
      <c r="A77" s="1397">
        <f t="shared" si="81"/>
        <v>428896.83013083704</v>
      </c>
      <c r="B77" s="1397">
        <f t="shared" si="82"/>
        <v>17155.873205233482</v>
      </c>
      <c r="C77" s="1397">
        <f t="shared" si="83"/>
        <v>411740.95692560356</v>
      </c>
      <c r="I77" s="157"/>
      <c r="M77"/>
    </row>
    <row r="78" spans="1:13">
      <c r="I78" s="157"/>
      <c r="M78"/>
    </row>
    <row r="79" spans="1:13">
      <c r="I79" s="157"/>
      <c r="M79"/>
    </row>
    <row r="80" spans="1:13">
      <c r="I80" s="157"/>
      <c r="M80"/>
    </row>
    <row r="81" spans="9:13">
      <c r="I81" s="157"/>
      <c r="M81"/>
    </row>
    <row r="82" spans="9:13">
      <c r="I82" s="157"/>
      <c r="M82"/>
    </row>
    <row r="83" spans="9:13">
      <c r="I83" s="157"/>
      <c r="M83"/>
    </row>
    <row r="84" spans="9:13">
      <c r="I84" s="157"/>
      <c r="M84"/>
    </row>
    <row r="85" spans="9:13">
      <c r="I85" s="157"/>
      <c r="M85"/>
    </row>
  </sheetData>
  <sheetProtection sheet="1" formatCells="0" formatColumns="0" formatRows="0"/>
  <mergeCells count="20">
    <mergeCell ref="AI2:AQ2"/>
    <mergeCell ref="AS3:BB3"/>
    <mergeCell ref="BD3:BM3"/>
    <mergeCell ref="AA1:AA4"/>
    <mergeCell ref="T42:U42"/>
    <mergeCell ref="W1:W4"/>
    <mergeCell ref="AA23:AQ23"/>
    <mergeCell ref="Y1:Y4"/>
    <mergeCell ref="X1:X4"/>
    <mergeCell ref="T45:U45"/>
    <mergeCell ref="A38:W38"/>
    <mergeCell ref="N3:Q3"/>
    <mergeCell ref="D31:D37"/>
    <mergeCell ref="B48:C48"/>
    <mergeCell ref="W21:W22"/>
    <mergeCell ref="B56:C56"/>
    <mergeCell ref="B55:C55"/>
    <mergeCell ref="B51:C51"/>
    <mergeCell ref="B52:C52"/>
    <mergeCell ref="B50:C50"/>
  </mergeCells>
  <conditionalFormatting sqref="W5:W20">
    <cfRule type="expression" dxfId="55" priority="6">
      <formula>$H5="VÄÄRIN!"</formula>
    </cfRule>
  </conditionalFormatting>
  <conditionalFormatting sqref="X5:X20">
    <cfRule type="cellIs" dxfId="54" priority="2" operator="equal">
      <formula>"Virhe!"</formula>
    </cfRule>
  </conditionalFormatting>
  <conditionalFormatting sqref="X7">
    <cfRule type="cellIs" dxfId="53" priority="1" operator="equal">
      <formula>"""Virhe!"""</formula>
    </cfRule>
  </conditionalFormatting>
  <hyperlinks>
    <hyperlink ref="A2" r:id="rId1" xr:uid="{00000000-0004-0000-06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errorStyle="warning" showInputMessage="1" errorTitle="Kohdistus tarvitaan" xr:uid="{00000000-0002-0000-0600-000000000000}">
          <x14:formula1>
            <xm:f>Lähtötiedot!$C$102:$C$112</xm:f>
          </x14:formula1>
          <xm:sqref>W5:W20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1D1BDD216CDF0442A2815467C4441A58" ma:contentTypeVersion="28" ma:contentTypeDescription="Luo uusi asiakirja." ma:contentTypeScope="" ma:versionID="d3d54ad1499e259d40b34b2e565a92ea">
  <xsd:schema xmlns:xsd="http://www.w3.org/2001/XMLSchema" xmlns:xs="http://www.w3.org/2001/XMLSchema" xmlns:p="http://schemas.microsoft.com/office/2006/metadata/properties" xmlns:ns3="fefa4683-ba97-481a-af1a-fcafcb9eca0d" xmlns:ns4="10b3a7f9-77ab-48d6-b2f0-254ec2cb6a93" targetNamespace="http://schemas.microsoft.com/office/2006/metadata/properties" ma:root="true" ma:fieldsID="3025fcd0059bb7153464d0cc3bece53e" ns3:_="" ns4:_="">
    <xsd:import namespace="fefa4683-ba97-481a-af1a-fcafcb9eca0d"/>
    <xsd:import namespace="10b3a7f9-77ab-48d6-b2f0-254ec2cb6a93"/>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NotebookType" minOccurs="0"/>
                <xsd:element ref="ns4:FolderType" minOccurs="0"/>
                <xsd:element ref="ns4:Owner" minOccurs="0"/>
                <xsd:element ref="ns4:DefaultSectionNames" minOccurs="0"/>
                <xsd:element ref="ns4:Templates" minOccurs="0"/>
                <xsd:element ref="ns4:CultureName" minOccurs="0"/>
                <xsd:element ref="ns4:AppVersion" minOccurs="0"/>
                <xsd:element ref="ns4:Teachers" minOccurs="0"/>
                <xsd:element ref="ns4:Students" minOccurs="0"/>
                <xsd:element ref="ns4:Student_Groups" minOccurs="0"/>
                <xsd:element ref="ns4:Invited_Teachers" minOccurs="0"/>
                <xsd:element ref="ns4:Invited_Students" minOccurs="0"/>
                <xsd:element ref="ns4:Self_Registration_Enabled" minOccurs="0"/>
                <xsd:element ref="ns4:Has_Teacher_Only_SectionGroup" minOccurs="0"/>
                <xsd:element ref="ns4:Is_Collaboration_Space_Locked" minOccurs="0"/>
                <xsd:element ref="ns4:MediaServiceAutoTags" minOccurs="0"/>
                <xsd:element ref="ns4:MediaServiceDateTaken" minOccurs="0"/>
                <xsd:element ref="ns4:MediaServiceLocation" minOccurs="0"/>
                <xsd:element ref="ns4:MediaServiceOCR" minOccurs="0"/>
                <xsd:element ref="ns4:TeamsChannelId" minOccurs="0"/>
                <xsd:element ref="ns4:IsNotebookLocked"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fa4683-ba97-481a-af1a-fcafcb9eca0d" elementFormDefault="qualified">
    <xsd:import namespace="http://schemas.microsoft.com/office/2006/documentManagement/types"/>
    <xsd:import namespace="http://schemas.microsoft.com/office/infopath/2007/PartnerControls"/>
    <xsd:element name="SharedWithUsers" ma:index="8"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Jakamisvihjeen hajautus" ma:internalName="SharingHintHash" ma:readOnly="true">
      <xsd:simpleType>
        <xsd:restriction base="dms:Text"/>
      </xsd:simpleType>
    </xsd:element>
    <xsd:element name="SharedWithDetails" ma:index="10" nillable="true" ma:displayName="Jakamisen tiedot"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b3a7f9-77ab-48d6-b2f0-254ec2cb6a9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NotebookType" ma:index="13" nillable="true" ma:displayName="Notebook Type" ma:internalName="NotebookType">
      <xsd:simpleType>
        <xsd:restriction base="dms:Text"/>
      </xsd:simpleType>
    </xsd:element>
    <xsd:element name="FolderType" ma:index="14" nillable="true" ma:displayName="Folder Type" ma:internalName="FolderType">
      <xsd:simpleType>
        <xsd:restriction base="dms:Text"/>
      </xsd:simpleType>
    </xsd:element>
    <xsd:element name="Owner" ma:index="15"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6" nillable="true" ma:displayName="Default Section Names" ma:internalName="DefaultSectionNames">
      <xsd:simpleType>
        <xsd:restriction base="dms:Note">
          <xsd:maxLength value="255"/>
        </xsd:restriction>
      </xsd:simpleType>
    </xsd:element>
    <xsd:element name="Templates" ma:index="17" nillable="true" ma:displayName="Templates" ma:internalName="Templates">
      <xsd:simpleType>
        <xsd:restriction base="dms:Note">
          <xsd:maxLength value="255"/>
        </xsd:restriction>
      </xsd:simpleType>
    </xsd:element>
    <xsd:element name="CultureName" ma:index="18" nillable="true" ma:displayName="Culture Name" ma:internalName="CultureName">
      <xsd:simpleType>
        <xsd:restriction base="dms:Text"/>
      </xsd:simpleType>
    </xsd:element>
    <xsd:element name="AppVersion" ma:index="19" nillable="true" ma:displayName="App Version" ma:internalName="AppVersion">
      <xsd:simpleType>
        <xsd:restriction base="dms:Text"/>
      </xsd:simpleType>
    </xsd:element>
    <xsd:element name="Teachers" ma:index="20"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1"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2"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3" nillable="true" ma:displayName="Invited Teachers" ma:internalName="Invited_Teachers">
      <xsd:simpleType>
        <xsd:restriction base="dms:Note">
          <xsd:maxLength value="255"/>
        </xsd:restriction>
      </xsd:simpleType>
    </xsd:element>
    <xsd:element name="Invited_Students" ma:index="24" nillable="true" ma:displayName="Invited Students" ma:internalName="Invited_Students">
      <xsd:simpleType>
        <xsd:restriction base="dms:Note">
          <xsd:maxLength value="255"/>
        </xsd:restriction>
      </xsd:simpleType>
    </xsd:element>
    <xsd:element name="Self_Registration_Enabled" ma:index="25" nillable="true" ma:displayName="Self Registration Enabled" ma:internalName="Self_Registration_Enabled">
      <xsd:simpleType>
        <xsd:restriction base="dms:Boolean"/>
      </xsd:simpleType>
    </xsd:element>
    <xsd:element name="Has_Teacher_Only_SectionGroup" ma:index="26" nillable="true" ma:displayName="Has Teacher Only SectionGroup" ma:internalName="Has_Teacher_Only_SectionGroup">
      <xsd:simpleType>
        <xsd:restriction base="dms:Boolean"/>
      </xsd:simpleType>
    </xsd:element>
    <xsd:element name="Is_Collaboration_Space_Locked" ma:index="27" nillable="true" ma:displayName="Is Collaboration Space Locked" ma:internalName="Is_Collaboration_Space_Locked">
      <xsd:simpleType>
        <xsd:restriction base="dms:Boolean"/>
      </xsd:simpleType>
    </xsd:element>
    <xsd:element name="MediaServiceAutoTags" ma:index="28" nillable="true" ma:displayName="MediaServiceAutoTags" ma:description="" ma:internalName="MediaServiceAutoTags" ma:readOnly="true">
      <xsd:simpleType>
        <xsd:restriction base="dms:Text"/>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Location" ma:index="30" nillable="true" ma:displayName="MediaServiceLocation" ma:description="" ma:internalName="MediaServiceLocation" ma:readOnly="true">
      <xsd:simpleType>
        <xsd:restriction base="dms:Text"/>
      </xsd:simpleType>
    </xsd:element>
    <xsd:element name="MediaServiceOCR" ma:index="31" nillable="true" ma:displayName="MediaServiceOCR" ma:internalName="MediaServiceOCR" ma:readOnly="true">
      <xsd:simpleType>
        <xsd:restriction base="dms:Note">
          <xsd:maxLength value="255"/>
        </xsd:restriction>
      </xsd:simpleType>
    </xsd:element>
    <xsd:element name="TeamsChannelId" ma:index="32" nillable="true" ma:displayName="Teams Channel Id" ma:internalName="TeamsChannelId">
      <xsd:simpleType>
        <xsd:restriction base="dms:Text"/>
      </xsd:simpleType>
    </xsd:element>
    <xsd:element name="IsNotebookLocked" ma:index="33" nillable="true" ma:displayName="Is Notebook Locked" ma:internalName="IsNotebookLocked">
      <xsd:simpleType>
        <xsd:restriction base="dms:Boolea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otebookType xmlns="10b3a7f9-77ab-48d6-b2f0-254ec2cb6a93" xsi:nil="true"/>
    <Has_Teacher_Only_SectionGroup xmlns="10b3a7f9-77ab-48d6-b2f0-254ec2cb6a93" xsi:nil="true"/>
    <FolderType xmlns="10b3a7f9-77ab-48d6-b2f0-254ec2cb6a93" xsi:nil="true"/>
    <Owner xmlns="10b3a7f9-77ab-48d6-b2f0-254ec2cb6a93">
      <UserInfo>
        <DisplayName/>
        <AccountId xsi:nil="true"/>
        <AccountType/>
      </UserInfo>
    </Owner>
    <CultureName xmlns="10b3a7f9-77ab-48d6-b2f0-254ec2cb6a93" xsi:nil="true"/>
    <Invited_Students xmlns="10b3a7f9-77ab-48d6-b2f0-254ec2cb6a93" xsi:nil="true"/>
    <Templates xmlns="10b3a7f9-77ab-48d6-b2f0-254ec2cb6a93" xsi:nil="true"/>
    <AppVersion xmlns="10b3a7f9-77ab-48d6-b2f0-254ec2cb6a93" xsi:nil="true"/>
    <Self_Registration_Enabled xmlns="10b3a7f9-77ab-48d6-b2f0-254ec2cb6a93" xsi:nil="true"/>
    <Invited_Teachers xmlns="10b3a7f9-77ab-48d6-b2f0-254ec2cb6a93" xsi:nil="true"/>
    <TeamsChannelId xmlns="10b3a7f9-77ab-48d6-b2f0-254ec2cb6a93" xsi:nil="true"/>
    <IsNotebookLocked xmlns="10b3a7f9-77ab-48d6-b2f0-254ec2cb6a93" xsi:nil="true"/>
    <Teachers xmlns="10b3a7f9-77ab-48d6-b2f0-254ec2cb6a93">
      <UserInfo>
        <DisplayName/>
        <AccountId xsi:nil="true"/>
        <AccountType/>
      </UserInfo>
    </Teachers>
    <Students xmlns="10b3a7f9-77ab-48d6-b2f0-254ec2cb6a93">
      <UserInfo>
        <DisplayName/>
        <AccountId xsi:nil="true"/>
        <AccountType/>
      </UserInfo>
    </Students>
    <Student_Groups xmlns="10b3a7f9-77ab-48d6-b2f0-254ec2cb6a93">
      <UserInfo>
        <DisplayName/>
        <AccountId xsi:nil="true"/>
        <AccountType/>
      </UserInfo>
    </Student_Groups>
    <DefaultSectionNames xmlns="10b3a7f9-77ab-48d6-b2f0-254ec2cb6a93" xsi:nil="true"/>
    <Is_Collaboration_Space_Locked xmlns="10b3a7f9-77ab-48d6-b2f0-254ec2cb6a93" xsi:nil="true"/>
  </documentManagement>
</p:properties>
</file>

<file path=customXml/itemProps1.xml><?xml version="1.0" encoding="utf-8"?>
<ds:datastoreItem xmlns:ds="http://schemas.openxmlformats.org/officeDocument/2006/customXml" ds:itemID="{2A2D60AF-10FF-4AE4-A128-C68F533E1F0C}">
  <ds:schemaRefs>
    <ds:schemaRef ds:uri="http://schemas.microsoft.com/sharepoint/v3/contenttype/forms"/>
  </ds:schemaRefs>
</ds:datastoreItem>
</file>

<file path=customXml/itemProps2.xml><?xml version="1.0" encoding="utf-8"?>
<ds:datastoreItem xmlns:ds="http://schemas.openxmlformats.org/officeDocument/2006/customXml" ds:itemID="{A97A5637-B3E5-4345-B471-867283098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fa4683-ba97-481a-af1a-fcafcb9eca0d"/>
    <ds:schemaRef ds:uri="10b3a7f9-77ab-48d6-b2f0-254ec2cb6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CA9954-20AD-4225-B884-A54C5427DDA9}">
  <ds:schemaRefs>
    <ds:schemaRef ds:uri="http://purl.org/dc/elements/1.1/"/>
    <ds:schemaRef ds:uri="fefa4683-ba97-481a-af1a-fcafcb9eca0d"/>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10b3a7f9-77ab-48d6-b2f0-254ec2cb6a9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50</vt:i4>
      </vt:variant>
      <vt:variant>
        <vt:lpstr>Nimetyt alueet</vt:lpstr>
      </vt:variant>
      <vt:variant>
        <vt:i4>59</vt:i4>
      </vt:variant>
    </vt:vector>
  </HeadingPairs>
  <TitlesOfParts>
    <vt:vector size="109" baseType="lpstr">
      <vt:lpstr>Viljan kuivauksen hintalaskuri</vt:lpstr>
      <vt:lpstr>Traktorin tuntihinta</vt:lpstr>
      <vt:lpstr>Peltoalalaskuri</vt:lpstr>
      <vt:lpstr>Taimilaskuri</vt:lpstr>
      <vt:lpstr>Ohje Marjatila</vt:lpstr>
      <vt:lpstr>Ohje perusmaatila</vt:lpstr>
      <vt:lpstr>Lähtötiedot</vt:lpstr>
      <vt:lpstr>Konerekisteri</vt:lpstr>
      <vt:lpstr>Rakennukset</vt:lpstr>
      <vt:lpstr>Muut kustannustiedot</vt:lpstr>
      <vt:lpstr>LaskeKasvi1</vt:lpstr>
      <vt:lpstr>LaskeKasvi2</vt:lpstr>
      <vt:lpstr>LaskeSäilörehu</vt:lpstr>
      <vt:lpstr>LaskeKasvi4</vt:lpstr>
      <vt:lpstr>LaskeKasvi5</vt:lpstr>
      <vt:lpstr>LaskeMonivuotinenMarja 1</vt:lpstr>
      <vt:lpstr>LaskeMonivuotinenMarja 2</vt:lpstr>
      <vt:lpstr>LaskeMonivuotinenMarja 3</vt:lpstr>
      <vt:lpstr>LaskeMonivuotinenMarja 4</vt:lpstr>
      <vt:lpstr>LaskeMonivuotinenMarja 5</vt:lpstr>
      <vt:lpstr>LaskeMonivuotinenMarja 6</vt:lpstr>
      <vt:lpstr>LaskeMaito1</vt:lpstr>
      <vt:lpstr>LaskeMaito 2</vt:lpstr>
      <vt:lpstr>LaskeMaito 3</vt:lpstr>
      <vt:lpstr>LaskeMaito special</vt:lpstr>
      <vt:lpstr>LaskeLiha</vt:lpstr>
      <vt:lpstr>Laskeliha2</vt:lpstr>
      <vt:lpstr>LaskeLiha special</vt:lpstr>
      <vt:lpstr>EVL yrityksen 1 katelaskenta</vt:lpstr>
      <vt:lpstr>EVL yrityksen 2 katelaskenta</vt:lpstr>
      <vt:lpstr>Metsä</vt:lpstr>
      <vt:lpstr>Lasku</vt:lpstr>
      <vt:lpstr>Hinnoittele jatkojalostus</vt:lpstr>
      <vt:lpstr>LaskeKoneurakointi</vt:lpstr>
      <vt:lpstr>Lainarekisteri</vt:lpstr>
      <vt:lpstr>LaskeKasvihuoneenkasvi</vt:lpstr>
      <vt:lpstr>Rakenna TULOSENNUSTE</vt:lpstr>
      <vt:lpstr>Budjettikuukausittain</vt:lpstr>
      <vt:lpstr>Budjetti useita vuosia</vt:lpstr>
      <vt:lpstr>Grafiikka</vt:lpstr>
      <vt:lpstr>TulosTASE</vt:lpstr>
      <vt:lpstr>Päästölaskenta</vt:lpstr>
      <vt:lpstr>Korkolaskuri</vt:lpstr>
      <vt:lpstr>Hintalaskuri 1</vt:lpstr>
      <vt:lpstr>Annuiteettikertoimet</vt:lpstr>
      <vt:lpstr>TulostaMallilaskelma</vt:lpstr>
      <vt:lpstr>Sonnin kasvusimulaattori</vt:lpstr>
      <vt:lpstr>Simuloi lehmän ruokinta</vt:lpstr>
      <vt:lpstr>Seosruokinta</vt:lpstr>
      <vt:lpstr>Simuloi sonnin ruokinta</vt:lpstr>
      <vt:lpstr>Ely</vt:lpstr>
      <vt:lpstr>'Hinnoittele jatkojalostus'!Hinnoittelumenetelm_t</vt:lpstr>
      <vt:lpstr>Kohdistusnimet</vt:lpstr>
      <vt:lpstr>korkosummavertailu</vt:lpstr>
      <vt:lpstr>Kuivauspolttoöljynmäärä</vt:lpstr>
      <vt:lpstr>Kuivurin_käyttö_yhteensä_h___vuosi</vt:lpstr>
      <vt:lpstr>Lainakohdistus</vt:lpstr>
      <vt:lpstr>'Muut kustannustiedot'!Lista</vt:lpstr>
      <vt:lpstr>Lista</vt:lpstr>
      <vt:lpstr>Lista2</vt:lpstr>
      <vt:lpstr>Lähtötiedot</vt:lpstr>
      <vt:lpstr>TulosTASE!OIKAISTU_TULOSLASKELMA</vt:lpstr>
      <vt:lpstr>OIKAISTU_TULOSLASKELMA</vt:lpstr>
      <vt:lpstr>T</vt:lpstr>
      <vt:lpstr>Tilavuuden_mitoitus_m3_puimurin_päiväpuintikapasiteetti_huomioiden</vt:lpstr>
      <vt:lpstr>'Budjetti useita vuosia'!Tulostusalue</vt:lpstr>
      <vt:lpstr>Budjettikuukausittain!Tulostusalue</vt:lpstr>
      <vt:lpstr>'EVL yrityksen 1 katelaskenta'!Tulostusalue</vt:lpstr>
      <vt:lpstr>'EVL yrityksen 2 katelaskenta'!Tulostusalue</vt:lpstr>
      <vt:lpstr>Grafiikka!Tulostusalue</vt:lpstr>
      <vt:lpstr>'Hinnoittele jatkojalostus'!Tulostusalue</vt:lpstr>
      <vt:lpstr>'Hintalaskuri 1'!Tulostusalue</vt:lpstr>
      <vt:lpstr>Konerekisteri!Tulostusalue</vt:lpstr>
      <vt:lpstr>Korkolaskuri!Tulostusalue</vt:lpstr>
      <vt:lpstr>Lainarekisteri!Tulostusalue</vt:lpstr>
      <vt:lpstr>LaskeKasvi1!Tulostusalue</vt:lpstr>
      <vt:lpstr>LaskeKasvi2!Tulostusalue</vt:lpstr>
      <vt:lpstr>LaskeKasvi4!Tulostusalue</vt:lpstr>
      <vt:lpstr>LaskeKasvi5!Tulostusalue</vt:lpstr>
      <vt:lpstr>LaskeKasvihuoneenkasvi!Tulostusalue</vt:lpstr>
      <vt:lpstr>LaskeKoneurakointi!Tulostusalue</vt:lpstr>
      <vt:lpstr>LaskeLiha!Tulostusalue</vt:lpstr>
      <vt:lpstr>'LaskeLiha special'!Tulostusalue</vt:lpstr>
      <vt:lpstr>Laskeliha2!Tulostusalue</vt:lpstr>
      <vt:lpstr>'LaskeMaito 2'!Tulostusalue</vt:lpstr>
      <vt:lpstr>'LaskeMaito 3'!Tulostusalue</vt:lpstr>
      <vt:lpstr>'LaskeMaito special'!Tulostusalue</vt:lpstr>
      <vt:lpstr>LaskeMaito1!Tulostusalue</vt:lpstr>
      <vt:lpstr>'LaskeMonivuotinenMarja 1'!Tulostusalue</vt:lpstr>
      <vt:lpstr>'LaskeMonivuotinenMarja 2'!Tulostusalue</vt:lpstr>
      <vt:lpstr>'LaskeMonivuotinenMarja 3'!Tulostusalue</vt:lpstr>
      <vt:lpstr>'LaskeMonivuotinenMarja 4'!Tulostusalue</vt:lpstr>
      <vt:lpstr>'LaskeMonivuotinenMarja 5'!Tulostusalue</vt:lpstr>
      <vt:lpstr>'LaskeMonivuotinenMarja 6'!Tulostusalue</vt:lpstr>
      <vt:lpstr>LaskeSäilörehu!Tulostusalue</vt:lpstr>
      <vt:lpstr>Lasku!Tulostusalue</vt:lpstr>
      <vt:lpstr>Lähtötiedot!Tulostusalue</vt:lpstr>
      <vt:lpstr>Metsä!Tulostusalue</vt:lpstr>
      <vt:lpstr>'Muut kustannustiedot'!Tulostusalue</vt:lpstr>
      <vt:lpstr>'Rakenna TULOSENNUSTE'!Tulostusalue</vt:lpstr>
      <vt:lpstr>Rakennukset!Tulostusalue</vt:lpstr>
      <vt:lpstr>'Simuloi lehmän ruokinta'!Tulostusalue</vt:lpstr>
      <vt:lpstr>'Simuloi sonnin ruokinta'!Tulostusalue</vt:lpstr>
      <vt:lpstr>'Traktorin tuntihinta'!Tulostusalue</vt:lpstr>
      <vt:lpstr>TulostaMallilaskelma!Tulostusalue</vt:lpstr>
      <vt:lpstr>TulosTASE!Tulostusalue</vt:lpstr>
      <vt:lpstr>vaihtoehdor2</vt:lpstr>
      <vt:lpstr>vaihtoehdot</vt:lpstr>
      <vt:lpstr>vaihtoehdot2</vt:lpstr>
    </vt:vector>
  </TitlesOfParts>
  <Manager/>
  <Company>Mika Mujunen, mikamujunen.com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Talouslaskenta Maatalous</dc:title>
  <dc:subject/>
  <dc:creator>Mujunen Mika</dc:creator>
  <cp:keywords/>
  <dc:description>Tehty opetuskäyttöön. Mika Mujunen ei ota kantaa eikä vastuuta ohjelman käyttäjän tekemiin päätöksiin. Käyttäjä itse tulkitsee lukemia.</dc:description>
  <cp:lastModifiedBy>Mujunen Mika</cp:lastModifiedBy>
  <cp:revision/>
  <cp:lastPrinted>2019-05-13T18:39:39Z</cp:lastPrinted>
  <dcterms:created xsi:type="dcterms:W3CDTF">2013-11-21T12:04:23Z</dcterms:created>
  <dcterms:modified xsi:type="dcterms:W3CDTF">2026-01-15T14:49:39Z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0x0101001D1BDD216CDF0442A2815467C4441A58</vt:lpwstr>
  </property>
</Properties>
</file>