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ämäTyökirja" defaultThemeVersion="124226"/>
  <mc:AlternateContent xmlns:mc="http://schemas.openxmlformats.org/markup-compatibility/2006">
    <mc:Choice Requires="x15">
      <x15ac:absPath xmlns:x15ac="http://schemas.microsoft.com/office/spreadsheetml/2010/11/ac" url="https://edusakky-my.sharepoint.com/personal/mika_mujunen_sakky_fi/Documents/Työ Sakky/www/nettilaskurit/"/>
    </mc:Choice>
  </mc:AlternateContent>
  <xr:revisionPtr revIDLastSave="8" documentId="8_{ADBB638B-E5F2-4D88-A8FD-5AC8DD2AAC6D}" xr6:coauthVersionLast="47" xr6:coauthVersionMax="47" xr10:uidLastSave="{13C8B871-4E0C-4D38-AD0B-BD256EDBAA68}"/>
  <workbookProtection workbookAlgorithmName="SHA-512" workbookHashValue="bR+1y/ZJB/n1201zTIOrTmNq3OkAX+Tq2iIqr5N3y9xIhrCBhACpYuJb4E7JoSfkRvvlMus5wny5bu0eZgcUEA==" workbookSaltValue="dxJFDzBBHJkBjJ2MM/MfDg==" workbookSpinCount="100000" lockStructure="1"/>
  <bookViews>
    <workbookView xWindow="38280" yWindow="-120" windowWidth="29040" windowHeight="15720" tabRatio="894" firstSheet="2" activeTab="2" xr2:uid="{00000000-000D-0000-FFFF-FFFF00000000}"/>
  </bookViews>
  <sheets>
    <sheet name="Ohjeet Metsä" sheetId="76" state="hidden" r:id="rId1"/>
    <sheet name="Ohjeet" sheetId="43" state="hidden" r:id="rId2"/>
    <sheet name="Ohjeet Tie" sheetId="83" r:id="rId3"/>
    <sheet name="Laskentayksikot" sheetId="42" state="hidden" r:id="rId4"/>
    <sheet name="Traktorin tuntihinta ketju 1" sheetId="34" state="hidden" r:id="rId5"/>
    <sheet name="Traktorin tuntihinta ketju 2" sheetId="39" state="hidden" r:id="rId6"/>
    <sheet name="Traktorin tuntihinta ketju 3" sheetId="40" state="hidden" r:id="rId7"/>
    <sheet name="Traktorin tuntihinta ketju 4" sheetId="74" state="hidden" r:id="rId8"/>
    <sheet name="Koneketjujen ketjutus" sheetId="41" state="hidden" r:id="rId9"/>
    <sheet name="Traktorin tuntihinta tieketju 1" sheetId="79" r:id="rId10"/>
    <sheet name="Traktorin tuntihinta tieketju 2" sheetId="80" r:id="rId11"/>
    <sheet name="Traktorin tuntihinta tieketju 3" sheetId="81" r:id="rId12"/>
    <sheet name="Traktorin tuntihinta tieketju 4" sheetId="82" r:id="rId13"/>
    <sheet name="Koneketjujen ketjutus Tieketju" sheetId="77" r:id="rId14"/>
    <sheet name="Kurottaja" sheetId="31" state="hidden" r:id="rId15"/>
    <sheet name="Puimuri" sheetId="47" state="hidden" r:id="rId16"/>
    <sheet name="Viljan kuivurilaskuri 1" sheetId="70" state="hidden" r:id="rId17"/>
    <sheet name="Metsäkone (moto)" sheetId="48" state="hidden" r:id="rId18"/>
    <sheet name="Metsäkone (ajokone)" sheetId="49" state="hidden" r:id="rId19"/>
    <sheet name="Metsäkone (ajokone 2)" sheetId="72" state="hidden" r:id="rId20"/>
    <sheet name="Metsäkoneketjujen ketjutus " sheetId="71" state="hidden" r:id="rId21"/>
    <sheet name="Kaivuri" sheetId="84" r:id="rId22"/>
    <sheet name="Auto" sheetId="65" r:id="rId23"/>
    <sheet name="Työpäivien lkm" sheetId="78" r:id="rId24"/>
    <sheet name="Ajoleikkuri" sheetId="35" state="hidden" r:id="rId25"/>
    <sheet name="Mönkijä" sheetId="33" r:id="rId26"/>
    <sheet name="Moottorikelkka" sheetId="29" r:id="rId27"/>
  </sheets>
  <definedNames>
    <definedName name="_2._Kuivurin_kokolaskuri" localSheetId="16">'Viljan kuivurilaskuri 1'!$B$50</definedName>
    <definedName name="_3._Kuivurin_ajankäyttölaskuri" localSheetId="16">'Viljan kuivurilaskuri 1'!$J$50</definedName>
    <definedName name="_4._Viljankuivauksen_polttoöljyn_tarvelaskenta_kuivurille_koko_vuosi" localSheetId="16">'Viljan kuivurilaskuri 1'!$B$77</definedName>
    <definedName name="Aikaa_kuivaamiseen_kuluu_h___kuivauserä" localSheetId="16">'Viljan kuivurilaskuri 1'!$B$90</definedName>
    <definedName name="Ajankäyttölaskurille" localSheetId="16">'Viljan kuivurilaskuri 1'!$J$58</definedName>
    <definedName name="anscount" hidden="1">2</definedName>
    <definedName name="Kokolaskuri" localSheetId="16">'Viljan kuivurilaskuri 1'!$B$60</definedName>
    <definedName name="Litraa_kuivaustunti" localSheetId="16">'Viljan kuivurilaskuri 1'!$B$103</definedName>
    <definedName name="Lähtötiedot" localSheetId="19">#REF!,#REF!</definedName>
    <definedName name="Lähtötiedot" localSheetId="15">#REF!,#REF!</definedName>
    <definedName name="Lähtötiedot" localSheetId="4">#REF!,#REF!</definedName>
    <definedName name="Lähtötiedot" localSheetId="5">#REF!,#REF!</definedName>
    <definedName name="Lähtötiedot" localSheetId="6">#REF!,#REF!</definedName>
    <definedName name="Lähtötiedot" localSheetId="7">#REF!,#REF!</definedName>
    <definedName name="Lähtötiedot" localSheetId="16">#REF!,#REF!</definedName>
    <definedName name="Sähkömoottorin_teho_kW" localSheetId="16">'Viljan kuivurilaskuri 1'!$B$95</definedName>
    <definedName name="_xlnm.Print_Area" localSheetId="22">Auto!$A$1:$U$38</definedName>
    <definedName name="_xlnm.Print_Area" localSheetId="21">Kaivuri!$A$1:$U$38</definedName>
    <definedName name="_xlnm.Print_Area" localSheetId="8">'Koneketjujen ketjutus'!$A$1:$U$88</definedName>
    <definedName name="_xlnm.Print_Area" localSheetId="13">'Koneketjujen ketjutus Tieketju'!$A$3:$S$87</definedName>
    <definedName name="_xlnm.Print_Area" localSheetId="19">'Metsäkone (ajokone 2)'!$A$1:$U$38</definedName>
    <definedName name="_xlnm.Print_Area" localSheetId="18">'Metsäkone (ajokone)'!$A$1:$U$38</definedName>
    <definedName name="_xlnm.Print_Area" localSheetId="17">'Metsäkone (moto)'!$A$1:$U$38</definedName>
    <definedName name="_xlnm.Print_Area" localSheetId="15">Puimuri!$A$1:$U$37</definedName>
    <definedName name="_xlnm.Print_Area" localSheetId="4">'Traktorin tuntihinta ketju 1'!$A$1:$U$38</definedName>
    <definedName name="_xlnm.Print_Area" localSheetId="5">'Traktorin tuntihinta ketju 2'!$A$1:$U$38</definedName>
    <definedName name="_xlnm.Print_Area" localSheetId="6">'Traktorin tuntihinta ketju 3'!$A$1:$U$38</definedName>
    <definedName name="_xlnm.Print_Area" localSheetId="7">'Traktorin tuntihinta ketju 4'!$A$1:$U$38</definedName>
    <definedName name="_xlnm.Print_Area" localSheetId="9">'Traktorin tuntihinta tieketju 1'!$A$1:$U$38</definedName>
    <definedName name="_xlnm.Print_Area" localSheetId="10">'Traktorin tuntihinta tieketju 2'!$A$1:$U$38</definedName>
    <definedName name="_xlnm.Print_Area" localSheetId="11">'Traktorin tuntihinta tieketju 3'!$A$1:$U$38</definedName>
    <definedName name="_xlnm.Print_Area" localSheetId="12">'Traktorin tuntihinta tieketju 4'!$A$1:$U$38</definedName>
    <definedName name="_xlnm.Print_Area" localSheetId="23">'Työpäivien lkm'!$A$1:$S$24</definedName>
    <definedName name="_xlnm.Print_Area" localSheetId="16">'Viljan kuivurilaskuri 1'!$A$2:$V$41</definedName>
    <definedName name="yksikot">Laskentayksikot!$B$2:$B$8</definedName>
  </definedNames>
  <calcPr calcId="191028"/>
  <customWorkbookViews>
    <customWorkbookView name="mikamu - Oma näkymä" guid="{217B77F9-0F9B-44BC-944A-FD7AE701B041}" mergeInterval="0" personalView="1" maximized="1" xWindow="1" yWindow="1" windowWidth="1676" windowHeight="829" tabRatio="89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7" i="79" l="1"/>
  <c r="O57" i="84"/>
  <c r="O57" i="82"/>
  <c r="O56" i="81"/>
  <c r="O57" i="81"/>
  <c r="O57" i="80"/>
  <c r="AE49" i="84" l="1"/>
  <c r="AE50" i="84"/>
  <c r="AE51" i="84"/>
  <c r="AE52" i="84"/>
  <c r="AE53" i="84"/>
  <c r="AE55" i="79"/>
  <c r="J82" i="80"/>
  <c r="AE49" i="80"/>
  <c r="AE50" i="80"/>
  <c r="AE51" i="80"/>
  <c r="AE52" i="80"/>
  <c r="AE53" i="80"/>
  <c r="AE54" i="80"/>
  <c r="AE55" i="80"/>
  <c r="AE56" i="80"/>
  <c r="AE57" i="80"/>
  <c r="J82" i="81"/>
  <c r="J82" i="82"/>
  <c r="AE52" i="82"/>
  <c r="AE53" i="82"/>
  <c r="AE54" i="82"/>
  <c r="AE55" i="82"/>
  <c r="AE56" i="82"/>
  <c r="AE57" i="82"/>
  <c r="AE48" i="81"/>
  <c r="AE57" i="81"/>
  <c r="AE56" i="81"/>
  <c r="AE55" i="81"/>
  <c r="AE54" i="81"/>
  <c r="AE53" i="81"/>
  <c r="AE52" i="81"/>
  <c r="AE51" i="81"/>
  <c r="AE50" i="81"/>
  <c r="AE49" i="81"/>
  <c r="AE47" i="81"/>
  <c r="C92" i="84"/>
  <c r="L84" i="84"/>
  <c r="L80" i="84"/>
  <c r="B74" i="84"/>
  <c r="A74" i="84"/>
  <c r="B73" i="84"/>
  <c r="A73" i="84"/>
  <c r="B72" i="84"/>
  <c r="A72" i="84"/>
  <c r="B71" i="84"/>
  <c r="A71" i="84"/>
  <c r="B70" i="84"/>
  <c r="A70" i="84"/>
  <c r="B69" i="84"/>
  <c r="A69" i="84"/>
  <c r="B68" i="84"/>
  <c r="A68" i="84"/>
  <c r="B67" i="84"/>
  <c r="A67" i="84"/>
  <c r="B66" i="84"/>
  <c r="A66" i="84"/>
  <c r="B65" i="84"/>
  <c r="A65" i="84"/>
  <c r="B64" i="84"/>
  <c r="A64" i="84"/>
  <c r="B63" i="84"/>
  <c r="A63" i="84"/>
  <c r="B62" i="84"/>
  <c r="A62" i="84"/>
  <c r="B61" i="84"/>
  <c r="A61" i="84"/>
  <c r="K58" i="84"/>
  <c r="G58" i="84"/>
  <c r="AA57" i="84"/>
  <c r="F57" i="84"/>
  <c r="AA56" i="84"/>
  <c r="F56" i="84"/>
  <c r="AA55" i="84"/>
  <c r="F55" i="84"/>
  <c r="AA54" i="84"/>
  <c r="F54" i="84"/>
  <c r="AG53" i="84"/>
  <c r="AF53" i="84"/>
  <c r="AD53" i="84"/>
  <c r="AC53" i="84"/>
  <c r="AA53" i="84"/>
  <c r="Z53" i="84"/>
  <c r="AB53" i="84" s="1"/>
  <c r="Y53" i="84"/>
  <c r="X53" i="84"/>
  <c r="W53" i="84"/>
  <c r="G70" i="84" s="1"/>
  <c r="L70" i="84" s="1"/>
  <c r="V53" i="84"/>
  <c r="U53" i="84"/>
  <c r="T53" i="84"/>
  <c r="J70" i="84" s="1"/>
  <c r="N70" i="84" s="1"/>
  <c r="S53" i="84"/>
  <c r="R53" i="84"/>
  <c r="Q53" i="84"/>
  <c r="O53" i="84"/>
  <c r="M53" i="84"/>
  <c r="F53" i="84"/>
  <c r="AG52" i="84"/>
  <c r="AF52" i="84"/>
  <c r="AD52" i="84"/>
  <c r="AC52" i="84"/>
  <c r="AA52" i="84"/>
  <c r="Z52" i="84"/>
  <c r="AB52" i="84" s="1"/>
  <c r="Y52" i="84"/>
  <c r="X52" i="84"/>
  <c r="W52" i="84"/>
  <c r="G69" i="84" s="1"/>
  <c r="L69" i="84" s="1"/>
  <c r="V52" i="84"/>
  <c r="U52" i="84"/>
  <c r="T52" i="84"/>
  <c r="J69" i="84" s="1"/>
  <c r="N69" i="84" s="1"/>
  <c r="S52" i="84"/>
  <c r="R52" i="84"/>
  <c r="Q52" i="84"/>
  <c r="O52" i="84"/>
  <c r="M52" i="84"/>
  <c r="F52" i="84"/>
  <c r="AG51" i="84"/>
  <c r="AF51" i="84"/>
  <c r="AD51" i="84"/>
  <c r="AC51" i="84"/>
  <c r="AA51" i="84"/>
  <c r="Z51" i="84"/>
  <c r="AB51" i="84" s="1"/>
  <c r="Y51" i="84"/>
  <c r="X51" i="84"/>
  <c r="W51" i="84"/>
  <c r="G68" i="84" s="1"/>
  <c r="L68" i="84" s="1"/>
  <c r="V51" i="84"/>
  <c r="U51" i="84"/>
  <c r="T51" i="84"/>
  <c r="J68" i="84" s="1"/>
  <c r="N68" i="84" s="1"/>
  <c r="S51" i="84"/>
  <c r="R51" i="84"/>
  <c r="Q51" i="84"/>
  <c r="O51" i="84"/>
  <c r="M51" i="84"/>
  <c r="F51" i="84"/>
  <c r="AG50" i="84"/>
  <c r="AF50" i="84"/>
  <c r="AD50" i="84"/>
  <c r="AC50" i="84"/>
  <c r="AA50" i="84"/>
  <c r="Z50" i="84"/>
  <c r="AB50" i="84" s="1"/>
  <c r="Y50" i="84"/>
  <c r="X50" i="84"/>
  <c r="W50" i="84"/>
  <c r="G67" i="84" s="1"/>
  <c r="L67" i="84" s="1"/>
  <c r="V50" i="84"/>
  <c r="U50" i="84"/>
  <c r="T50" i="84"/>
  <c r="J67" i="84" s="1"/>
  <c r="N67" i="84" s="1"/>
  <c r="S50" i="84"/>
  <c r="R50" i="84"/>
  <c r="Q50" i="84"/>
  <c r="O50" i="84"/>
  <c r="M50" i="84"/>
  <c r="F50" i="84"/>
  <c r="AG49" i="84"/>
  <c r="AF49" i="84"/>
  <c r="AD49" i="84"/>
  <c r="AC49" i="84"/>
  <c r="AA49" i="84"/>
  <c r="Z49" i="84"/>
  <c r="AB49" i="84" s="1"/>
  <c r="Y49" i="84"/>
  <c r="X49" i="84"/>
  <c r="W49" i="84"/>
  <c r="G66" i="84" s="1"/>
  <c r="L66" i="84" s="1"/>
  <c r="V49" i="84"/>
  <c r="U49" i="84"/>
  <c r="T49" i="84"/>
  <c r="J66" i="84" s="1"/>
  <c r="N66" i="84" s="1"/>
  <c r="S49" i="84"/>
  <c r="R49" i="84"/>
  <c r="Q49" i="84"/>
  <c r="O49" i="84"/>
  <c r="M49" i="84"/>
  <c r="F49" i="84"/>
  <c r="AA48" i="84"/>
  <c r="W48" i="84"/>
  <c r="G65" i="84" s="1"/>
  <c r="Q48" i="84"/>
  <c r="O48" i="84"/>
  <c r="M48" i="84"/>
  <c r="F48" i="84"/>
  <c r="AA47" i="84"/>
  <c r="F47" i="84"/>
  <c r="AA46" i="84"/>
  <c r="F46" i="84"/>
  <c r="AA45" i="84"/>
  <c r="F45" i="84"/>
  <c r="AA44" i="84"/>
  <c r="F44" i="84"/>
  <c r="R38" i="84"/>
  <c r="Q37" i="84"/>
  <c r="M37" i="84"/>
  <c r="I37" i="84"/>
  <c r="R36" i="84"/>
  <c r="R37" i="84" s="1"/>
  <c r="T35" i="84"/>
  <c r="J82" i="84" s="1"/>
  <c r="M35" i="84"/>
  <c r="Q35" i="84" s="1"/>
  <c r="R34" i="84"/>
  <c r="I34" i="84"/>
  <c r="M34" i="84" s="1"/>
  <c r="Q34" i="84" s="1"/>
  <c r="R33" i="84"/>
  <c r="R31" i="84"/>
  <c r="R30" i="84"/>
  <c r="T29" i="84"/>
  <c r="Q29" i="84"/>
  <c r="M29" i="84"/>
  <c r="I29" i="84"/>
  <c r="T28" i="84"/>
  <c r="Q28" i="84"/>
  <c r="M28" i="84"/>
  <c r="I28" i="84"/>
  <c r="R27" i="84"/>
  <c r="N27" i="84"/>
  <c r="I27" i="84"/>
  <c r="J27" i="84" s="1"/>
  <c r="D27" i="84"/>
  <c r="F27" i="84" s="1"/>
  <c r="T26" i="84"/>
  <c r="Y25" i="84"/>
  <c r="W25" i="84"/>
  <c r="X25" i="84" s="1"/>
  <c r="R25" i="84"/>
  <c r="Q25" i="84"/>
  <c r="N25" i="84"/>
  <c r="N30" i="84" s="1"/>
  <c r="M25" i="84"/>
  <c r="M27" i="84"/>
  <c r="I25" i="84"/>
  <c r="J25" i="84" s="1"/>
  <c r="F25" i="84"/>
  <c r="T24" i="84"/>
  <c r="R22" i="84"/>
  <c r="R21" i="84"/>
  <c r="T19" i="84"/>
  <c r="T18" i="84"/>
  <c r="T17" i="84"/>
  <c r="R15" i="84"/>
  <c r="R14" i="84"/>
  <c r="R13" i="84"/>
  <c r="I8" i="84"/>
  <c r="M8" i="84" s="1"/>
  <c r="F8" i="84"/>
  <c r="F9" i="84" s="1"/>
  <c r="Q6" i="84"/>
  <c r="J6" i="84"/>
  <c r="F6" i="84"/>
  <c r="T5" i="84"/>
  <c r="T3" i="84"/>
  <c r="B40" i="84" s="1"/>
  <c r="A1" i="77"/>
  <c r="F47" i="79"/>
  <c r="F48" i="79"/>
  <c r="F49" i="79"/>
  <c r="F50" i="79"/>
  <c r="F51" i="79"/>
  <c r="F48" i="80"/>
  <c r="F49" i="80"/>
  <c r="F50" i="80"/>
  <c r="F51" i="80"/>
  <c r="F49" i="81"/>
  <c r="F50" i="81"/>
  <c r="F51" i="81"/>
  <c r="F50" i="82"/>
  <c r="B40" i="81"/>
  <c r="B40" i="80"/>
  <c r="C92" i="79"/>
  <c r="L84" i="79"/>
  <c r="L80" i="79"/>
  <c r="B74" i="79"/>
  <c r="A74" i="79"/>
  <c r="B73" i="79"/>
  <c r="A73" i="79"/>
  <c r="B72" i="79"/>
  <c r="A72" i="79"/>
  <c r="B71" i="79"/>
  <c r="A71" i="79"/>
  <c r="B70" i="79"/>
  <c r="A70" i="79"/>
  <c r="B69" i="79"/>
  <c r="A69" i="79"/>
  <c r="B68" i="79"/>
  <c r="A68" i="79"/>
  <c r="B67" i="79"/>
  <c r="A67" i="79"/>
  <c r="B66" i="79"/>
  <c r="A66" i="79"/>
  <c r="B65" i="79"/>
  <c r="A65" i="79"/>
  <c r="B64" i="79"/>
  <c r="A64" i="79"/>
  <c r="B63" i="79"/>
  <c r="A63" i="79"/>
  <c r="B62" i="79"/>
  <c r="A62" i="79"/>
  <c r="B61" i="79"/>
  <c r="A61" i="79"/>
  <c r="K58" i="79"/>
  <c r="G58" i="79"/>
  <c r="AG57" i="79"/>
  <c r="AF57" i="79"/>
  <c r="AE57" i="79"/>
  <c r="AD57" i="79"/>
  <c r="AC57" i="79"/>
  <c r="AA57" i="79"/>
  <c r="Z57" i="79"/>
  <c r="Y57" i="79"/>
  <c r="X57" i="79"/>
  <c r="W57" i="79"/>
  <c r="G74" i="79" s="1"/>
  <c r="L74" i="79" s="1"/>
  <c r="V57" i="79"/>
  <c r="U57" i="79"/>
  <c r="T57" i="79"/>
  <c r="J74" i="79" s="1"/>
  <c r="N74" i="79" s="1"/>
  <c r="S57" i="79"/>
  <c r="R57" i="79"/>
  <c r="Q57" i="79"/>
  <c r="M57" i="79"/>
  <c r="F57" i="79"/>
  <c r="AG56" i="79"/>
  <c r="AF56" i="79"/>
  <c r="AE56" i="79"/>
  <c r="AD56" i="79"/>
  <c r="AC56" i="79"/>
  <c r="AA56" i="79"/>
  <c r="Z56" i="79"/>
  <c r="AB56" i="79" s="1"/>
  <c r="Y56" i="79"/>
  <c r="X56" i="79"/>
  <c r="W56" i="79"/>
  <c r="G73" i="79" s="1"/>
  <c r="L73" i="79" s="1"/>
  <c r="V56" i="79"/>
  <c r="U56" i="79"/>
  <c r="T56" i="79"/>
  <c r="J73" i="79" s="1"/>
  <c r="N73" i="79" s="1"/>
  <c r="S56" i="79"/>
  <c r="R56" i="79"/>
  <c r="Q56" i="79"/>
  <c r="O56" i="79"/>
  <c r="M56" i="79"/>
  <c r="F56" i="79"/>
  <c r="AG55" i="79"/>
  <c r="AF55" i="79"/>
  <c r="AD55" i="79"/>
  <c r="AC55" i="79"/>
  <c r="AA55" i="79"/>
  <c r="Z55" i="79"/>
  <c r="AB55" i="79" s="1"/>
  <c r="Y55" i="79"/>
  <c r="X55" i="79"/>
  <c r="W55" i="79"/>
  <c r="G72" i="79" s="1"/>
  <c r="L72" i="79" s="1"/>
  <c r="V55" i="79"/>
  <c r="U55" i="79"/>
  <c r="T55" i="79"/>
  <c r="J72" i="79" s="1"/>
  <c r="N72" i="79" s="1"/>
  <c r="S55" i="79"/>
  <c r="R55" i="79"/>
  <c r="Q55" i="79"/>
  <c r="O55" i="79"/>
  <c r="M55" i="79"/>
  <c r="F55" i="79"/>
  <c r="AG54" i="79"/>
  <c r="AF54" i="79"/>
  <c r="AE54" i="79"/>
  <c r="AD54" i="79"/>
  <c r="AC54" i="79"/>
  <c r="AA54" i="79"/>
  <c r="Z54" i="79"/>
  <c r="AB54" i="79" s="1"/>
  <c r="Y54" i="79"/>
  <c r="X54" i="79"/>
  <c r="W54" i="79"/>
  <c r="G71" i="79" s="1"/>
  <c r="L71" i="79" s="1"/>
  <c r="V54" i="79"/>
  <c r="U54" i="79"/>
  <c r="T54" i="79"/>
  <c r="J71" i="79" s="1"/>
  <c r="N71" i="79" s="1"/>
  <c r="S54" i="79"/>
  <c r="R54" i="79"/>
  <c r="Q54" i="79"/>
  <c r="O54" i="79"/>
  <c r="M54" i="79"/>
  <c r="F54" i="79"/>
  <c r="AG53" i="79"/>
  <c r="AF53" i="79"/>
  <c r="AE53" i="79"/>
  <c r="AD53" i="79"/>
  <c r="AC53" i="79"/>
  <c r="AA53" i="79"/>
  <c r="Z53" i="79"/>
  <c r="Y53" i="79"/>
  <c r="X53" i="79"/>
  <c r="W53" i="79"/>
  <c r="G70" i="79" s="1"/>
  <c r="L70" i="79" s="1"/>
  <c r="V53" i="79"/>
  <c r="U53" i="79"/>
  <c r="T53" i="79"/>
  <c r="J70" i="79" s="1"/>
  <c r="N70" i="79" s="1"/>
  <c r="S53" i="79"/>
  <c r="R53" i="79"/>
  <c r="Q53" i="79"/>
  <c r="O53" i="79"/>
  <c r="M53" i="79"/>
  <c r="F53" i="79"/>
  <c r="AG52" i="79"/>
  <c r="AF52" i="79"/>
  <c r="AE52" i="79"/>
  <c r="AD52" i="79"/>
  <c r="AC52" i="79"/>
  <c r="AA52" i="79"/>
  <c r="Z52" i="79"/>
  <c r="AB52" i="79" s="1"/>
  <c r="Y52" i="79"/>
  <c r="X52" i="79"/>
  <c r="W52" i="79"/>
  <c r="G69" i="79" s="1"/>
  <c r="L69" i="79" s="1"/>
  <c r="V52" i="79"/>
  <c r="U52" i="79"/>
  <c r="T52" i="79"/>
  <c r="J69" i="79" s="1"/>
  <c r="N69" i="79" s="1"/>
  <c r="S52" i="79"/>
  <c r="R52" i="79"/>
  <c r="Q52" i="79"/>
  <c r="O52" i="79"/>
  <c r="M52" i="79"/>
  <c r="F52" i="79"/>
  <c r="AG51" i="79"/>
  <c r="AF51" i="79"/>
  <c r="AE51" i="79"/>
  <c r="AD51" i="79"/>
  <c r="AC51" i="79"/>
  <c r="AA51" i="79"/>
  <c r="Z51" i="79"/>
  <c r="AB51" i="79" s="1"/>
  <c r="Y51" i="79"/>
  <c r="X51" i="79"/>
  <c r="W51" i="79"/>
  <c r="G68" i="79" s="1"/>
  <c r="L68" i="79" s="1"/>
  <c r="V51" i="79"/>
  <c r="U51" i="79"/>
  <c r="T51" i="79"/>
  <c r="J68" i="79" s="1"/>
  <c r="N68" i="79" s="1"/>
  <c r="S51" i="79"/>
  <c r="R51" i="79"/>
  <c r="Q51" i="79"/>
  <c r="O51" i="79"/>
  <c r="M51" i="79"/>
  <c r="AA50" i="79"/>
  <c r="Q50" i="79"/>
  <c r="O50" i="79"/>
  <c r="M50" i="79"/>
  <c r="W50" i="79" s="1"/>
  <c r="AA49" i="79"/>
  <c r="W49" i="79"/>
  <c r="G66" i="79" s="1"/>
  <c r="Q49" i="79"/>
  <c r="O49" i="79"/>
  <c r="M49" i="79"/>
  <c r="AA48" i="79"/>
  <c r="W48" i="79"/>
  <c r="V48" i="79" s="1"/>
  <c r="Y48" i="79" s="1"/>
  <c r="S48" i="79" s="1"/>
  <c r="Q48" i="79"/>
  <c r="O48" i="79"/>
  <c r="M48" i="79"/>
  <c r="AA47" i="79"/>
  <c r="AA46" i="79"/>
  <c r="F46" i="79"/>
  <c r="AA45" i="79"/>
  <c r="F45" i="79"/>
  <c r="AA44" i="79"/>
  <c r="F44" i="79"/>
  <c r="C92" i="80"/>
  <c r="L84" i="80"/>
  <c r="L80" i="80"/>
  <c r="J77" i="80"/>
  <c r="B74" i="80"/>
  <c r="A74" i="80"/>
  <c r="B73" i="80"/>
  <c r="A73" i="80"/>
  <c r="B72" i="80"/>
  <c r="A72" i="80"/>
  <c r="B71" i="80"/>
  <c r="A71" i="80"/>
  <c r="B70" i="80"/>
  <c r="A70" i="80"/>
  <c r="B69" i="80"/>
  <c r="A69" i="80"/>
  <c r="B68" i="80"/>
  <c r="A68" i="80"/>
  <c r="B67" i="80"/>
  <c r="A67" i="80"/>
  <c r="B66" i="80"/>
  <c r="A66" i="80"/>
  <c r="B65" i="80"/>
  <c r="A65" i="80"/>
  <c r="B64" i="80"/>
  <c r="A64" i="80"/>
  <c r="B63" i="80"/>
  <c r="A63" i="80"/>
  <c r="B62" i="80"/>
  <c r="A62" i="80"/>
  <c r="B61" i="80"/>
  <c r="A61" i="80"/>
  <c r="G59" i="80"/>
  <c r="K58" i="80"/>
  <c r="G58" i="80"/>
  <c r="AA57" i="80"/>
  <c r="Q57" i="80"/>
  <c r="M57" i="80"/>
  <c r="W57" i="80" s="1"/>
  <c r="F57" i="80"/>
  <c r="AA56" i="80"/>
  <c r="Q56" i="80"/>
  <c r="O56" i="80"/>
  <c r="M56" i="80"/>
  <c r="W56" i="80" s="1"/>
  <c r="F56" i="80"/>
  <c r="AA55" i="80"/>
  <c r="Q55" i="80"/>
  <c r="O55" i="80"/>
  <c r="M55" i="80"/>
  <c r="W55" i="80" s="1"/>
  <c r="F55" i="80"/>
  <c r="AA54" i="80"/>
  <c r="Q54" i="80"/>
  <c r="O54" i="80"/>
  <c r="M54" i="80"/>
  <c r="W54" i="80" s="1"/>
  <c r="F54" i="80"/>
  <c r="AG53" i="80"/>
  <c r="AF53" i="80"/>
  <c r="AD53" i="80"/>
  <c r="AC53" i="80"/>
  <c r="AA53" i="80"/>
  <c r="Z53" i="80"/>
  <c r="AB53" i="80" s="1"/>
  <c r="Y53" i="80"/>
  <c r="X53" i="80"/>
  <c r="W53" i="80"/>
  <c r="G70" i="80" s="1"/>
  <c r="L70" i="80" s="1"/>
  <c r="V53" i="80"/>
  <c r="U53" i="80"/>
  <c r="T53" i="80"/>
  <c r="J70" i="80" s="1"/>
  <c r="N70" i="80" s="1"/>
  <c r="S53" i="80"/>
  <c r="R53" i="80"/>
  <c r="Q53" i="80"/>
  <c r="O53" i="80"/>
  <c r="M53" i="80"/>
  <c r="F53" i="80"/>
  <c r="AG52" i="80"/>
  <c r="AF52" i="80"/>
  <c r="AD52" i="80"/>
  <c r="AC52" i="80"/>
  <c r="AA52" i="80"/>
  <c r="Z52" i="80"/>
  <c r="AB52" i="80" s="1"/>
  <c r="Y52" i="80"/>
  <c r="X52" i="80"/>
  <c r="W52" i="80"/>
  <c r="G69" i="80" s="1"/>
  <c r="L69" i="80" s="1"/>
  <c r="V52" i="80"/>
  <c r="U52" i="80"/>
  <c r="T52" i="80"/>
  <c r="J69" i="80" s="1"/>
  <c r="N69" i="80" s="1"/>
  <c r="S52" i="80"/>
  <c r="R52" i="80"/>
  <c r="Q52" i="80"/>
  <c r="O52" i="80"/>
  <c r="M52" i="80"/>
  <c r="F52" i="80"/>
  <c r="AG51" i="80"/>
  <c r="AF51" i="80"/>
  <c r="AD51" i="80"/>
  <c r="AC51" i="80"/>
  <c r="AA51" i="80"/>
  <c r="Z51" i="80"/>
  <c r="AB51" i="80" s="1"/>
  <c r="Y51" i="80"/>
  <c r="X51" i="80"/>
  <c r="W51" i="80"/>
  <c r="G68" i="80" s="1"/>
  <c r="L68" i="80" s="1"/>
  <c r="V51" i="80"/>
  <c r="U51" i="80"/>
  <c r="T51" i="80"/>
  <c r="J68" i="80" s="1"/>
  <c r="N68" i="80" s="1"/>
  <c r="S51" i="80"/>
  <c r="R51" i="80"/>
  <c r="Q51" i="80"/>
  <c r="O51" i="80"/>
  <c r="M51" i="80"/>
  <c r="AA50" i="80"/>
  <c r="Q50" i="80"/>
  <c r="O50" i="80"/>
  <c r="M50" i="80"/>
  <c r="W50" i="80" s="1"/>
  <c r="AA49" i="80"/>
  <c r="W49" i="80"/>
  <c r="G66" i="80" s="1"/>
  <c r="Q49" i="80"/>
  <c r="O49" i="80"/>
  <c r="M49" i="80"/>
  <c r="AA48" i="80"/>
  <c r="Q48" i="80"/>
  <c r="O48" i="80"/>
  <c r="M48" i="80"/>
  <c r="W48" i="80" s="1"/>
  <c r="V48" i="80" s="1"/>
  <c r="Y48" i="80" s="1"/>
  <c r="S48" i="80" s="1"/>
  <c r="AA47" i="80"/>
  <c r="Q47" i="80"/>
  <c r="O47" i="80"/>
  <c r="M47" i="80"/>
  <c r="W47" i="80" s="1"/>
  <c r="F47" i="80"/>
  <c r="AA46" i="80"/>
  <c r="Q46" i="80"/>
  <c r="O46" i="80"/>
  <c r="M46" i="80"/>
  <c r="W46" i="80" s="1"/>
  <c r="F46" i="80"/>
  <c r="AA45" i="80"/>
  <c r="Q45" i="80"/>
  <c r="O45" i="80"/>
  <c r="M45" i="80"/>
  <c r="F45" i="80"/>
  <c r="AA44" i="80"/>
  <c r="Q44" i="80"/>
  <c r="O44" i="80"/>
  <c r="M44" i="80"/>
  <c r="W44" i="80" s="1"/>
  <c r="F44" i="80"/>
  <c r="C92" i="82"/>
  <c r="L84" i="82"/>
  <c r="L80" i="82"/>
  <c r="B74" i="82"/>
  <c r="A74" i="82"/>
  <c r="B73" i="82"/>
  <c r="A73" i="82"/>
  <c r="B72" i="82"/>
  <c r="A72" i="82"/>
  <c r="B71" i="82"/>
  <c r="A71" i="82"/>
  <c r="B70" i="82"/>
  <c r="A70" i="82"/>
  <c r="B69" i="82"/>
  <c r="A69" i="82"/>
  <c r="B68" i="82"/>
  <c r="A68" i="82"/>
  <c r="B67" i="82"/>
  <c r="A67" i="82"/>
  <c r="B66" i="82"/>
  <c r="A66" i="82"/>
  <c r="B65" i="82"/>
  <c r="A65" i="82"/>
  <c r="B64" i="82"/>
  <c r="A64" i="82"/>
  <c r="B63" i="82"/>
  <c r="A63" i="82"/>
  <c r="B62" i="82"/>
  <c r="A62" i="82"/>
  <c r="B61" i="82"/>
  <c r="A61" i="82"/>
  <c r="K58" i="82"/>
  <c r="G58" i="82"/>
  <c r="AG57" i="82"/>
  <c r="AF57" i="82"/>
  <c r="AD57" i="82"/>
  <c r="AC57" i="82"/>
  <c r="AA57" i="82"/>
  <c r="Z57" i="82"/>
  <c r="Y57" i="82"/>
  <c r="X57" i="82"/>
  <c r="W57" i="82"/>
  <c r="G74" i="82" s="1"/>
  <c r="L74" i="82" s="1"/>
  <c r="V57" i="82"/>
  <c r="U57" i="82"/>
  <c r="T57" i="82"/>
  <c r="J74" i="82" s="1"/>
  <c r="N74" i="82" s="1"/>
  <c r="S57" i="82"/>
  <c r="R57" i="82"/>
  <c r="Q57" i="82"/>
  <c r="M57" i="82"/>
  <c r="F57" i="82"/>
  <c r="AG56" i="82"/>
  <c r="AF56" i="82"/>
  <c r="AD56" i="82"/>
  <c r="AC56" i="82"/>
  <c r="AA56" i="82"/>
  <c r="Z56" i="82"/>
  <c r="AB56" i="82" s="1"/>
  <c r="Y56" i="82"/>
  <c r="X56" i="82"/>
  <c r="W56" i="82"/>
  <c r="G73" i="82" s="1"/>
  <c r="L73" i="82" s="1"/>
  <c r="V56" i="82"/>
  <c r="U56" i="82"/>
  <c r="T56" i="82"/>
  <c r="J73" i="82" s="1"/>
  <c r="N73" i="82" s="1"/>
  <c r="S56" i="82"/>
  <c r="R56" i="82"/>
  <c r="Q56" i="82"/>
  <c r="O56" i="82"/>
  <c r="M56" i="82"/>
  <c r="F56" i="82"/>
  <c r="AG55" i="82"/>
  <c r="AF55" i="82"/>
  <c r="AD55" i="82"/>
  <c r="AC55" i="82"/>
  <c r="AA55" i="82"/>
  <c r="Z55" i="82"/>
  <c r="AB55" i="82" s="1"/>
  <c r="Y55" i="82"/>
  <c r="X55" i="82"/>
  <c r="W55" i="82"/>
  <c r="G72" i="82" s="1"/>
  <c r="L72" i="82" s="1"/>
  <c r="V55" i="82"/>
  <c r="U55" i="82"/>
  <c r="T55" i="82"/>
  <c r="J72" i="82" s="1"/>
  <c r="N72" i="82" s="1"/>
  <c r="S55" i="82"/>
  <c r="R55" i="82"/>
  <c r="Q55" i="82"/>
  <c r="O55" i="82"/>
  <c r="M55" i="82"/>
  <c r="F55" i="82"/>
  <c r="AG54" i="82"/>
  <c r="AF54" i="82"/>
  <c r="AD54" i="82"/>
  <c r="AC54" i="82"/>
  <c r="AA54" i="82"/>
  <c r="Z54" i="82"/>
  <c r="AB54" i="82" s="1"/>
  <c r="Y54" i="82"/>
  <c r="X54" i="82"/>
  <c r="W54" i="82"/>
  <c r="G71" i="82" s="1"/>
  <c r="L71" i="82" s="1"/>
  <c r="V54" i="82"/>
  <c r="U54" i="82"/>
  <c r="T54" i="82"/>
  <c r="J71" i="82" s="1"/>
  <c r="N71" i="82" s="1"/>
  <c r="S54" i="82"/>
  <c r="R54" i="82"/>
  <c r="Q54" i="82"/>
  <c r="O54" i="82"/>
  <c r="M54" i="82"/>
  <c r="F54" i="82"/>
  <c r="AG53" i="82"/>
  <c r="AF53" i="82"/>
  <c r="AD53" i="82"/>
  <c r="AC53" i="82"/>
  <c r="AA53" i="82"/>
  <c r="Z53" i="82"/>
  <c r="Y53" i="82"/>
  <c r="X53" i="82"/>
  <c r="W53" i="82"/>
  <c r="G70" i="82" s="1"/>
  <c r="L70" i="82" s="1"/>
  <c r="V53" i="82"/>
  <c r="U53" i="82"/>
  <c r="T53" i="82"/>
  <c r="J70" i="82" s="1"/>
  <c r="N70" i="82" s="1"/>
  <c r="S53" i="82"/>
  <c r="R53" i="82"/>
  <c r="Q53" i="82"/>
  <c r="O53" i="82"/>
  <c r="M53" i="82"/>
  <c r="F53" i="82"/>
  <c r="AG52" i="82"/>
  <c r="AF52" i="82"/>
  <c r="AD52" i="82"/>
  <c r="AC52" i="82"/>
  <c r="AA52" i="82"/>
  <c r="Z52" i="82"/>
  <c r="AB52" i="82" s="1"/>
  <c r="Y52" i="82"/>
  <c r="X52" i="82"/>
  <c r="W52" i="82"/>
  <c r="G69" i="82" s="1"/>
  <c r="L69" i="82" s="1"/>
  <c r="V52" i="82"/>
  <c r="U52" i="82"/>
  <c r="T52" i="82"/>
  <c r="J69" i="82" s="1"/>
  <c r="N69" i="82" s="1"/>
  <c r="S52" i="82"/>
  <c r="R52" i="82"/>
  <c r="Q52" i="82"/>
  <c r="O52" i="82"/>
  <c r="M52" i="82"/>
  <c r="F52" i="82"/>
  <c r="AA51" i="82"/>
  <c r="Q51" i="82"/>
  <c r="O51" i="82"/>
  <c r="M51" i="82"/>
  <c r="W51" i="82" s="1"/>
  <c r="F51" i="82"/>
  <c r="AA50" i="82"/>
  <c r="AA49" i="82"/>
  <c r="F49" i="82"/>
  <c r="AA48" i="82"/>
  <c r="F48" i="82"/>
  <c r="AA47" i="82"/>
  <c r="Q47" i="82"/>
  <c r="O47" i="82"/>
  <c r="M47" i="82"/>
  <c r="W47" i="82" s="1"/>
  <c r="F47" i="82"/>
  <c r="AA46" i="82"/>
  <c r="W46" i="82"/>
  <c r="G63" i="82" s="1"/>
  <c r="V46" i="82"/>
  <c r="Y46" i="82" s="1"/>
  <c r="S46" i="82" s="1"/>
  <c r="Q46" i="82"/>
  <c r="O46" i="82"/>
  <c r="M46" i="82"/>
  <c r="F46" i="82"/>
  <c r="AA45" i="82"/>
  <c r="W45" i="82"/>
  <c r="G62" i="82" s="1"/>
  <c r="Q45" i="82"/>
  <c r="O45" i="82"/>
  <c r="M45" i="82"/>
  <c r="F45" i="82"/>
  <c r="AA44" i="82"/>
  <c r="Q44" i="82"/>
  <c r="O44" i="82"/>
  <c r="M44" i="82"/>
  <c r="W44" i="82" s="1"/>
  <c r="F44" i="82"/>
  <c r="K58" i="81"/>
  <c r="R50" i="81"/>
  <c r="S50" i="81"/>
  <c r="T50" i="81"/>
  <c r="R51" i="81"/>
  <c r="S51" i="81"/>
  <c r="T51" i="81"/>
  <c r="R52" i="81"/>
  <c r="S52" i="81"/>
  <c r="T52" i="81"/>
  <c r="R53" i="81"/>
  <c r="S53" i="81"/>
  <c r="T53" i="81"/>
  <c r="R54" i="81"/>
  <c r="S54" i="81"/>
  <c r="T54" i="81"/>
  <c r="J71" i="81" s="1"/>
  <c r="N71" i="81" s="1"/>
  <c r="R55" i="81"/>
  <c r="S55" i="81"/>
  <c r="T55" i="81"/>
  <c r="R56" i="81"/>
  <c r="S56" i="81"/>
  <c r="T56" i="81"/>
  <c r="J73" i="81" s="1"/>
  <c r="N73" i="81" s="1"/>
  <c r="R57" i="81"/>
  <c r="S57" i="81"/>
  <c r="T57" i="81"/>
  <c r="R47" i="81"/>
  <c r="S47" i="81"/>
  <c r="T47" i="81"/>
  <c r="R49" i="81"/>
  <c r="S49" i="81"/>
  <c r="T49" i="81"/>
  <c r="Z49" i="81" s="1"/>
  <c r="C92" i="81"/>
  <c r="L84" i="81"/>
  <c r="L80" i="81"/>
  <c r="J77" i="81"/>
  <c r="B74" i="81"/>
  <c r="A74" i="81"/>
  <c r="B73" i="81"/>
  <c r="A73" i="81"/>
  <c r="B72" i="81"/>
  <c r="A72" i="81"/>
  <c r="B71" i="81"/>
  <c r="A71" i="81"/>
  <c r="B70" i="81"/>
  <c r="A70" i="81"/>
  <c r="B69" i="81"/>
  <c r="A69" i="81"/>
  <c r="B68" i="81"/>
  <c r="A68" i="81"/>
  <c r="B67" i="81"/>
  <c r="A67" i="81"/>
  <c r="B66" i="81"/>
  <c r="A66" i="81"/>
  <c r="B65" i="81"/>
  <c r="A65" i="81"/>
  <c r="B64" i="81"/>
  <c r="A64" i="81"/>
  <c r="B63" i="81"/>
  <c r="A63" i="81"/>
  <c r="B62" i="81"/>
  <c r="A62" i="81"/>
  <c r="B61" i="81"/>
  <c r="A61" i="81"/>
  <c r="G59" i="81"/>
  <c r="G58" i="81"/>
  <c r="AG57" i="81"/>
  <c r="AF57" i="81"/>
  <c r="AD57" i="81"/>
  <c r="AC57" i="81"/>
  <c r="AA57" i="81"/>
  <c r="Z57" i="81"/>
  <c r="Y57" i="81"/>
  <c r="X57" i="81"/>
  <c r="W57" i="81"/>
  <c r="G74" i="81" s="1"/>
  <c r="L74" i="81" s="1"/>
  <c r="V57" i="81"/>
  <c r="U57" i="81"/>
  <c r="J74" i="81"/>
  <c r="N74" i="81" s="1"/>
  <c r="Q57" i="81"/>
  <c r="M57" i="81"/>
  <c r="F57" i="81"/>
  <c r="AG56" i="81"/>
  <c r="AF56" i="81"/>
  <c r="AD56" i="81"/>
  <c r="AC56" i="81"/>
  <c r="AA56" i="81"/>
  <c r="Z56" i="81"/>
  <c r="AB56" i="81" s="1"/>
  <c r="Y56" i="81"/>
  <c r="X56" i="81"/>
  <c r="W56" i="81"/>
  <c r="G73" i="81" s="1"/>
  <c r="L73" i="81" s="1"/>
  <c r="V56" i="81"/>
  <c r="U56" i="81"/>
  <c r="Q56" i="81"/>
  <c r="M56" i="81"/>
  <c r="F56" i="81"/>
  <c r="AG55" i="81"/>
  <c r="AF55" i="81"/>
  <c r="AD55" i="81"/>
  <c r="AC55" i="81"/>
  <c r="AA55" i="81"/>
  <c r="Z55" i="81"/>
  <c r="Y55" i="81"/>
  <c r="X55" i="81"/>
  <c r="W55" i="81"/>
  <c r="G72" i="81" s="1"/>
  <c r="L72" i="81" s="1"/>
  <c r="V55" i="81"/>
  <c r="U55" i="81"/>
  <c r="J72" i="81"/>
  <c r="N72" i="81" s="1"/>
  <c r="Q55" i="81"/>
  <c r="O55" i="81"/>
  <c r="M55" i="81"/>
  <c r="F55" i="81"/>
  <c r="AG54" i="81"/>
  <c r="AF54" i="81"/>
  <c r="AD54" i="81"/>
  <c r="AC54" i="81"/>
  <c r="AA54" i="81"/>
  <c r="Z54" i="81"/>
  <c r="AB54" i="81" s="1"/>
  <c r="Y54" i="81"/>
  <c r="X54" i="81"/>
  <c r="W54" i="81"/>
  <c r="G71" i="81" s="1"/>
  <c r="L71" i="81" s="1"/>
  <c r="V54" i="81"/>
  <c r="U54" i="81"/>
  <c r="Q54" i="81"/>
  <c r="O54" i="81"/>
  <c r="M54" i="81"/>
  <c r="F54" i="81"/>
  <c r="AG53" i="81"/>
  <c r="AF53" i="81"/>
  <c r="AD53" i="81"/>
  <c r="AC53" i="81"/>
  <c r="AA53" i="81"/>
  <c r="Z53" i="81"/>
  <c r="AB53" i="81" s="1"/>
  <c r="Y53" i="81"/>
  <c r="X53" i="81"/>
  <c r="W53" i="81"/>
  <c r="G70" i="81" s="1"/>
  <c r="L70" i="81" s="1"/>
  <c r="V53" i="81"/>
  <c r="U53" i="81"/>
  <c r="J70" i="81"/>
  <c r="N70" i="81" s="1"/>
  <c r="Q53" i="81"/>
  <c r="O53" i="81"/>
  <c r="M53" i="81"/>
  <c r="F53" i="81"/>
  <c r="AG52" i="81"/>
  <c r="AF52" i="81"/>
  <c r="AD52" i="81"/>
  <c r="AC52" i="81"/>
  <c r="AA52" i="81"/>
  <c r="Z52" i="81"/>
  <c r="Y52" i="81"/>
  <c r="X52" i="81"/>
  <c r="W52" i="81"/>
  <c r="G69" i="81" s="1"/>
  <c r="L69" i="81" s="1"/>
  <c r="V52" i="81"/>
  <c r="U52" i="81"/>
  <c r="J69" i="81"/>
  <c r="N69" i="81" s="1"/>
  <c r="Q52" i="81"/>
  <c r="O52" i="81"/>
  <c r="M52" i="81"/>
  <c r="F52" i="81"/>
  <c r="AG51" i="81"/>
  <c r="AF51" i="81"/>
  <c r="AD51" i="81"/>
  <c r="AC51" i="81"/>
  <c r="AA51" i="81"/>
  <c r="Z51" i="81"/>
  <c r="Y51" i="81"/>
  <c r="X51" i="81"/>
  <c r="W51" i="81"/>
  <c r="G68" i="81" s="1"/>
  <c r="L68" i="81" s="1"/>
  <c r="V51" i="81"/>
  <c r="U51" i="81"/>
  <c r="J68" i="81"/>
  <c r="N68" i="81" s="1"/>
  <c r="Q51" i="81"/>
  <c r="O51" i="81"/>
  <c r="M51" i="81"/>
  <c r="AA50" i="81"/>
  <c r="Q50" i="81"/>
  <c r="O50" i="81"/>
  <c r="M50" i="81"/>
  <c r="W50" i="81" s="1"/>
  <c r="AA49" i="81"/>
  <c r="Q49" i="81"/>
  <c r="O49" i="81"/>
  <c r="M49" i="81"/>
  <c r="W49" i="81" s="1"/>
  <c r="AA48" i="81"/>
  <c r="Q48" i="81"/>
  <c r="O48" i="81"/>
  <c r="M48" i="81"/>
  <c r="W48" i="81" s="1"/>
  <c r="F48" i="81"/>
  <c r="AA47" i="81"/>
  <c r="Q47" i="81"/>
  <c r="O47" i="81"/>
  <c r="M47" i="81"/>
  <c r="W47" i="81" s="1"/>
  <c r="F47" i="81"/>
  <c r="AA46" i="81"/>
  <c r="Q46" i="81"/>
  <c r="O46" i="81"/>
  <c r="M46" i="81"/>
  <c r="W46" i="81" s="1"/>
  <c r="F46" i="81"/>
  <c r="AA45" i="81"/>
  <c r="Q45" i="81"/>
  <c r="O45" i="81"/>
  <c r="M45" i="81"/>
  <c r="W45" i="81" s="1"/>
  <c r="F45" i="81"/>
  <c r="AA44" i="81"/>
  <c r="Q44" i="81"/>
  <c r="O44" i="81"/>
  <c r="M44" i="81"/>
  <c r="F44" i="81"/>
  <c r="F68" i="83"/>
  <c r="F67" i="83"/>
  <c r="F66" i="83"/>
  <c r="F65" i="83"/>
  <c r="F64" i="83"/>
  <c r="F63" i="83"/>
  <c r="V6" i="78"/>
  <c r="V7" i="78"/>
  <c r="V8" i="78"/>
  <c r="V9" i="78"/>
  <c r="V10" i="78"/>
  <c r="V11" i="78"/>
  <c r="V12" i="78"/>
  <c r="V13" i="78"/>
  <c r="V14" i="78"/>
  <c r="V15" i="78"/>
  <c r="V16" i="78"/>
  <c r="V5" i="78"/>
  <c r="U18" i="78"/>
  <c r="U48" i="84" l="1"/>
  <c r="V48" i="84"/>
  <c r="Y48" i="84" s="1"/>
  <c r="S48" i="84" s="1"/>
  <c r="AB57" i="81"/>
  <c r="G64" i="82"/>
  <c r="V47" i="82"/>
  <c r="Y47" i="82" s="1"/>
  <c r="S47" i="82" s="1"/>
  <c r="U47" i="82"/>
  <c r="U46" i="82"/>
  <c r="U45" i="82"/>
  <c r="V45" i="82"/>
  <c r="Y45" i="82" s="1"/>
  <c r="S45" i="82" s="1"/>
  <c r="V44" i="82"/>
  <c r="Y44" i="82" s="1"/>
  <c r="S44" i="82" s="1"/>
  <c r="U44" i="82"/>
  <c r="M58" i="81"/>
  <c r="U45" i="81"/>
  <c r="T45" i="81" s="1"/>
  <c r="V45" i="81"/>
  <c r="Y45" i="81" s="1"/>
  <c r="S45" i="81" s="1"/>
  <c r="W44" i="81"/>
  <c r="V44" i="81" s="1"/>
  <c r="Y44" i="81" s="1"/>
  <c r="S44" i="81" s="1"/>
  <c r="G64" i="80"/>
  <c r="V47" i="80"/>
  <c r="Y47" i="80" s="1"/>
  <c r="S47" i="80" s="1"/>
  <c r="U47" i="80"/>
  <c r="G63" i="80"/>
  <c r="U46" i="80"/>
  <c r="V46" i="80"/>
  <c r="Y46" i="80" s="1"/>
  <c r="S46" i="80" s="1"/>
  <c r="V44" i="80"/>
  <c r="Y44" i="80" s="1"/>
  <c r="S44" i="80" s="1"/>
  <c r="U44" i="80"/>
  <c r="M58" i="80"/>
  <c r="AA58" i="84"/>
  <c r="J75" i="84" s="1"/>
  <c r="L75" i="84" s="1"/>
  <c r="R6" i="84"/>
  <c r="S30" i="84" s="1"/>
  <c r="T6" i="84"/>
  <c r="T25" i="84"/>
  <c r="F10" i="84"/>
  <c r="F21" i="84"/>
  <c r="Z25" i="84"/>
  <c r="AA25" i="84" s="1"/>
  <c r="O30" i="84"/>
  <c r="T27" i="84"/>
  <c r="Q8" i="84"/>
  <c r="R8" i="84" s="1"/>
  <c r="R9" i="84" s="1"/>
  <c r="N8" i="84"/>
  <c r="N9" i="84" s="1"/>
  <c r="J30" i="84"/>
  <c r="K30" i="84" s="1"/>
  <c r="F30" i="84"/>
  <c r="F11" i="84"/>
  <c r="F15" i="84" s="1"/>
  <c r="J8" i="84"/>
  <c r="J9" i="84" s="1"/>
  <c r="F14" i="84"/>
  <c r="G59" i="84"/>
  <c r="Q27" i="84"/>
  <c r="N6" i="84"/>
  <c r="W45" i="80"/>
  <c r="W58" i="80" s="1"/>
  <c r="G71" i="80"/>
  <c r="U54" i="80"/>
  <c r="X54" i="80" s="1"/>
  <c r="R54" i="80" s="1"/>
  <c r="V54" i="80"/>
  <c r="Y54" i="80" s="1"/>
  <c r="S54" i="80" s="1"/>
  <c r="G74" i="80"/>
  <c r="V57" i="80"/>
  <c r="Y57" i="80" s="1"/>
  <c r="S57" i="80" s="1"/>
  <c r="U57" i="80"/>
  <c r="G73" i="80"/>
  <c r="V56" i="80"/>
  <c r="Y56" i="80" s="1"/>
  <c r="S56" i="80" s="1"/>
  <c r="U56" i="80"/>
  <c r="G72" i="80"/>
  <c r="V55" i="80"/>
  <c r="Y55" i="80" s="1"/>
  <c r="S55" i="80" s="1"/>
  <c r="U55" i="80"/>
  <c r="O58" i="80"/>
  <c r="T54" i="80"/>
  <c r="Q58" i="80"/>
  <c r="AA58" i="80"/>
  <c r="J75" i="80" s="1"/>
  <c r="L75" i="80" s="1"/>
  <c r="G68" i="82"/>
  <c r="V51" i="82"/>
  <c r="Y51" i="82" s="1"/>
  <c r="S51" i="82" s="1"/>
  <c r="U51" i="82"/>
  <c r="AA58" i="82"/>
  <c r="J75" i="82" s="1"/>
  <c r="L75" i="82" s="1"/>
  <c r="AB57" i="82"/>
  <c r="AB53" i="82"/>
  <c r="AB57" i="79"/>
  <c r="AB53" i="79"/>
  <c r="V50" i="79"/>
  <c r="Y50" i="79" s="1"/>
  <c r="S50" i="79" s="1"/>
  <c r="U50" i="79"/>
  <c r="G67" i="79"/>
  <c r="AA58" i="79"/>
  <c r="J75" i="79" s="1"/>
  <c r="U48" i="79"/>
  <c r="G65" i="79"/>
  <c r="U49" i="79"/>
  <c r="V49" i="79"/>
  <c r="Y49" i="79" s="1"/>
  <c r="S49" i="79" s="1"/>
  <c r="V50" i="80"/>
  <c r="Y50" i="80" s="1"/>
  <c r="S50" i="80" s="1"/>
  <c r="U50" i="80"/>
  <c r="G67" i="80"/>
  <c r="U48" i="80"/>
  <c r="G65" i="80"/>
  <c r="L77" i="80"/>
  <c r="U49" i="80"/>
  <c r="V49" i="80"/>
  <c r="Y49" i="80" s="1"/>
  <c r="S49" i="80" s="1"/>
  <c r="G61" i="80"/>
  <c r="G61" i="82"/>
  <c r="Q58" i="81"/>
  <c r="AB52" i="81"/>
  <c r="G67" i="81"/>
  <c r="V50" i="81"/>
  <c r="Y50" i="81" s="1"/>
  <c r="U50" i="81"/>
  <c r="G66" i="81"/>
  <c r="V49" i="81"/>
  <c r="Y49" i="81" s="1"/>
  <c r="U49" i="81"/>
  <c r="AB51" i="81"/>
  <c r="AB55" i="81"/>
  <c r="G65" i="81"/>
  <c r="V48" i="81"/>
  <c r="Y48" i="81" s="1"/>
  <c r="S48" i="81" s="1"/>
  <c r="U48" i="81"/>
  <c r="T48" i="81" s="1"/>
  <c r="O58" i="81"/>
  <c r="AA58" i="81"/>
  <c r="J75" i="81" s="1"/>
  <c r="L75" i="81" s="1"/>
  <c r="V46" i="81"/>
  <c r="Y46" i="81" s="1"/>
  <c r="S46" i="81" s="1"/>
  <c r="U46" i="81"/>
  <c r="T46" i="81" s="1"/>
  <c r="G63" i="81"/>
  <c r="G64" i="81"/>
  <c r="U47" i="81"/>
  <c r="V47" i="81"/>
  <c r="Y47" i="81" s="1"/>
  <c r="X45" i="81"/>
  <c r="R45" i="81" s="1"/>
  <c r="G62" i="81"/>
  <c r="U44" i="81"/>
  <c r="T44" i="81" s="1"/>
  <c r="L77" i="81"/>
  <c r="G61" i="81"/>
  <c r="T48" i="84" l="1"/>
  <c r="X48" i="84"/>
  <c r="R48" i="84" s="1"/>
  <c r="N21" i="84"/>
  <c r="N14" i="84"/>
  <c r="AB25" i="84"/>
  <c r="Z26" i="84"/>
  <c r="X47" i="82"/>
  <c r="R47" i="82" s="1"/>
  <c r="T47" i="82"/>
  <c r="T46" i="82"/>
  <c r="X46" i="82"/>
  <c r="R46" i="82" s="1"/>
  <c r="X45" i="82"/>
  <c r="R45" i="82" s="1"/>
  <c r="T45" i="82"/>
  <c r="X44" i="82"/>
  <c r="R44" i="82" s="1"/>
  <c r="T44" i="82"/>
  <c r="W58" i="81"/>
  <c r="X47" i="80"/>
  <c r="R47" i="80" s="1"/>
  <c r="T47" i="80"/>
  <c r="T46" i="80"/>
  <c r="X46" i="80"/>
  <c r="R46" i="80" s="1"/>
  <c r="X44" i="80"/>
  <c r="R44" i="80" s="1"/>
  <c r="T44" i="80"/>
  <c r="S22" i="84"/>
  <c r="T30" i="84"/>
  <c r="G30" i="84"/>
  <c r="U30" i="84" s="1"/>
  <c r="F22" i="84"/>
  <c r="F13" i="84"/>
  <c r="N10" i="84"/>
  <c r="N11" i="84"/>
  <c r="N15" i="84" s="1"/>
  <c r="J10" i="84"/>
  <c r="J21" i="84"/>
  <c r="T21" i="84" s="1"/>
  <c r="J11" i="84"/>
  <c r="J15" i="84" s="1"/>
  <c r="T15" i="84" s="1"/>
  <c r="J14" i="84"/>
  <c r="R11" i="84"/>
  <c r="R10" i="84"/>
  <c r="G62" i="80"/>
  <c r="V45" i="80"/>
  <c r="Y45" i="80" s="1"/>
  <c r="S45" i="80" s="1"/>
  <c r="S58" i="80" s="1"/>
  <c r="U45" i="80"/>
  <c r="X57" i="80"/>
  <c r="R57" i="80" s="1"/>
  <c r="T57" i="80"/>
  <c r="X56" i="80"/>
  <c r="R56" i="80" s="1"/>
  <c r="T56" i="80"/>
  <c r="X55" i="80"/>
  <c r="R55" i="80" s="1"/>
  <c r="T55" i="80"/>
  <c r="J71" i="80"/>
  <c r="AC54" i="80"/>
  <c r="Z54" i="80"/>
  <c r="V58" i="80"/>
  <c r="X51" i="82"/>
  <c r="R51" i="82" s="1"/>
  <c r="T51" i="82"/>
  <c r="X49" i="79"/>
  <c r="R49" i="79" s="1"/>
  <c r="T49" i="79"/>
  <c r="L75" i="79"/>
  <c r="X48" i="79"/>
  <c r="T48" i="79"/>
  <c r="X50" i="79"/>
  <c r="R50" i="79" s="1"/>
  <c r="T50" i="79"/>
  <c r="X49" i="80"/>
  <c r="R49" i="80" s="1"/>
  <c r="T49" i="80"/>
  <c r="U58" i="80"/>
  <c r="Y58" i="80"/>
  <c r="X48" i="80"/>
  <c r="T48" i="80"/>
  <c r="X50" i="80"/>
  <c r="R50" i="80" s="1"/>
  <c r="T50" i="80"/>
  <c r="X49" i="81"/>
  <c r="X50" i="81"/>
  <c r="X48" i="81"/>
  <c r="R48" i="81" s="1"/>
  <c r="V58" i="81"/>
  <c r="U58" i="81"/>
  <c r="X44" i="81"/>
  <c r="R44" i="81" s="1"/>
  <c r="X47" i="81"/>
  <c r="X46" i="81"/>
  <c r="R46" i="81" s="1"/>
  <c r="Z45" i="81"/>
  <c r="AE45" i="81" s="1"/>
  <c r="J62" i="81"/>
  <c r="AC45" i="81"/>
  <c r="Y58" i="81"/>
  <c r="S58" i="81"/>
  <c r="M35" i="74"/>
  <c r="Q35" i="74" s="1"/>
  <c r="M35" i="40"/>
  <c r="Q35" i="40" s="1"/>
  <c r="Q35" i="82"/>
  <c r="M35" i="82"/>
  <c r="Q35" i="81"/>
  <c r="M35" i="81"/>
  <c r="Q35" i="79"/>
  <c r="M35" i="79"/>
  <c r="Q35" i="80"/>
  <c r="M35" i="80"/>
  <c r="M6" i="80"/>
  <c r="Q34" i="77"/>
  <c r="Q25" i="77"/>
  <c r="Q22" i="77"/>
  <c r="Q18" i="77"/>
  <c r="N34" i="77"/>
  <c r="N31" i="77"/>
  <c r="N25" i="77"/>
  <c r="N22" i="77"/>
  <c r="N18" i="77"/>
  <c r="K34" i="77"/>
  <c r="K30" i="77"/>
  <c r="K25" i="77"/>
  <c r="K22" i="77"/>
  <c r="K18" i="77"/>
  <c r="B42" i="77"/>
  <c r="B41" i="77"/>
  <c r="B40" i="77"/>
  <c r="B39" i="77"/>
  <c r="B38" i="77"/>
  <c r="A37" i="77"/>
  <c r="H36" i="77"/>
  <c r="A35" i="77"/>
  <c r="B34" i="77"/>
  <c r="B33" i="77"/>
  <c r="B32" i="77"/>
  <c r="B31" i="77"/>
  <c r="H30" i="77"/>
  <c r="B30" i="77"/>
  <c r="B29" i="77"/>
  <c r="B28" i="77"/>
  <c r="H27" i="77"/>
  <c r="A27" i="77"/>
  <c r="B26" i="77"/>
  <c r="B25" i="77"/>
  <c r="H24" i="77"/>
  <c r="B23" i="77"/>
  <c r="B22" i="77"/>
  <c r="B21" i="77"/>
  <c r="H20" i="77"/>
  <c r="B19" i="77"/>
  <c r="B18" i="77"/>
  <c r="B17" i="77"/>
  <c r="A16" i="77"/>
  <c r="A15" i="77"/>
  <c r="A14" i="77"/>
  <c r="A13" i="77"/>
  <c r="A12" i="77"/>
  <c r="A11" i="77"/>
  <c r="A10" i="77"/>
  <c r="A9" i="77"/>
  <c r="Q37" i="82"/>
  <c r="M37" i="82"/>
  <c r="I37" i="82"/>
  <c r="T35" i="82"/>
  <c r="Q37" i="77" s="1"/>
  <c r="I34" i="82"/>
  <c r="M34" i="82" s="1"/>
  <c r="Q34" i="82" s="1"/>
  <c r="T29" i="82"/>
  <c r="Q31" i="77" s="1"/>
  <c r="Q29" i="82"/>
  <c r="M29" i="82"/>
  <c r="I29" i="82"/>
  <c r="T28" i="82"/>
  <c r="Q30" i="77" s="1"/>
  <c r="Q28" i="82"/>
  <c r="M28" i="82"/>
  <c r="I28" i="82"/>
  <c r="R27" i="82"/>
  <c r="N27" i="82"/>
  <c r="J27" i="82"/>
  <c r="J30" i="82" s="1"/>
  <c r="I27" i="82"/>
  <c r="F27" i="82"/>
  <c r="F30" i="82" s="1"/>
  <c r="D27" i="82"/>
  <c r="T26" i="82"/>
  <c r="Q28" i="77" s="1"/>
  <c r="Y25" i="82"/>
  <c r="W25" i="82"/>
  <c r="Z25" i="82" s="1"/>
  <c r="R25" i="82"/>
  <c r="R30" i="82" s="1"/>
  <c r="Q25" i="82"/>
  <c r="N25" i="82"/>
  <c r="N30" i="82" s="1"/>
  <c r="M25" i="82"/>
  <c r="L25" i="82"/>
  <c r="M27" i="82" s="1"/>
  <c r="J25" i="82"/>
  <c r="I25" i="82"/>
  <c r="F25" i="82"/>
  <c r="T25" i="82" s="1"/>
  <c r="Q27" i="77" s="1"/>
  <c r="T24" i="82"/>
  <c r="Q26" i="77" s="1"/>
  <c r="R22" i="82"/>
  <c r="R31" i="82" s="1"/>
  <c r="R33" i="82" s="1"/>
  <c r="R21" i="82"/>
  <c r="N21" i="82"/>
  <c r="T19" i="82"/>
  <c r="Q21" i="77" s="1"/>
  <c r="T18" i="82"/>
  <c r="Q20" i="77" s="1"/>
  <c r="T17" i="82"/>
  <c r="Q19" i="77" s="1"/>
  <c r="R15" i="82"/>
  <c r="R13" i="82" s="1"/>
  <c r="N15" i="82"/>
  <c r="R14" i="82"/>
  <c r="N14" i="82"/>
  <c r="N22" i="82" s="1"/>
  <c r="N31" i="82" s="1"/>
  <c r="N33" i="82" s="1"/>
  <c r="N13" i="82"/>
  <c r="I8" i="82"/>
  <c r="M8" i="82" s="1"/>
  <c r="F8" i="82"/>
  <c r="F9" i="82" s="1"/>
  <c r="J6" i="82"/>
  <c r="F6" i="82"/>
  <c r="T5" i="82"/>
  <c r="T3" i="82"/>
  <c r="R38" i="81"/>
  <c r="N38" i="81"/>
  <c r="Q37" i="81"/>
  <c r="M37" i="81"/>
  <c r="I37" i="81"/>
  <c r="R36" i="81"/>
  <c r="N36" i="81"/>
  <c r="T35" i="81"/>
  <c r="N37" i="77" s="1"/>
  <c r="R34" i="81"/>
  <c r="N34" i="81"/>
  <c r="I34" i="81"/>
  <c r="M34" i="81" s="1"/>
  <c r="Q34" i="81" s="1"/>
  <c r="R33" i="81"/>
  <c r="N33" i="81"/>
  <c r="R31" i="81"/>
  <c r="N31" i="81"/>
  <c r="R30" i="81"/>
  <c r="N30" i="81"/>
  <c r="T29" i="81"/>
  <c r="Q29" i="81"/>
  <c r="M29" i="81"/>
  <c r="I29" i="81"/>
  <c r="T28" i="81"/>
  <c r="N30" i="77" s="1"/>
  <c r="Q28" i="81"/>
  <c r="M28" i="81"/>
  <c r="I28" i="81"/>
  <c r="R27" i="81"/>
  <c r="N27" i="81"/>
  <c r="J27" i="81"/>
  <c r="I27" i="81"/>
  <c r="D27" i="81"/>
  <c r="F27" i="81" s="1"/>
  <c r="T26" i="81"/>
  <c r="N28" i="77" s="1"/>
  <c r="Y25" i="81"/>
  <c r="W25" i="81"/>
  <c r="X25" i="81" s="1"/>
  <c r="R25" i="81"/>
  <c r="Q25" i="81"/>
  <c r="N25" i="81"/>
  <c r="M25" i="81"/>
  <c r="L25" i="81"/>
  <c r="M27" i="81" s="1"/>
  <c r="J25" i="81"/>
  <c r="J30" i="81" s="1"/>
  <c r="I25" i="81"/>
  <c r="F25" i="81"/>
  <c r="T24" i="81"/>
  <c r="N26" i="77" s="1"/>
  <c r="R22" i="81"/>
  <c r="N22" i="81"/>
  <c r="R21" i="81"/>
  <c r="N21" i="81"/>
  <c r="T19" i="81"/>
  <c r="N21" i="77" s="1"/>
  <c r="T18" i="81"/>
  <c r="N20" i="77" s="1"/>
  <c r="T17" i="81"/>
  <c r="N19" i="77" s="1"/>
  <c r="R15" i="81"/>
  <c r="N15" i="81"/>
  <c r="R14" i="81"/>
  <c r="N14" i="81"/>
  <c r="R13" i="81"/>
  <c r="N13" i="81"/>
  <c r="I8" i="81"/>
  <c r="M8" i="81" s="1"/>
  <c r="F8" i="81"/>
  <c r="F9" i="81" s="1"/>
  <c r="F21" i="81" s="1"/>
  <c r="F6" i="81"/>
  <c r="T5" i="81"/>
  <c r="T3" i="81"/>
  <c r="N6" i="77" s="1"/>
  <c r="Q37" i="80"/>
  <c r="M37" i="80"/>
  <c r="I37" i="80"/>
  <c r="T35" i="80"/>
  <c r="K37" i="77" s="1"/>
  <c r="I34" i="80"/>
  <c r="M34" i="80" s="1"/>
  <c r="Q34" i="80" s="1"/>
  <c r="T29" i="80"/>
  <c r="K31" i="77" s="1"/>
  <c r="Q29" i="80"/>
  <c r="M29" i="80"/>
  <c r="I29" i="80"/>
  <c r="T28" i="80"/>
  <c r="Q28" i="80"/>
  <c r="M28" i="80"/>
  <c r="I28" i="80"/>
  <c r="N27" i="80"/>
  <c r="I27" i="80"/>
  <c r="J27" i="80" s="1"/>
  <c r="D27" i="80"/>
  <c r="F27" i="80" s="1"/>
  <c r="F30" i="80" s="1"/>
  <c r="T26" i="80"/>
  <c r="K28" i="77" s="1"/>
  <c r="Y25" i="80"/>
  <c r="Q25" i="80"/>
  <c r="M25" i="80"/>
  <c r="L25" i="80"/>
  <c r="M27" i="80" s="1"/>
  <c r="J25" i="80"/>
  <c r="I25" i="80"/>
  <c r="F25" i="80"/>
  <c r="T24" i="80"/>
  <c r="K26" i="77" s="1"/>
  <c r="T19" i="80"/>
  <c r="K21" i="77" s="1"/>
  <c r="T18" i="80"/>
  <c r="K20" i="77" s="1"/>
  <c r="T17" i="80"/>
  <c r="K19" i="77" s="1"/>
  <c r="I8" i="80"/>
  <c r="M8" i="80" s="1"/>
  <c r="F8" i="80"/>
  <c r="F9" i="80" s="1"/>
  <c r="F6" i="80"/>
  <c r="T5" i="80"/>
  <c r="T3" i="80"/>
  <c r="Q37" i="79"/>
  <c r="M37" i="79"/>
  <c r="I37" i="79"/>
  <c r="T35" i="79"/>
  <c r="U35" i="79" s="1"/>
  <c r="J82" i="79" s="1"/>
  <c r="I34" i="79"/>
  <c r="M34" i="79" s="1"/>
  <c r="Q34" i="79" s="1"/>
  <c r="T29" i="79"/>
  <c r="H33" i="77" s="1"/>
  <c r="Q29" i="79"/>
  <c r="M29" i="79"/>
  <c r="I29" i="79"/>
  <c r="T28" i="79"/>
  <c r="H32" i="77" s="1"/>
  <c r="Q28" i="79"/>
  <c r="M28" i="79"/>
  <c r="I28" i="79"/>
  <c r="N27" i="79"/>
  <c r="I27" i="79"/>
  <c r="J27" i="79" s="1"/>
  <c r="D27" i="79"/>
  <c r="F27" i="79" s="1"/>
  <c r="Z25" i="79"/>
  <c r="Q25" i="79"/>
  <c r="N25" i="79"/>
  <c r="M25" i="79"/>
  <c r="L25" i="79"/>
  <c r="M27" i="79" s="1"/>
  <c r="I25" i="79"/>
  <c r="J25" i="79" s="1"/>
  <c r="F25" i="79"/>
  <c r="T24" i="79"/>
  <c r="H28" i="77" s="1"/>
  <c r="T19" i="79"/>
  <c r="H23" i="77" s="1"/>
  <c r="T18" i="79"/>
  <c r="H22" i="77" s="1"/>
  <c r="T17" i="79"/>
  <c r="H21" i="77" s="1"/>
  <c r="I8" i="79"/>
  <c r="M8" i="79" s="1"/>
  <c r="F8" i="79"/>
  <c r="F9" i="79" s="1"/>
  <c r="M6" i="79"/>
  <c r="F6" i="79"/>
  <c r="T5" i="79"/>
  <c r="T3" i="79"/>
  <c r="H17" i="78"/>
  <c r="H18" i="78" s="1"/>
  <c r="I17" i="78"/>
  <c r="I18" i="78" s="1"/>
  <c r="J17" i="78"/>
  <c r="J18" i="78" s="1"/>
  <c r="K17" i="78"/>
  <c r="L17" i="78"/>
  <c r="L18" i="78" s="1"/>
  <c r="M17" i="78"/>
  <c r="N17" i="78"/>
  <c r="N18" i="78" s="1"/>
  <c r="O17" i="78"/>
  <c r="O18" i="78" s="1"/>
  <c r="P17" i="78"/>
  <c r="P18" i="78" s="1"/>
  <c r="Q17" i="78"/>
  <c r="Q18" i="78" s="1"/>
  <c r="K18" i="78"/>
  <c r="M18" i="78"/>
  <c r="J65" i="84" l="1"/>
  <c r="AC48" i="84"/>
  <c r="Z48" i="84"/>
  <c r="N22" i="84"/>
  <c r="N13" i="84"/>
  <c r="O46" i="84"/>
  <c r="O47" i="84"/>
  <c r="J64" i="82"/>
  <c r="AC47" i="82"/>
  <c r="Z47" i="82"/>
  <c r="J63" i="82"/>
  <c r="AC46" i="82"/>
  <c r="Z46" i="82"/>
  <c r="J62" i="82"/>
  <c r="AC45" i="82"/>
  <c r="Z45" i="82"/>
  <c r="J61" i="82"/>
  <c r="Z44" i="82"/>
  <c r="AC44" i="82"/>
  <c r="J64" i="80"/>
  <c r="AC47" i="80"/>
  <c r="Z47" i="80"/>
  <c r="J63" i="80"/>
  <c r="AC46" i="80"/>
  <c r="Z46" i="80"/>
  <c r="J61" i="80"/>
  <c r="AC44" i="80"/>
  <c r="Z44" i="80"/>
  <c r="O45" i="84"/>
  <c r="O44" i="84"/>
  <c r="J22" i="84"/>
  <c r="J13" i="84"/>
  <c r="T13" i="84" s="1"/>
  <c r="G22" i="84"/>
  <c r="F31" i="84"/>
  <c r="T22" i="84"/>
  <c r="T14" i="84"/>
  <c r="O54" i="84"/>
  <c r="O56" i="84"/>
  <c r="O55" i="84"/>
  <c r="X45" i="80"/>
  <c r="R45" i="80" s="1"/>
  <c r="T45" i="80"/>
  <c r="H6" i="77"/>
  <c r="G59" i="79"/>
  <c r="B40" i="79"/>
  <c r="J74" i="80"/>
  <c r="AC57" i="80"/>
  <c r="Z57" i="80"/>
  <c r="J73" i="80"/>
  <c r="Z56" i="80"/>
  <c r="AC56" i="80"/>
  <c r="G82" i="80"/>
  <c r="L82" i="80" s="1"/>
  <c r="J72" i="80"/>
  <c r="AC55" i="80"/>
  <c r="Z55" i="80"/>
  <c r="AB54" i="80"/>
  <c r="AD54" i="80"/>
  <c r="L71" i="80"/>
  <c r="J68" i="82"/>
  <c r="L68" i="82" s="1"/>
  <c r="AC51" i="82"/>
  <c r="Z51" i="82"/>
  <c r="AE51" i="82" s="1"/>
  <c r="R34" i="82"/>
  <c r="R36" i="82" s="1"/>
  <c r="N34" i="82"/>
  <c r="N36" i="82"/>
  <c r="Q6" i="77"/>
  <c r="B40" i="82"/>
  <c r="G59" i="82"/>
  <c r="Z50" i="79"/>
  <c r="AC50" i="79"/>
  <c r="J67" i="79"/>
  <c r="AC48" i="79"/>
  <c r="Z48" i="79"/>
  <c r="J65" i="79"/>
  <c r="R48" i="79"/>
  <c r="AC49" i="79"/>
  <c r="Z49" i="79"/>
  <c r="J66" i="79"/>
  <c r="Z50" i="80"/>
  <c r="AC50" i="80"/>
  <c r="J67" i="80"/>
  <c r="AC48" i="80"/>
  <c r="Z48" i="80"/>
  <c r="AE48" i="80" s="1"/>
  <c r="J65" i="80"/>
  <c r="T58" i="80"/>
  <c r="J76" i="80" s="1"/>
  <c r="R48" i="80"/>
  <c r="Z49" i="80"/>
  <c r="J66" i="80"/>
  <c r="AC49" i="80"/>
  <c r="G82" i="81"/>
  <c r="L82" i="81" s="1"/>
  <c r="J67" i="81"/>
  <c r="Z50" i="81"/>
  <c r="AC50" i="81"/>
  <c r="J66" i="81"/>
  <c r="AC49" i="81"/>
  <c r="J65" i="81"/>
  <c r="AC48" i="81"/>
  <c r="Z48" i="81"/>
  <c r="AB45" i="81"/>
  <c r="AD45" i="81"/>
  <c r="AF45" i="81" s="1"/>
  <c r="J63" i="81"/>
  <c r="AC46" i="81"/>
  <c r="Z46" i="81"/>
  <c r="AE46" i="81" s="1"/>
  <c r="J64" i="81"/>
  <c r="AC47" i="81"/>
  <c r="Z47" i="81"/>
  <c r="J61" i="81"/>
  <c r="AC44" i="81"/>
  <c r="T58" i="81"/>
  <c r="J76" i="81" s="1"/>
  <c r="Z44" i="81"/>
  <c r="AE44" i="81" s="1"/>
  <c r="X58" i="81"/>
  <c r="R58" i="81"/>
  <c r="L62" i="81"/>
  <c r="J30" i="79"/>
  <c r="K6" i="77"/>
  <c r="F30" i="79"/>
  <c r="G30" i="79" s="1"/>
  <c r="T6" i="82"/>
  <c r="N37" i="82"/>
  <c r="X25" i="82"/>
  <c r="T25" i="81"/>
  <c r="N27" i="77" s="1"/>
  <c r="N37" i="81"/>
  <c r="Z25" i="81"/>
  <c r="Z26" i="81" s="1"/>
  <c r="N43" i="77" s="1"/>
  <c r="R37" i="81"/>
  <c r="J30" i="80"/>
  <c r="N25" i="80"/>
  <c r="N30" i="80" s="1"/>
  <c r="F21" i="80"/>
  <c r="F14" i="80"/>
  <c r="N30" i="79"/>
  <c r="P25" i="79"/>
  <c r="H39" i="77"/>
  <c r="Z26" i="82"/>
  <c r="Q43" i="77" s="1"/>
  <c r="AB25" i="82"/>
  <c r="AA25" i="82"/>
  <c r="F21" i="82"/>
  <c r="F14" i="82"/>
  <c r="F10" i="82"/>
  <c r="F11" i="82" s="1"/>
  <c r="F15" i="82" s="1"/>
  <c r="G30" i="82"/>
  <c r="T30" i="82"/>
  <c r="Q32" i="77" s="1"/>
  <c r="Q8" i="82"/>
  <c r="R8" i="82" s="1"/>
  <c r="R9" i="82" s="1"/>
  <c r="N8" i="82"/>
  <c r="N9" i="82" s="1"/>
  <c r="M6" i="82"/>
  <c r="P25" i="82"/>
  <c r="Q27" i="82" s="1"/>
  <c r="K30" i="82"/>
  <c r="T27" i="82"/>
  <c r="Q29" i="77" s="1"/>
  <c r="J8" i="82"/>
  <c r="J9" i="82" s="1"/>
  <c r="Q8" i="81"/>
  <c r="R8" i="81" s="1"/>
  <c r="R9" i="81" s="1"/>
  <c r="N8" i="81"/>
  <c r="N9" i="81" s="1"/>
  <c r="F30" i="81"/>
  <c r="T27" i="81"/>
  <c r="N29" i="77" s="1"/>
  <c r="J6" i="81"/>
  <c r="T6" i="81" s="1"/>
  <c r="F14" i="81"/>
  <c r="F10" i="81"/>
  <c r="F11" i="81" s="1"/>
  <c r="F15" i="81" s="1"/>
  <c r="J8" i="81"/>
  <c r="J9" i="81" s="1"/>
  <c r="P25" i="81"/>
  <c r="Q27" i="81" s="1"/>
  <c r="M6" i="81"/>
  <c r="Q8" i="80"/>
  <c r="R8" i="80" s="1"/>
  <c r="R9" i="80" s="1"/>
  <c r="N8" i="80"/>
  <c r="N9" i="80" s="1"/>
  <c r="G30" i="80"/>
  <c r="J6" i="80"/>
  <c r="F10" i="80"/>
  <c r="F11" i="80" s="1"/>
  <c r="F15" i="80" s="1"/>
  <c r="P25" i="80"/>
  <c r="J8" i="80"/>
  <c r="J9" i="80" s="1"/>
  <c r="F14" i="79"/>
  <c r="F10" i="79"/>
  <c r="F11" i="79" s="1"/>
  <c r="F15" i="79" s="1"/>
  <c r="F21" i="79"/>
  <c r="Q6" i="79"/>
  <c r="N6" i="79"/>
  <c r="Q8" i="79"/>
  <c r="R8" i="79" s="1"/>
  <c r="R9" i="79" s="1"/>
  <c r="N8" i="79"/>
  <c r="N9" i="79" s="1"/>
  <c r="J6" i="79"/>
  <c r="J8" i="79"/>
  <c r="J9" i="79" s="1"/>
  <c r="G17" i="78"/>
  <c r="G18" i="78" s="1"/>
  <c r="F17" i="78"/>
  <c r="F18" i="78" s="1"/>
  <c r="E17" i="78"/>
  <c r="E18" i="78" s="1"/>
  <c r="D17" i="78"/>
  <c r="D18" i="78" s="1"/>
  <c r="C17" i="78"/>
  <c r="C18" i="78" s="1"/>
  <c r="B17" i="78"/>
  <c r="R16" i="78"/>
  <c r="S16" i="78" s="1"/>
  <c r="R15" i="78"/>
  <c r="S15" i="78" s="1"/>
  <c r="R14" i="78"/>
  <c r="S14" i="78" s="1"/>
  <c r="R13" i="78"/>
  <c r="S13" i="78" s="1"/>
  <c r="R12" i="78"/>
  <c r="S12" i="78" s="1"/>
  <c r="R11" i="78"/>
  <c r="S11" i="78" s="1"/>
  <c r="R10" i="78"/>
  <c r="S10" i="78" s="1"/>
  <c r="R9" i="78"/>
  <c r="S9" i="78" s="1"/>
  <c r="R8" i="78"/>
  <c r="S8" i="78" s="1"/>
  <c r="R7" i="78"/>
  <c r="S7" i="78" s="1"/>
  <c r="R6" i="78"/>
  <c r="S6" i="78" s="1"/>
  <c r="R5" i="78"/>
  <c r="AB48" i="84" l="1"/>
  <c r="AE48" i="84"/>
  <c r="AD48" i="84"/>
  <c r="AF48" i="84" s="1"/>
  <c r="L65" i="84"/>
  <c r="N31" i="84"/>
  <c r="N33" i="84" s="1"/>
  <c r="N34" i="84" s="1"/>
  <c r="N36" i="84" s="1"/>
  <c r="N37" i="84" s="1"/>
  <c r="N38" i="84" s="1"/>
  <c r="O22" i="84"/>
  <c r="O58" i="84"/>
  <c r="AD47" i="82"/>
  <c r="AE47" i="82"/>
  <c r="AB47" i="82"/>
  <c r="AF47" i="82"/>
  <c r="L64" i="82"/>
  <c r="AB46" i="82"/>
  <c r="AE46" i="82"/>
  <c r="AD46" i="82"/>
  <c r="AF46" i="82" s="1"/>
  <c r="L63" i="82"/>
  <c r="AB45" i="82"/>
  <c r="AE45" i="82"/>
  <c r="AF45" i="82" s="1"/>
  <c r="AD45" i="82"/>
  <c r="L62" i="82"/>
  <c r="AB44" i="82"/>
  <c r="AE44" i="82"/>
  <c r="AD44" i="82"/>
  <c r="AF44" i="82" s="1"/>
  <c r="L61" i="82"/>
  <c r="AD47" i="80"/>
  <c r="AB47" i="80"/>
  <c r="AE47" i="80"/>
  <c r="AF47" i="80" s="1"/>
  <c r="L64" i="80"/>
  <c r="AD46" i="80"/>
  <c r="AE46" i="80"/>
  <c r="AB46" i="80"/>
  <c r="AF46" i="80"/>
  <c r="L63" i="80"/>
  <c r="X58" i="80"/>
  <c r="R58" i="80"/>
  <c r="AB44" i="80"/>
  <c r="AD44" i="80"/>
  <c r="AE44" i="80"/>
  <c r="AF44" i="80" s="1"/>
  <c r="L61" i="80"/>
  <c r="F33" i="84"/>
  <c r="K22" i="84"/>
  <c r="U22" i="84" s="1"/>
  <c r="J31" i="84"/>
  <c r="J33" i="84" s="1"/>
  <c r="J62" i="80"/>
  <c r="AC45" i="80"/>
  <c r="Z45" i="80"/>
  <c r="AE45" i="80" s="1"/>
  <c r="AF54" i="80"/>
  <c r="AG54" i="80" s="1"/>
  <c r="AB57" i="80"/>
  <c r="AD57" i="80"/>
  <c r="AF57" i="80" s="1"/>
  <c r="L74" i="80"/>
  <c r="AB56" i="80"/>
  <c r="AD56" i="80"/>
  <c r="AF56" i="80" s="1"/>
  <c r="L73" i="80"/>
  <c r="AD55" i="80"/>
  <c r="AB55" i="80"/>
  <c r="AF55" i="80"/>
  <c r="L72" i="80"/>
  <c r="AB51" i="82"/>
  <c r="AD51" i="82"/>
  <c r="AF51" i="82" s="1"/>
  <c r="R37" i="82"/>
  <c r="R38" i="82"/>
  <c r="N38" i="82"/>
  <c r="L66" i="79"/>
  <c r="AB49" i="79"/>
  <c r="AE49" i="79"/>
  <c r="AD49" i="79"/>
  <c r="L67" i="79"/>
  <c r="AF49" i="79"/>
  <c r="AF50" i="79"/>
  <c r="L65" i="79"/>
  <c r="AE48" i="79"/>
  <c r="AD48" i="79"/>
  <c r="AB48" i="79"/>
  <c r="AE50" i="79"/>
  <c r="AD50" i="79"/>
  <c r="AB50" i="79"/>
  <c r="AB49" i="80"/>
  <c r="AD49" i="80"/>
  <c r="AF49" i="80" s="1"/>
  <c r="L66" i="80"/>
  <c r="AD48" i="80"/>
  <c r="AB48" i="80"/>
  <c r="Z58" i="80"/>
  <c r="L65" i="80"/>
  <c r="L67" i="80"/>
  <c r="L76" i="80"/>
  <c r="AD50" i="80"/>
  <c r="AF50" i="80" s="1"/>
  <c r="AB50" i="80"/>
  <c r="AB49" i="81"/>
  <c r="AD49" i="81"/>
  <c r="AF49" i="81" s="1"/>
  <c r="L66" i="81"/>
  <c r="AB50" i="81"/>
  <c r="AD50" i="81"/>
  <c r="L67" i="81"/>
  <c r="AB48" i="81"/>
  <c r="AD48" i="81"/>
  <c r="L65" i="81"/>
  <c r="AD44" i="81"/>
  <c r="AB44" i="81"/>
  <c r="Z58" i="81"/>
  <c r="L63" i="81"/>
  <c r="AF44" i="81"/>
  <c r="AC58" i="81"/>
  <c r="J79" i="81" s="1"/>
  <c r="AG45" i="81"/>
  <c r="AD47" i="81"/>
  <c r="AF47" i="81" s="1"/>
  <c r="AB47" i="81"/>
  <c r="AD46" i="81"/>
  <c r="AF46" i="81" s="1"/>
  <c r="AB46" i="81"/>
  <c r="L76" i="81"/>
  <c r="L61" i="81"/>
  <c r="L64" i="81"/>
  <c r="Q27" i="79"/>
  <c r="R27" i="79" s="1"/>
  <c r="T27" i="79" s="1"/>
  <c r="H31" i="77" s="1"/>
  <c r="W25" i="79"/>
  <c r="R25" i="79"/>
  <c r="J21" i="82"/>
  <c r="T21" i="82" s="1"/>
  <c r="Q23" i="77" s="1"/>
  <c r="J14" i="82"/>
  <c r="J14" i="81"/>
  <c r="T14" i="81" s="1"/>
  <c r="J21" i="81"/>
  <c r="T21" i="81" s="1"/>
  <c r="N23" i="77" s="1"/>
  <c r="K30" i="81"/>
  <c r="AA25" i="81"/>
  <c r="AB25" i="81"/>
  <c r="O30" i="79"/>
  <c r="R21" i="80"/>
  <c r="R14" i="80"/>
  <c r="N14" i="80"/>
  <c r="N21" i="80"/>
  <c r="Q27" i="80"/>
  <c r="R27" i="80" s="1"/>
  <c r="T27" i="80" s="1"/>
  <c r="K29" i="77" s="1"/>
  <c r="W25" i="80"/>
  <c r="R25" i="80"/>
  <c r="J14" i="80"/>
  <c r="T14" i="80" s="1"/>
  <c r="J21" i="80"/>
  <c r="T21" i="80" s="1"/>
  <c r="K23" i="77" s="1"/>
  <c r="K30" i="80"/>
  <c r="N21" i="79"/>
  <c r="N14" i="79"/>
  <c r="R21" i="79"/>
  <c r="R14" i="79"/>
  <c r="J21" i="79"/>
  <c r="J14" i="79"/>
  <c r="K30" i="79"/>
  <c r="R18" i="78"/>
  <c r="N10" i="82"/>
  <c r="N11" i="82" s="1"/>
  <c r="Q6" i="82"/>
  <c r="N6" i="82"/>
  <c r="O22" i="82" s="1"/>
  <c r="R10" i="82"/>
  <c r="R11" i="82" s="1"/>
  <c r="F13" i="82"/>
  <c r="F22" i="82"/>
  <c r="J10" i="82"/>
  <c r="J11" i="82" s="1"/>
  <c r="J15" i="82" s="1"/>
  <c r="T15" i="82" s="1"/>
  <c r="Q17" i="77" s="1"/>
  <c r="Q6" i="81"/>
  <c r="N6" i="81"/>
  <c r="O30" i="81"/>
  <c r="O22" i="81"/>
  <c r="T30" i="81"/>
  <c r="N32" i="77" s="1"/>
  <c r="G30" i="81"/>
  <c r="F13" i="81"/>
  <c r="F22" i="81"/>
  <c r="N10" i="81"/>
  <c r="N11" i="81" s="1"/>
  <c r="R10" i="81"/>
  <c r="R11" i="81" s="1"/>
  <c r="J10" i="81"/>
  <c r="J11" i="81" s="1"/>
  <c r="J15" i="81" s="1"/>
  <c r="T15" i="81" s="1"/>
  <c r="N17" i="77" s="1"/>
  <c r="F22" i="80"/>
  <c r="F13" i="80"/>
  <c r="J10" i="80"/>
  <c r="J11" i="80" s="1"/>
  <c r="J15" i="80" s="1"/>
  <c r="J22" i="80" s="1"/>
  <c r="J31" i="80" s="1"/>
  <c r="J33" i="80" s="1"/>
  <c r="J34" i="80" s="1"/>
  <c r="J36" i="80" s="1"/>
  <c r="N10" i="80"/>
  <c r="N11" i="80" s="1"/>
  <c r="N15" i="80" s="1"/>
  <c r="R10" i="80"/>
  <c r="R11" i="80" s="1"/>
  <c r="R15" i="80" s="1"/>
  <c r="Q6" i="80"/>
  <c r="N6" i="80"/>
  <c r="N10" i="79"/>
  <c r="N11" i="79" s="1"/>
  <c r="N15" i="79" s="1"/>
  <c r="R10" i="79"/>
  <c r="R11" i="79" s="1"/>
  <c r="R15" i="79" s="1"/>
  <c r="J10" i="79"/>
  <c r="J11" i="79" s="1"/>
  <c r="J15" i="79" s="1"/>
  <c r="R6" i="79"/>
  <c r="T6" i="79" s="1"/>
  <c r="F13" i="79"/>
  <c r="F22" i="79"/>
  <c r="R17" i="78"/>
  <c r="D22" i="78" s="1"/>
  <c r="D19" i="78"/>
  <c r="D23" i="78" s="1"/>
  <c r="D24" i="78" s="1"/>
  <c r="S5" i="78"/>
  <c r="S17" i="78" s="1"/>
  <c r="AG48" i="84" l="1"/>
  <c r="Q46" i="84"/>
  <c r="Q47" i="84"/>
  <c r="AG47" i="82"/>
  <c r="AG46" i="82"/>
  <c r="AG45" i="82"/>
  <c r="AG44" i="82"/>
  <c r="AG47" i="80"/>
  <c r="AG46" i="80"/>
  <c r="AG44" i="80"/>
  <c r="Q45" i="84"/>
  <c r="Q44" i="84"/>
  <c r="AG55" i="80"/>
  <c r="Q56" i="84"/>
  <c r="Q55" i="84"/>
  <c r="Q54" i="84"/>
  <c r="Q57" i="84"/>
  <c r="T31" i="84"/>
  <c r="J34" i="84"/>
  <c r="J36" i="84" s="1"/>
  <c r="F34" i="84"/>
  <c r="T33" i="84"/>
  <c r="AF48" i="81"/>
  <c r="AG48" i="81" s="1"/>
  <c r="AB45" i="80"/>
  <c r="AD45" i="80"/>
  <c r="AF45" i="80" s="1"/>
  <c r="AC58" i="80"/>
  <c r="J79" i="80" s="1"/>
  <c r="L79" i="80" s="1"/>
  <c r="L62" i="80"/>
  <c r="AE58" i="80"/>
  <c r="AG57" i="80"/>
  <c r="AG56" i="80"/>
  <c r="AG51" i="82"/>
  <c r="N67" i="79"/>
  <c r="N66" i="79"/>
  <c r="N65" i="79"/>
  <c r="AG49" i="79"/>
  <c r="AG50" i="79"/>
  <c r="AG48" i="79"/>
  <c r="AF48" i="79"/>
  <c r="AG50" i="80"/>
  <c r="AB58" i="80"/>
  <c r="AF48" i="80"/>
  <c r="AG49" i="80"/>
  <c r="AF50" i="81"/>
  <c r="AG50" i="81" s="1"/>
  <c r="AG49" i="81"/>
  <c r="AG47" i="81"/>
  <c r="AG44" i="81"/>
  <c r="AB58" i="81"/>
  <c r="L79" i="81"/>
  <c r="L78" i="81"/>
  <c r="AD58" i="81"/>
  <c r="J83" i="81" s="1"/>
  <c r="AG46" i="81"/>
  <c r="AE58" i="81"/>
  <c r="T21" i="79"/>
  <c r="H25" i="77" s="1"/>
  <c r="R22" i="79"/>
  <c r="S22" i="79" s="1"/>
  <c r="R30" i="79"/>
  <c r="T25" i="79"/>
  <c r="H29" i="77" s="1"/>
  <c r="AA25" i="79"/>
  <c r="AA26" i="79" s="1"/>
  <c r="Y25" i="79"/>
  <c r="J13" i="82"/>
  <c r="J22" i="82"/>
  <c r="T14" i="82"/>
  <c r="T13" i="82"/>
  <c r="J13" i="81"/>
  <c r="T13" i="81" s="1"/>
  <c r="J22" i="81"/>
  <c r="T14" i="79"/>
  <c r="H18" i="77" s="1"/>
  <c r="R13" i="80"/>
  <c r="T13" i="80" s="1"/>
  <c r="R22" i="80"/>
  <c r="N13" i="80"/>
  <c r="N22" i="80"/>
  <c r="N31" i="80" s="1"/>
  <c r="R30" i="80"/>
  <c r="T25" i="80"/>
  <c r="K27" i="77" s="1"/>
  <c r="Z25" i="80"/>
  <c r="X25" i="80"/>
  <c r="T15" i="80"/>
  <c r="K17" i="77" s="1"/>
  <c r="J13" i="80"/>
  <c r="K22" i="80"/>
  <c r="N33" i="80"/>
  <c r="N34" i="80" s="1"/>
  <c r="N36" i="80" s="1"/>
  <c r="N37" i="80" s="1"/>
  <c r="N38" i="80" s="1"/>
  <c r="J37" i="80"/>
  <c r="J38" i="80" s="1"/>
  <c r="O30" i="80"/>
  <c r="N22" i="79"/>
  <c r="N13" i="79"/>
  <c r="T15" i="79"/>
  <c r="H19" i="77" s="1"/>
  <c r="R13" i="79"/>
  <c r="J13" i="79"/>
  <c r="J22" i="79"/>
  <c r="R6" i="82"/>
  <c r="S22" i="82" s="1"/>
  <c r="F31" i="82"/>
  <c r="T22" i="82"/>
  <c r="Q24" i="77" s="1"/>
  <c r="G22" i="82"/>
  <c r="O30" i="82"/>
  <c r="F31" i="81"/>
  <c r="G22" i="81"/>
  <c r="R6" i="81"/>
  <c r="S22" i="81" s="1"/>
  <c r="R6" i="80"/>
  <c r="S22" i="80" s="1"/>
  <c r="F31" i="80"/>
  <c r="G22" i="80"/>
  <c r="G22" i="79"/>
  <c r="F31" i="79"/>
  <c r="D21" i="78"/>
  <c r="D20" i="78"/>
  <c r="J86" i="77"/>
  <c r="M86" i="77" s="1"/>
  <c r="P86" i="77" s="1"/>
  <c r="R84" i="77"/>
  <c r="O74" i="77"/>
  <c r="L74" i="77"/>
  <c r="I74" i="77"/>
  <c r="F74" i="77"/>
  <c r="I72" i="77"/>
  <c r="I66" i="77"/>
  <c r="L66" i="77" s="1"/>
  <c r="O66" i="77" s="1"/>
  <c r="Q66" i="77" s="1"/>
  <c r="Q77" i="77" s="1"/>
  <c r="H66" i="77"/>
  <c r="H77" i="77" s="1"/>
  <c r="O65" i="77"/>
  <c r="O77" i="77" s="1"/>
  <c r="L65" i="77"/>
  <c r="L77" i="77" s="1"/>
  <c r="I65" i="77"/>
  <c r="I77" i="77" s="1"/>
  <c r="F65" i="77"/>
  <c r="F77" i="77" s="1"/>
  <c r="Q64" i="77"/>
  <c r="N64" i="77"/>
  <c r="K64" i="77"/>
  <c r="H64" i="77"/>
  <c r="Q63" i="77"/>
  <c r="N63" i="77"/>
  <c r="K63" i="77"/>
  <c r="H63" i="77"/>
  <c r="O61" i="77"/>
  <c r="O76" i="77" s="1"/>
  <c r="L61" i="77"/>
  <c r="L76" i="77" s="1"/>
  <c r="I61" i="77"/>
  <c r="I76" i="77" s="1"/>
  <c r="F61" i="77"/>
  <c r="I79" i="77" s="1"/>
  <c r="R44" i="77"/>
  <c r="Q6" i="34"/>
  <c r="C2" i="76"/>
  <c r="F68" i="76"/>
  <c r="F67" i="76"/>
  <c r="F66" i="76"/>
  <c r="F65" i="76"/>
  <c r="F64" i="76"/>
  <c r="F63" i="76"/>
  <c r="I8" i="74"/>
  <c r="M8" i="74" s="1"/>
  <c r="Q8" i="74" s="1"/>
  <c r="I8" i="40"/>
  <c r="M8" i="40" s="1"/>
  <c r="Q8" i="40" s="1"/>
  <c r="Q8" i="39"/>
  <c r="M8" i="39"/>
  <c r="I8" i="39"/>
  <c r="I8" i="34"/>
  <c r="M8" i="34" s="1"/>
  <c r="Q8" i="34" s="1"/>
  <c r="G22" i="39"/>
  <c r="G30" i="39"/>
  <c r="R33" i="40"/>
  <c r="S30" i="40"/>
  <c r="R33" i="39"/>
  <c r="N33" i="39"/>
  <c r="F33" i="39"/>
  <c r="S30" i="74"/>
  <c r="O30" i="74"/>
  <c r="K30" i="74"/>
  <c r="G30" i="74"/>
  <c r="O30" i="40"/>
  <c r="G30" i="40"/>
  <c r="K30" i="40"/>
  <c r="G22" i="74"/>
  <c r="G22" i="40"/>
  <c r="N33" i="74"/>
  <c r="R33" i="74"/>
  <c r="J33" i="74"/>
  <c r="F33" i="74"/>
  <c r="R34" i="74"/>
  <c r="N34" i="74"/>
  <c r="J34" i="74"/>
  <c r="I34" i="74"/>
  <c r="M34" i="74" s="1"/>
  <c r="Q34" i="74" s="1"/>
  <c r="F34" i="74"/>
  <c r="R34" i="40"/>
  <c r="N34" i="40"/>
  <c r="J34" i="40"/>
  <c r="I34" i="40"/>
  <c r="M34" i="40" s="1"/>
  <c r="Q34" i="40" s="1"/>
  <c r="F34" i="40"/>
  <c r="N33" i="40"/>
  <c r="J33" i="40"/>
  <c r="F33" i="40"/>
  <c r="R34" i="39"/>
  <c r="N34" i="39"/>
  <c r="I34" i="39"/>
  <c r="M34" i="39" s="1"/>
  <c r="Q34" i="39" s="1"/>
  <c r="F34" i="39"/>
  <c r="T6" i="74"/>
  <c r="I6" i="74"/>
  <c r="J6" i="74" s="1"/>
  <c r="F6" i="74"/>
  <c r="T6" i="40"/>
  <c r="I6" i="40"/>
  <c r="J6" i="40" s="1"/>
  <c r="F6" i="40"/>
  <c r="T6" i="39"/>
  <c r="J6" i="39"/>
  <c r="I6" i="39"/>
  <c r="M6" i="39" s="1"/>
  <c r="F6" i="39"/>
  <c r="N33" i="34"/>
  <c r="I6" i="34"/>
  <c r="J6" i="34" s="1"/>
  <c r="F6" i="34"/>
  <c r="I6" i="49"/>
  <c r="G30" i="48"/>
  <c r="R33" i="49"/>
  <c r="N33" i="72"/>
  <c r="R33" i="72"/>
  <c r="R33" i="48"/>
  <c r="S30" i="48"/>
  <c r="S22" i="48"/>
  <c r="S22" i="72"/>
  <c r="S30" i="72"/>
  <c r="AD58" i="80" l="1"/>
  <c r="J83" i="80" s="1"/>
  <c r="L83" i="80" s="1"/>
  <c r="L78" i="80"/>
  <c r="N64" i="80" s="1"/>
  <c r="Q58" i="84"/>
  <c r="AF58" i="80"/>
  <c r="T34" i="84"/>
  <c r="F36" i="84"/>
  <c r="F37" i="84" s="1"/>
  <c r="J37" i="84"/>
  <c r="J38" i="84" s="1"/>
  <c r="AG45" i="80"/>
  <c r="N74" i="80"/>
  <c r="N73" i="80"/>
  <c r="N72" i="80"/>
  <c r="N79" i="80"/>
  <c r="N65" i="80"/>
  <c r="N65" i="81"/>
  <c r="AF58" i="81"/>
  <c r="N77" i="80"/>
  <c r="AG48" i="80"/>
  <c r="N66" i="80"/>
  <c r="N67" i="80"/>
  <c r="N76" i="80"/>
  <c r="N66" i="81"/>
  <c r="N67" i="81"/>
  <c r="N79" i="81"/>
  <c r="L83" i="81"/>
  <c r="N83" i="81" s="1"/>
  <c r="L81" i="81"/>
  <c r="N80" i="81"/>
  <c r="N84" i="81"/>
  <c r="N78" i="81"/>
  <c r="N77" i="81"/>
  <c r="N75" i="81"/>
  <c r="N82" i="81"/>
  <c r="N62" i="81"/>
  <c r="AG58" i="81"/>
  <c r="N64" i="81"/>
  <c r="N63" i="81"/>
  <c r="N61" i="81"/>
  <c r="N76" i="81"/>
  <c r="H43" i="77"/>
  <c r="AC25" i="79"/>
  <c r="AB25" i="79"/>
  <c r="T30" i="79"/>
  <c r="H34" i="77" s="1"/>
  <c r="R34" i="77" s="1"/>
  <c r="S30" i="79"/>
  <c r="U30" i="79" s="1"/>
  <c r="R31" i="79"/>
  <c r="R33" i="79" s="1"/>
  <c r="R34" i="79" s="1"/>
  <c r="R36" i="79" s="1"/>
  <c r="R37" i="79" s="1"/>
  <c r="R38" i="79" s="1"/>
  <c r="L80" i="77"/>
  <c r="O80" i="77"/>
  <c r="N66" i="77"/>
  <c r="N77" i="77" s="1"/>
  <c r="K22" i="82"/>
  <c r="J31" i="82"/>
  <c r="J33" i="82" s="1"/>
  <c r="J34" i="82" s="1"/>
  <c r="J36" i="82" s="1"/>
  <c r="J37" i="82" s="1"/>
  <c r="J38" i="82" s="1"/>
  <c r="J31" i="81"/>
  <c r="J33" i="81" s="1"/>
  <c r="J34" i="81" s="1"/>
  <c r="J36" i="81" s="1"/>
  <c r="J37" i="81" s="1"/>
  <c r="J38" i="81" s="1"/>
  <c r="K22" i="81"/>
  <c r="T22" i="81"/>
  <c r="N24" i="77" s="1"/>
  <c r="T22" i="79"/>
  <c r="H26" i="77" s="1"/>
  <c r="R26" i="77" s="1"/>
  <c r="T22" i="80"/>
  <c r="K24" i="77" s="1"/>
  <c r="O22" i="80"/>
  <c r="AB25" i="80"/>
  <c r="AA25" i="80"/>
  <c r="Z26" i="80"/>
  <c r="K43" i="77" s="1"/>
  <c r="T30" i="80"/>
  <c r="K32" i="77" s="1"/>
  <c r="R32" i="77" s="1"/>
  <c r="R31" i="80"/>
  <c r="T31" i="80" s="1"/>
  <c r="K33" i="77" s="1"/>
  <c r="T6" i="80"/>
  <c r="R33" i="80"/>
  <c r="R34" i="80" s="1"/>
  <c r="R36" i="80" s="1"/>
  <c r="R37" i="80" s="1"/>
  <c r="R38" i="80" s="1"/>
  <c r="N31" i="79"/>
  <c r="N33" i="79" s="1"/>
  <c r="N34" i="79" s="1"/>
  <c r="N36" i="79" s="1"/>
  <c r="N37" i="79" s="1"/>
  <c r="N38" i="79" s="1"/>
  <c r="O22" i="79"/>
  <c r="T13" i="79"/>
  <c r="H17" i="77" s="1"/>
  <c r="R17" i="77" s="1"/>
  <c r="J31" i="79"/>
  <c r="J33" i="79" s="1"/>
  <c r="J34" i="79" s="1"/>
  <c r="J36" i="79" s="1"/>
  <c r="J37" i="79" s="1"/>
  <c r="J38" i="79" s="1"/>
  <c r="K22" i="79"/>
  <c r="L82" i="77"/>
  <c r="L83" i="77"/>
  <c r="O82" i="77"/>
  <c r="O83" i="77"/>
  <c r="L79" i="77"/>
  <c r="O79" i="77"/>
  <c r="U22" i="82"/>
  <c r="F33" i="82"/>
  <c r="T31" i="82"/>
  <c r="Q33" i="77" s="1"/>
  <c r="S30" i="82"/>
  <c r="U30" i="82" s="1"/>
  <c r="S30" i="81"/>
  <c r="U30" i="81" s="1"/>
  <c r="M79" i="77" s="1"/>
  <c r="U22" i="81"/>
  <c r="M83" i="77" s="1"/>
  <c r="T31" i="81"/>
  <c r="N33" i="77" s="1"/>
  <c r="F33" i="81"/>
  <c r="U22" i="80"/>
  <c r="F33" i="80"/>
  <c r="S30" i="80"/>
  <c r="U30" i="80" s="1"/>
  <c r="F33" i="79"/>
  <c r="R19" i="77"/>
  <c r="R29" i="77"/>
  <c r="R30" i="77"/>
  <c r="R6" i="77"/>
  <c r="R22" i="77"/>
  <c r="R18" i="77"/>
  <c r="K66" i="77"/>
  <c r="K77" i="77" s="1"/>
  <c r="R63" i="77"/>
  <c r="R25" i="77"/>
  <c r="R20" i="77"/>
  <c r="R23" i="77"/>
  <c r="R21" i="77"/>
  <c r="R27" i="77"/>
  <c r="K65" i="77"/>
  <c r="K80" i="77" s="1"/>
  <c r="N65" i="77"/>
  <c r="N80" i="77" s="1"/>
  <c r="Q65" i="77"/>
  <c r="Q80" i="77" s="1"/>
  <c r="R28" i="77"/>
  <c r="R31" i="77"/>
  <c r="R64" i="77"/>
  <c r="H65" i="77"/>
  <c r="H80" i="77" s="1"/>
  <c r="F83" i="77"/>
  <c r="F80" i="77"/>
  <c r="F82" i="77"/>
  <c r="F79" i="77"/>
  <c r="G82" i="77"/>
  <c r="F76" i="77"/>
  <c r="I80" i="77"/>
  <c r="I83" i="77"/>
  <c r="I82" i="77"/>
  <c r="M6" i="74"/>
  <c r="M6" i="40"/>
  <c r="Q6" i="39"/>
  <c r="R6" i="39" s="1"/>
  <c r="N6" i="39"/>
  <c r="M6" i="34"/>
  <c r="N82" i="80" l="1"/>
  <c r="T36" i="84"/>
  <c r="J77" i="84" s="1"/>
  <c r="N80" i="80"/>
  <c r="N78" i="80"/>
  <c r="N84" i="80"/>
  <c r="N75" i="80"/>
  <c r="L81" i="80"/>
  <c r="N61" i="80"/>
  <c r="N71" i="80"/>
  <c r="N63" i="80"/>
  <c r="AG58" i="80"/>
  <c r="N62" i="80"/>
  <c r="N83" i="80"/>
  <c r="T37" i="84"/>
  <c r="F38" i="84"/>
  <c r="T38" i="84" s="1"/>
  <c r="M45" i="84"/>
  <c r="W45" i="84" s="1"/>
  <c r="M44" i="84"/>
  <c r="W44" i="84" s="1"/>
  <c r="M56" i="84"/>
  <c r="W56" i="84" s="1"/>
  <c r="M55" i="84"/>
  <c r="W55" i="84" s="1"/>
  <c r="M54" i="84"/>
  <c r="M57" i="84"/>
  <c r="W57" i="84" s="1"/>
  <c r="O44" i="79"/>
  <c r="O58" i="79" s="1"/>
  <c r="O47" i="79"/>
  <c r="O46" i="79"/>
  <c r="O45" i="79"/>
  <c r="L85" i="80"/>
  <c r="N85" i="80" s="1"/>
  <c r="N81" i="80"/>
  <c r="N81" i="81"/>
  <c r="P79" i="77"/>
  <c r="O49" i="82"/>
  <c r="O48" i="82"/>
  <c r="O58" i="82" s="1"/>
  <c r="O50" i="82"/>
  <c r="P83" i="77"/>
  <c r="Q83" i="77" s="1"/>
  <c r="Q49" i="82"/>
  <c r="Q48" i="82"/>
  <c r="Q58" i="82" s="1"/>
  <c r="Q50" i="82"/>
  <c r="L85" i="81"/>
  <c r="N85" i="81" s="1"/>
  <c r="J83" i="77"/>
  <c r="J79" i="77"/>
  <c r="K79" i="77" s="1"/>
  <c r="G79" i="77"/>
  <c r="H79" i="77" s="1"/>
  <c r="R43" i="77"/>
  <c r="U22" i="79"/>
  <c r="N79" i="77"/>
  <c r="N83" i="77"/>
  <c r="R77" i="77"/>
  <c r="R24" i="77"/>
  <c r="Q79" i="77"/>
  <c r="R33" i="77"/>
  <c r="T31" i="79"/>
  <c r="H35" i="77" s="1"/>
  <c r="K83" i="77"/>
  <c r="F34" i="82"/>
  <c r="T34" i="82" s="1"/>
  <c r="Q36" i="77" s="1"/>
  <c r="T33" i="82"/>
  <c r="Q35" i="77" s="1"/>
  <c r="T33" i="81"/>
  <c r="N35" i="77" s="1"/>
  <c r="F34" i="81"/>
  <c r="T34" i="81" s="1"/>
  <c r="N36" i="77" s="1"/>
  <c r="F34" i="80"/>
  <c r="T34" i="80" s="1"/>
  <c r="K36" i="77" s="1"/>
  <c r="T33" i="80"/>
  <c r="K35" i="77" s="1"/>
  <c r="T33" i="79"/>
  <c r="H37" i="77" s="1"/>
  <c r="R37" i="77" s="1"/>
  <c r="F34" i="79"/>
  <c r="R66" i="77"/>
  <c r="S66" i="77" s="1"/>
  <c r="R80" i="77"/>
  <c r="H82" i="77"/>
  <c r="S76" i="77"/>
  <c r="Q6" i="74"/>
  <c r="R6" i="74" s="1"/>
  <c r="N6" i="74"/>
  <c r="Q6" i="40"/>
  <c r="R6" i="40" s="1"/>
  <c r="N6" i="40"/>
  <c r="N6" i="34"/>
  <c r="O30" i="34" s="1"/>
  <c r="M46" i="84" l="1"/>
  <c r="W46" i="84" s="1"/>
  <c r="G63" i="84" s="1"/>
  <c r="M47" i="84"/>
  <c r="W47" i="84" s="1"/>
  <c r="U44" i="84"/>
  <c r="V44" i="84"/>
  <c r="Y44" i="84" s="1"/>
  <c r="S44" i="84" s="1"/>
  <c r="G61" i="84"/>
  <c r="G62" i="84"/>
  <c r="U45" i="84"/>
  <c r="X45" i="84" s="1"/>
  <c r="R45" i="84" s="1"/>
  <c r="V45" i="84"/>
  <c r="Y45" i="84" s="1"/>
  <c r="S45" i="84" s="1"/>
  <c r="W54" i="84"/>
  <c r="M58" i="84"/>
  <c r="U55" i="84"/>
  <c r="G72" i="84"/>
  <c r="V55" i="84"/>
  <c r="Y55" i="84" s="1"/>
  <c r="S55" i="84" s="1"/>
  <c r="V57" i="84"/>
  <c r="Y57" i="84" s="1"/>
  <c r="S57" i="84" s="1"/>
  <c r="G74" i="84"/>
  <c r="U57" i="84"/>
  <c r="G73" i="84"/>
  <c r="V56" i="84"/>
  <c r="Y56" i="84" s="1"/>
  <c r="S56" i="84" s="1"/>
  <c r="U56" i="84"/>
  <c r="L77" i="84"/>
  <c r="L86" i="80"/>
  <c r="L87" i="80" s="1"/>
  <c r="N87" i="80" s="1"/>
  <c r="Q44" i="79"/>
  <c r="Q47" i="79"/>
  <c r="Q46" i="79"/>
  <c r="Q45" i="79"/>
  <c r="L86" i="81"/>
  <c r="L87" i="81" s="1"/>
  <c r="N87" i="81" s="1"/>
  <c r="R79" i="77"/>
  <c r="G83" i="77"/>
  <c r="H83" i="77" s="1"/>
  <c r="R83" i="77" s="1"/>
  <c r="R35" i="77"/>
  <c r="R36" i="77"/>
  <c r="F36" i="80"/>
  <c r="F37" i="80" s="1"/>
  <c r="T37" i="80" s="1"/>
  <c r="F36" i="82"/>
  <c r="F36" i="81"/>
  <c r="U34" i="79"/>
  <c r="T34" i="79"/>
  <c r="H38" i="77" s="1"/>
  <c r="F36" i="79"/>
  <c r="S87" i="77"/>
  <c r="S85" i="77"/>
  <c r="S86" i="77"/>
  <c r="S84" i="77"/>
  <c r="S78" i="77"/>
  <c r="S81" i="77"/>
  <c r="S79" i="77"/>
  <c r="S82" i="77"/>
  <c r="S83" i="77"/>
  <c r="R6" i="34"/>
  <c r="T6" i="34" s="1"/>
  <c r="U46" i="84" l="1"/>
  <c r="X46" i="84" s="1"/>
  <c r="R46" i="84" s="1"/>
  <c r="V46" i="84"/>
  <c r="Y46" i="84" s="1"/>
  <c r="S46" i="84" s="1"/>
  <c r="G64" i="84"/>
  <c r="V47" i="84"/>
  <c r="Y47" i="84" s="1"/>
  <c r="S47" i="84" s="1"/>
  <c r="U47" i="84"/>
  <c r="T46" i="84"/>
  <c r="T45" i="84"/>
  <c r="T44" i="84"/>
  <c r="X44" i="84"/>
  <c r="R44" i="84" s="1"/>
  <c r="N86" i="80"/>
  <c r="X56" i="84"/>
  <c r="R56" i="84" s="1"/>
  <c r="T56" i="84"/>
  <c r="T55" i="84"/>
  <c r="X55" i="84"/>
  <c r="R55" i="84" s="1"/>
  <c r="X57" i="84"/>
  <c r="R57" i="84" s="1"/>
  <c r="T57" i="84"/>
  <c r="U54" i="84"/>
  <c r="V54" i="84"/>
  <c r="G71" i="84"/>
  <c r="W58" i="84"/>
  <c r="N86" i="81"/>
  <c r="Q58" i="79"/>
  <c r="T36" i="80"/>
  <c r="K41" i="77"/>
  <c r="K39" i="77"/>
  <c r="T36" i="82"/>
  <c r="F37" i="82"/>
  <c r="T37" i="82" s="1"/>
  <c r="F37" i="81"/>
  <c r="T37" i="81" s="1"/>
  <c r="T36" i="81"/>
  <c r="F38" i="80"/>
  <c r="T38" i="80" s="1"/>
  <c r="K42" i="77" s="1"/>
  <c r="F37" i="79"/>
  <c r="T37" i="79" s="1"/>
  <c r="T36" i="79"/>
  <c r="J33" i="72"/>
  <c r="N33" i="49"/>
  <c r="F33" i="49"/>
  <c r="T6" i="72"/>
  <c r="I6" i="72"/>
  <c r="M6" i="72" s="1"/>
  <c r="F6" i="72"/>
  <c r="G30" i="72" s="1"/>
  <c r="J6" i="49"/>
  <c r="T6" i="49" s="1"/>
  <c r="F6" i="49"/>
  <c r="G30" i="49" s="1"/>
  <c r="N33" i="48"/>
  <c r="J30" i="48"/>
  <c r="I6" i="48"/>
  <c r="M6" i="48" s="1"/>
  <c r="Q6" i="48" s="1"/>
  <c r="R6" i="48" s="1"/>
  <c r="F6" i="48"/>
  <c r="X47" i="84" l="1"/>
  <c r="R47" i="84" s="1"/>
  <c r="T47" i="84"/>
  <c r="J63" i="84"/>
  <c r="L63" i="84" s="1"/>
  <c r="AC46" i="84"/>
  <c r="Z46" i="84"/>
  <c r="J61" i="84"/>
  <c r="L61" i="84" s="1"/>
  <c r="AC44" i="84"/>
  <c r="Z44" i="84"/>
  <c r="AC45" i="84"/>
  <c r="Z45" i="84"/>
  <c r="J62" i="84"/>
  <c r="L62" i="84" s="1"/>
  <c r="Y54" i="84"/>
  <c r="V58" i="84"/>
  <c r="AC57" i="84"/>
  <c r="Z57" i="84"/>
  <c r="AE57" i="84" s="1"/>
  <c r="J74" i="84"/>
  <c r="X54" i="84"/>
  <c r="T54" i="84"/>
  <c r="U58" i="84"/>
  <c r="J72" i="84"/>
  <c r="AC55" i="84"/>
  <c r="Z55" i="84"/>
  <c r="AE55" i="84" s="1"/>
  <c r="Z56" i="84"/>
  <c r="AE56" i="84" s="1"/>
  <c r="J73" i="84"/>
  <c r="AC56" i="84"/>
  <c r="J77" i="82"/>
  <c r="M49" i="82"/>
  <c r="W49" i="82" s="1"/>
  <c r="M50" i="82"/>
  <c r="W50" i="82" s="1"/>
  <c r="M48" i="82"/>
  <c r="M47" i="79"/>
  <c r="W47" i="79" s="1"/>
  <c r="M44" i="79"/>
  <c r="J77" i="79"/>
  <c r="M46" i="79"/>
  <c r="W46" i="79" s="1"/>
  <c r="M45" i="79"/>
  <c r="W45" i="79" s="1"/>
  <c r="K40" i="77"/>
  <c r="K54" i="77" s="1"/>
  <c r="F38" i="79"/>
  <c r="T38" i="79" s="1"/>
  <c r="H42" i="77" s="1"/>
  <c r="H40" i="77"/>
  <c r="G76" i="77" s="1"/>
  <c r="H76" i="77" s="1"/>
  <c r="H41" i="77"/>
  <c r="Q39" i="77"/>
  <c r="P82" i="77" s="1"/>
  <c r="Q82" i="77" s="1"/>
  <c r="Q41" i="77"/>
  <c r="Q38" i="77"/>
  <c r="Q40" i="77"/>
  <c r="N40" i="77"/>
  <c r="N38" i="77"/>
  <c r="N41" i="77"/>
  <c r="N39" i="77"/>
  <c r="M82" i="77" s="1"/>
  <c r="N82" i="77" s="1"/>
  <c r="K38" i="77"/>
  <c r="J82" i="77"/>
  <c r="K82" i="77" s="1"/>
  <c r="J76" i="77"/>
  <c r="K76" i="77" s="1"/>
  <c r="K78" i="77" s="1"/>
  <c r="K81" i="77" s="1"/>
  <c r="K85" i="77" s="1"/>
  <c r="K87" i="77" s="1"/>
  <c r="F38" i="82"/>
  <c r="T38" i="82" s="1"/>
  <c r="Q42" i="77" s="1"/>
  <c r="F38" i="81"/>
  <c r="T38" i="81" s="1"/>
  <c r="N42" i="77" s="1"/>
  <c r="J33" i="49"/>
  <c r="F33" i="72"/>
  <c r="G22" i="49"/>
  <c r="M6" i="49"/>
  <c r="Q6" i="49" s="1"/>
  <c r="R6" i="49" s="1"/>
  <c r="G22" i="72"/>
  <c r="Q6" i="72"/>
  <c r="R6" i="72" s="1"/>
  <c r="N6" i="72"/>
  <c r="J6" i="72"/>
  <c r="J6" i="48"/>
  <c r="N6" i="48"/>
  <c r="AC47" i="84" l="1"/>
  <c r="Z47" i="84"/>
  <c r="AB47" i="84" s="1"/>
  <c r="J64" i="84"/>
  <c r="L64" i="84" s="1"/>
  <c r="AB46" i="84"/>
  <c r="AE46" i="84"/>
  <c r="AD46" i="84"/>
  <c r="G82" i="84"/>
  <c r="L82" i="84" s="1"/>
  <c r="AB45" i="84"/>
  <c r="AE45" i="84"/>
  <c r="AD45" i="84"/>
  <c r="AE44" i="84"/>
  <c r="AD44" i="84"/>
  <c r="AB44" i="84"/>
  <c r="L73" i="84"/>
  <c r="AB55" i="84"/>
  <c r="AD55" i="84"/>
  <c r="J71" i="84"/>
  <c r="AC54" i="84"/>
  <c r="Z54" i="84"/>
  <c r="AE54" i="84" s="1"/>
  <c r="T58" i="84"/>
  <c r="J76" i="84" s="1"/>
  <c r="L74" i="84"/>
  <c r="AB56" i="84"/>
  <c r="AD56" i="84"/>
  <c r="L72" i="84"/>
  <c r="R54" i="84"/>
  <c r="R58" i="84" s="1"/>
  <c r="X58" i="84"/>
  <c r="AB57" i="84"/>
  <c r="AD57" i="84"/>
  <c r="S54" i="84"/>
  <c r="S58" i="84" s="1"/>
  <c r="Y58" i="84"/>
  <c r="K53" i="77"/>
  <c r="K52" i="77"/>
  <c r="K59" i="77"/>
  <c r="K47" i="77"/>
  <c r="K46" i="77"/>
  <c r="K55" i="77"/>
  <c r="K50" i="77"/>
  <c r="K51" i="77"/>
  <c r="K56" i="77"/>
  <c r="W48" i="82"/>
  <c r="M58" i="82"/>
  <c r="U50" i="82"/>
  <c r="G67" i="82"/>
  <c r="V50" i="82"/>
  <c r="Y50" i="82" s="1"/>
  <c r="S50" i="82" s="1"/>
  <c r="G66" i="82"/>
  <c r="V49" i="82"/>
  <c r="Y49" i="82" s="1"/>
  <c r="S49" i="82" s="1"/>
  <c r="U49" i="82"/>
  <c r="L77" i="82"/>
  <c r="G63" i="79"/>
  <c r="U46" i="79"/>
  <c r="V46" i="79"/>
  <c r="Y46" i="79" s="1"/>
  <c r="S46" i="79" s="1"/>
  <c r="L77" i="79"/>
  <c r="W44" i="79"/>
  <c r="M58" i="79"/>
  <c r="G62" i="79"/>
  <c r="V45" i="79"/>
  <c r="Y45" i="79" s="1"/>
  <c r="S45" i="79" s="1"/>
  <c r="U45" i="79"/>
  <c r="G64" i="79"/>
  <c r="V47" i="79"/>
  <c r="Y47" i="79" s="1"/>
  <c r="S47" i="79" s="1"/>
  <c r="U47" i="79"/>
  <c r="K57" i="77"/>
  <c r="K60" i="77"/>
  <c r="K48" i="77"/>
  <c r="K58" i="77"/>
  <c r="K49" i="77"/>
  <c r="H48" i="77"/>
  <c r="H50" i="77"/>
  <c r="H57" i="77"/>
  <c r="H51" i="77"/>
  <c r="H47" i="77"/>
  <c r="H49" i="77"/>
  <c r="H60" i="77"/>
  <c r="H54" i="77"/>
  <c r="H53" i="77"/>
  <c r="H46" i="77"/>
  <c r="H52" i="77"/>
  <c r="H59" i="77"/>
  <c r="H58" i="77"/>
  <c r="H56" i="77"/>
  <c r="H55" i="77"/>
  <c r="R41" i="77"/>
  <c r="R39" i="77"/>
  <c r="R82" i="77"/>
  <c r="P76" i="77"/>
  <c r="Q76" i="77" s="1"/>
  <c r="Q78" i="77" s="1"/>
  <c r="Q81" i="77" s="1"/>
  <c r="Q85" i="77" s="1"/>
  <c r="Q59" i="77"/>
  <c r="Q54" i="77"/>
  <c r="Q46" i="77"/>
  <c r="Q53" i="77"/>
  <c r="Q48" i="77"/>
  <c r="Q50" i="77"/>
  <c r="Q56" i="77"/>
  <c r="Q60" i="77"/>
  <c r="Q57" i="77"/>
  <c r="Q55" i="77"/>
  <c r="Q51" i="77"/>
  <c r="Q49" i="77"/>
  <c r="Q52" i="77"/>
  <c r="Q47" i="77"/>
  <c r="Q58" i="77"/>
  <c r="R40" i="77"/>
  <c r="R38" i="77"/>
  <c r="R42" i="77"/>
  <c r="N60" i="77"/>
  <c r="N59" i="77"/>
  <c r="N54" i="77"/>
  <c r="M76" i="77"/>
  <c r="N76" i="77" s="1"/>
  <c r="N78" i="77" s="1"/>
  <c r="N81" i="77" s="1"/>
  <c r="N85" i="77" s="1"/>
  <c r="N86" i="77" s="1"/>
  <c r="N87" i="77" s="1"/>
  <c r="N57" i="77"/>
  <c r="N52" i="77"/>
  <c r="N56" i="77"/>
  <c r="N58" i="77"/>
  <c r="N49" i="77"/>
  <c r="N46" i="77"/>
  <c r="N48" i="77"/>
  <c r="N53" i="77"/>
  <c r="N55" i="77"/>
  <c r="N47" i="77"/>
  <c r="N50" i="77"/>
  <c r="N51" i="77"/>
  <c r="H78" i="77"/>
  <c r="N6" i="49"/>
  <c r="S30" i="49"/>
  <c r="S22" i="49"/>
  <c r="O30" i="49"/>
  <c r="O22" i="49"/>
  <c r="K30" i="72"/>
  <c r="K22" i="72"/>
  <c r="O30" i="72"/>
  <c r="O22" i="72"/>
  <c r="O22" i="48"/>
  <c r="O30" i="48"/>
  <c r="T6" i="48"/>
  <c r="J33" i="48"/>
  <c r="K30" i="48"/>
  <c r="AF46" i="84" l="1"/>
  <c r="AG46" i="84" s="1"/>
  <c r="AE47" i="84"/>
  <c r="AD47" i="84"/>
  <c r="AF44" i="84"/>
  <c r="AG44" i="84" s="1"/>
  <c r="AF45" i="84"/>
  <c r="AG45" i="84" s="1"/>
  <c r="AF55" i="84"/>
  <c r="AF56" i="84"/>
  <c r="AF57" i="84"/>
  <c r="L76" i="84"/>
  <c r="AG57" i="84"/>
  <c r="AG55" i="84"/>
  <c r="L71" i="84"/>
  <c r="AG56" i="84"/>
  <c r="AC58" i="84"/>
  <c r="J79" i="84" s="1"/>
  <c r="AE58" i="84"/>
  <c r="AD54" i="84"/>
  <c r="AB54" i="84"/>
  <c r="Z58" i="84"/>
  <c r="K61" i="77"/>
  <c r="K68" i="77" s="1"/>
  <c r="R59" i="77"/>
  <c r="S59" i="77" s="1"/>
  <c r="X49" i="82"/>
  <c r="R49" i="82" s="1"/>
  <c r="T49" i="82"/>
  <c r="X50" i="82"/>
  <c r="R50" i="82" s="1"/>
  <c r="T50" i="82"/>
  <c r="V48" i="82"/>
  <c r="W58" i="82"/>
  <c r="U48" i="82"/>
  <c r="G65" i="82"/>
  <c r="W58" i="79"/>
  <c r="G61" i="79"/>
  <c r="U44" i="79"/>
  <c r="V44" i="79"/>
  <c r="X47" i="79"/>
  <c r="R47" i="79" s="1"/>
  <c r="T47" i="79"/>
  <c r="X45" i="79"/>
  <c r="R45" i="79" s="1"/>
  <c r="T45" i="79"/>
  <c r="X46" i="79"/>
  <c r="R46" i="79" s="1"/>
  <c r="T46" i="79"/>
  <c r="R54" i="77"/>
  <c r="S54" i="77" s="1"/>
  <c r="R56" i="77"/>
  <c r="S56" i="77" s="1"/>
  <c r="R60" i="77"/>
  <c r="S60" i="77" s="1"/>
  <c r="H61" i="77"/>
  <c r="H68" i="77" s="1"/>
  <c r="R51" i="77"/>
  <c r="S51" i="77" s="1"/>
  <c r="R58" i="77"/>
  <c r="S58" i="77" s="1"/>
  <c r="R55" i="77"/>
  <c r="S55" i="77" s="1"/>
  <c r="R49" i="77"/>
  <c r="S49" i="77" s="1"/>
  <c r="R53" i="77"/>
  <c r="S53" i="77" s="1"/>
  <c r="R57" i="77"/>
  <c r="S57" i="77" s="1"/>
  <c r="R48" i="77"/>
  <c r="S48" i="77" s="1"/>
  <c r="R50" i="77"/>
  <c r="S50" i="77" s="1"/>
  <c r="R47" i="77"/>
  <c r="S47" i="77" s="1"/>
  <c r="N61" i="77"/>
  <c r="N68" i="77" s="1"/>
  <c r="R52" i="77"/>
  <c r="S52" i="77" s="1"/>
  <c r="Q61" i="77"/>
  <c r="Q68" i="77" s="1"/>
  <c r="Q86" i="77"/>
  <c r="Q87" i="77" s="1"/>
  <c r="R46" i="77"/>
  <c r="R76" i="77"/>
  <c r="R78" i="77"/>
  <c r="H81" i="77"/>
  <c r="K10" i="71"/>
  <c r="F84" i="71" s="1"/>
  <c r="X10" i="71"/>
  <c r="O10" i="71" s="1"/>
  <c r="V10" i="71"/>
  <c r="P120" i="71"/>
  <c r="P121" i="71"/>
  <c r="P125" i="71"/>
  <c r="I120" i="71"/>
  <c r="L120" i="71" s="1"/>
  <c r="H1" i="71"/>
  <c r="H120" i="71"/>
  <c r="K120" i="71"/>
  <c r="N120" i="71"/>
  <c r="O121" i="71"/>
  <c r="O125" i="71"/>
  <c r="L127" i="71"/>
  <c r="I127" i="71"/>
  <c r="N81" i="71"/>
  <c r="E24" i="71"/>
  <c r="G24" i="71"/>
  <c r="G26" i="71"/>
  <c r="G27" i="71"/>
  <c r="G28" i="71"/>
  <c r="G29" i="71"/>
  <c r="G30" i="71"/>
  <c r="G31" i="71"/>
  <c r="G32" i="71"/>
  <c r="G33" i="71"/>
  <c r="G34" i="71"/>
  <c r="G25" i="71"/>
  <c r="P45" i="71"/>
  <c r="L45" i="71"/>
  <c r="E26" i="71"/>
  <c r="E27" i="71"/>
  <c r="E28" i="71"/>
  <c r="E29" i="71"/>
  <c r="E30" i="71"/>
  <c r="E31" i="71"/>
  <c r="E32" i="71"/>
  <c r="E33" i="71"/>
  <c r="E34" i="71"/>
  <c r="M17" i="71"/>
  <c r="M32" i="71" s="1"/>
  <c r="M18" i="71"/>
  <c r="M33" i="71" s="1"/>
  <c r="M19" i="71"/>
  <c r="M34" i="71" s="1"/>
  <c r="L17" i="71"/>
  <c r="I91" i="71" s="1"/>
  <c r="K91" i="71" s="1"/>
  <c r="L18" i="71"/>
  <c r="I92" i="71" s="1"/>
  <c r="K92" i="71" s="1"/>
  <c r="L19" i="71"/>
  <c r="I93" i="71" s="1"/>
  <c r="K93" i="71" s="1"/>
  <c r="L9" i="71"/>
  <c r="K11" i="71"/>
  <c r="K12" i="71"/>
  <c r="K13" i="71"/>
  <c r="K28" i="71" s="1"/>
  <c r="K14" i="71"/>
  <c r="K29" i="71" s="1"/>
  <c r="K15" i="71"/>
  <c r="K30" i="71" s="1"/>
  <c r="K16" i="71"/>
  <c r="F90" i="71" s="1"/>
  <c r="K17" i="71"/>
  <c r="K32" i="71" s="1"/>
  <c r="K18" i="71"/>
  <c r="K33" i="71" s="1"/>
  <c r="K19" i="71"/>
  <c r="K34" i="71" s="1"/>
  <c r="V9" i="71"/>
  <c r="O9" i="71"/>
  <c r="Y17" i="71"/>
  <c r="Y18" i="71"/>
  <c r="X18" i="71"/>
  <c r="X19" i="71"/>
  <c r="X17" i="71"/>
  <c r="Y19" i="71"/>
  <c r="X9" i="71"/>
  <c r="J84" i="71"/>
  <c r="J85" i="71"/>
  <c r="J86" i="71"/>
  <c r="J87" i="71"/>
  <c r="J88" i="71"/>
  <c r="J89" i="71"/>
  <c r="J90" i="71"/>
  <c r="J91" i="71"/>
  <c r="J92" i="71"/>
  <c r="J93" i="71"/>
  <c r="J94" i="71"/>
  <c r="J95" i="71"/>
  <c r="J96" i="71"/>
  <c r="J97" i="71"/>
  <c r="G85" i="71"/>
  <c r="G86" i="71"/>
  <c r="G87" i="71"/>
  <c r="G88" i="71"/>
  <c r="G89" i="71"/>
  <c r="G90" i="71"/>
  <c r="G91" i="71"/>
  <c r="G92" i="71"/>
  <c r="G93" i="71"/>
  <c r="G94" i="71"/>
  <c r="G95" i="71"/>
  <c r="G96" i="71"/>
  <c r="G97" i="71"/>
  <c r="G84" i="71"/>
  <c r="V11" i="71"/>
  <c r="W11" i="71"/>
  <c r="V12" i="71"/>
  <c r="W12" i="71"/>
  <c r="V13" i="71"/>
  <c r="W13" i="71"/>
  <c r="V14" i="71"/>
  <c r="W14" i="71"/>
  <c r="V15" i="71"/>
  <c r="W15" i="71"/>
  <c r="V16" i="71"/>
  <c r="W16" i="71"/>
  <c r="V17" i="71"/>
  <c r="W17" i="71"/>
  <c r="V18" i="71"/>
  <c r="W18" i="71"/>
  <c r="V19" i="71"/>
  <c r="W19" i="71"/>
  <c r="J18" i="71"/>
  <c r="J19" i="71"/>
  <c r="M64" i="71"/>
  <c r="M72" i="71"/>
  <c r="A91" i="71"/>
  <c r="A92" i="71"/>
  <c r="A93" i="71"/>
  <c r="A90" i="71"/>
  <c r="A85" i="71"/>
  <c r="A86" i="71"/>
  <c r="A87" i="71"/>
  <c r="A88" i="71"/>
  <c r="A89" i="71"/>
  <c r="A84" i="71"/>
  <c r="E25" i="71"/>
  <c r="I20" i="71"/>
  <c r="F118" i="71" s="1"/>
  <c r="N73" i="71"/>
  <c r="N80" i="71"/>
  <c r="N79" i="71"/>
  <c r="N78" i="71"/>
  <c r="N77" i="71"/>
  <c r="N76" i="71"/>
  <c r="N75" i="71"/>
  <c r="N72" i="71"/>
  <c r="N71" i="71"/>
  <c r="N70" i="71"/>
  <c r="N69" i="71"/>
  <c r="N68" i="71"/>
  <c r="N67" i="71"/>
  <c r="N66" i="71"/>
  <c r="N63" i="71"/>
  <c r="N64" i="71"/>
  <c r="N61" i="71"/>
  <c r="N60" i="71"/>
  <c r="N59" i="71"/>
  <c r="N57" i="71"/>
  <c r="N56" i="71"/>
  <c r="N55" i="71"/>
  <c r="K73" i="71"/>
  <c r="H65" i="71"/>
  <c r="N65" i="71"/>
  <c r="K65" i="71"/>
  <c r="N54" i="71"/>
  <c r="K54" i="71"/>
  <c r="H73" i="71"/>
  <c r="H54" i="71"/>
  <c r="H59" i="71"/>
  <c r="I72" i="41"/>
  <c r="L78" i="41"/>
  <c r="L81" i="41"/>
  <c r="O75" i="41"/>
  <c r="L75" i="41"/>
  <c r="I75" i="41"/>
  <c r="F75" i="41"/>
  <c r="I64" i="41"/>
  <c r="L64" i="41" s="1"/>
  <c r="AF47" i="84" l="1"/>
  <c r="AG47" i="84" s="1"/>
  <c r="AD58" i="84"/>
  <c r="J83" i="84" s="1"/>
  <c r="L83" i="84" s="1"/>
  <c r="L78" i="84"/>
  <c r="L79" i="84"/>
  <c r="AF54" i="84"/>
  <c r="AF58" i="84" s="1"/>
  <c r="N71" i="84"/>
  <c r="AG54" i="84"/>
  <c r="AB58" i="84"/>
  <c r="N73" i="84"/>
  <c r="N72" i="84"/>
  <c r="U58" i="82"/>
  <c r="X48" i="82"/>
  <c r="T48" i="82"/>
  <c r="Y48" i="82"/>
  <c r="V58" i="82"/>
  <c r="Z50" i="82"/>
  <c r="AE50" i="82" s="1"/>
  <c r="AC50" i="82"/>
  <c r="J67" i="82"/>
  <c r="L67" i="82" s="1"/>
  <c r="Z49" i="82"/>
  <c r="AE49" i="82" s="1"/>
  <c r="J66" i="82"/>
  <c r="L66" i="82" s="1"/>
  <c r="AC49" i="82"/>
  <c r="J63" i="79"/>
  <c r="AC46" i="79"/>
  <c r="Z46" i="79"/>
  <c r="Z45" i="79"/>
  <c r="J62" i="79"/>
  <c r="AC45" i="79"/>
  <c r="J64" i="79"/>
  <c r="L64" i="79" s="1"/>
  <c r="AC47" i="79"/>
  <c r="Z47" i="79"/>
  <c r="Y44" i="79"/>
  <c r="V58" i="79"/>
  <c r="X44" i="79"/>
  <c r="T44" i="79"/>
  <c r="U58" i="79"/>
  <c r="R61" i="77"/>
  <c r="R68" i="77" s="1"/>
  <c r="R81" i="77"/>
  <c r="H85" i="77"/>
  <c r="M89" i="71"/>
  <c r="M88" i="71"/>
  <c r="M87" i="71"/>
  <c r="M92" i="71"/>
  <c r="M90" i="71"/>
  <c r="M86" i="71"/>
  <c r="I118" i="71"/>
  <c r="M96" i="71"/>
  <c r="M93" i="71"/>
  <c r="R9" i="71"/>
  <c r="Q45" i="71"/>
  <c r="M9" i="71"/>
  <c r="L118" i="71" s="1"/>
  <c r="M85" i="71"/>
  <c r="W9" i="71"/>
  <c r="W10" i="71" s="1"/>
  <c r="W20" i="71" s="1"/>
  <c r="M91" i="71"/>
  <c r="M84" i="71"/>
  <c r="M97" i="71"/>
  <c r="N97" i="71" s="1"/>
  <c r="Y9" i="71"/>
  <c r="Y11" i="71" s="1"/>
  <c r="R11" i="71" s="1"/>
  <c r="M11" i="71" s="1"/>
  <c r="M26" i="71" s="1"/>
  <c r="M95" i="71"/>
  <c r="N95" i="71" s="1"/>
  <c r="M94" i="71"/>
  <c r="N94" i="71" s="1"/>
  <c r="L33" i="71"/>
  <c r="L32" i="71"/>
  <c r="L34" i="71"/>
  <c r="O18" i="71"/>
  <c r="O17" i="71"/>
  <c r="F87" i="71"/>
  <c r="F86" i="71"/>
  <c r="R18" i="71"/>
  <c r="R17" i="71"/>
  <c r="R19" i="71"/>
  <c r="X11" i="71"/>
  <c r="O11" i="71" s="1"/>
  <c r="L11" i="71" s="1"/>
  <c r="V20" i="71"/>
  <c r="O19" i="71"/>
  <c r="X16" i="71"/>
  <c r="O16" i="71" s="1"/>
  <c r="L16" i="71" s="1"/>
  <c r="X15" i="71"/>
  <c r="O15" i="71" s="1"/>
  <c r="L15" i="71" s="1"/>
  <c r="X14" i="71"/>
  <c r="O14" i="71" s="1"/>
  <c r="L14" i="71" s="1"/>
  <c r="Z18" i="71"/>
  <c r="Z19" i="71"/>
  <c r="X13" i="71"/>
  <c r="O13" i="71" s="1"/>
  <c r="L13" i="71" s="1"/>
  <c r="X12" i="71"/>
  <c r="O12" i="71" s="1"/>
  <c r="L12" i="71" s="1"/>
  <c r="Z17" i="71"/>
  <c r="N96" i="71"/>
  <c r="J16" i="71"/>
  <c r="J17" i="71"/>
  <c r="J15" i="71"/>
  <c r="J14" i="71"/>
  <c r="J13" i="71"/>
  <c r="J12" i="71"/>
  <c r="J11" i="71"/>
  <c r="J10" i="71"/>
  <c r="F93" i="71"/>
  <c r="F92" i="71"/>
  <c r="F91" i="71"/>
  <c r="F89" i="71"/>
  <c r="F88" i="71"/>
  <c r="F85" i="71"/>
  <c r="K20" i="71"/>
  <c r="F123" i="71" s="1"/>
  <c r="O64" i="41"/>
  <c r="Q64" i="41"/>
  <c r="Q78" i="41" s="1"/>
  <c r="N64" i="41"/>
  <c r="N78" i="41" s="1"/>
  <c r="K64" i="41"/>
  <c r="K78" i="41" s="1"/>
  <c r="H64" i="41"/>
  <c r="H78" i="41" s="1"/>
  <c r="H62" i="41"/>
  <c r="H61" i="41"/>
  <c r="K62" i="41"/>
  <c r="K61" i="41"/>
  <c r="N62" i="41"/>
  <c r="N61" i="41"/>
  <c r="Q62" i="41"/>
  <c r="Q61" i="41"/>
  <c r="I63" i="41"/>
  <c r="F63" i="41"/>
  <c r="O63" i="41"/>
  <c r="L63" i="41"/>
  <c r="I73" i="41"/>
  <c r="J87" i="41"/>
  <c r="C43" i="74"/>
  <c r="C43" i="40"/>
  <c r="C43" i="39"/>
  <c r="N74" i="84" l="1"/>
  <c r="N65" i="84"/>
  <c r="G82" i="79"/>
  <c r="L82" i="79" s="1"/>
  <c r="AG58" i="84"/>
  <c r="N82" i="84"/>
  <c r="N80" i="84"/>
  <c r="N77" i="84"/>
  <c r="N75" i="84"/>
  <c r="N84" i="84"/>
  <c r="N78" i="84"/>
  <c r="N79" i="84"/>
  <c r="N83" i="84"/>
  <c r="N76" i="84"/>
  <c r="N64" i="84"/>
  <c r="N61" i="84"/>
  <c r="N63" i="84"/>
  <c r="N62" i="84"/>
  <c r="L81" i="84"/>
  <c r="L85" i="84" s="1"/>
  <c r="AB50" i="82"/>
  <c r="AD50" i="82"/>
  <c r="AB49" i="82"/>
  <c r="AD49" i="82"/>
  <c r="AF49" i="82" s="1"/>
  <c r="S48" i="82"/>
  <c r="S58" i="82" s="1"/>
  <c r="Y58" i="82"/>
  <c r="T58" i="82"/>
  <c r="J76" i="82" s="1"/>
  <c r="AC48" i="82"/>
  <c r="J65" i="82"/>
  <c r="Z48" i="82"/>
  <c r="AE48" i="82" s="1"/>
  <c r="X58" i="82"/>
  <c r="R48" i="82"/>
  <c r="R58" i="82" s="1"/>
  <c r="G82" i="82"/>
  <c r="L82" i="82" s="1"/>
  <c r="S44" i="79"/>
  <c r="S58" i="79" s="1"/>
  <c r="Y58" i="79"/>
  <c r="AD47" i="79"/>
  <c r="AE47" i="79"/>
  <c r="AB47" i="79"/>
  <c r="R44" i="79"/>
  <c r="R58" i="79" s="1"/>
  <c r="X58" i="79"/>
  <c r="J61" i="79"/>
  <c r="AC44" i="79"/>
  <c r="T58" i="79"/>
  <c r="J76" i="79" s="1"/>
  <c r="Z44" i="79"/>
  <c r="AE44" i="79" s="1"/>
  <c r="L62" i="79"/>
  <c r="AE45" i="79"/>
  <c r="AD45" i="79"/>
  <c r="AB45" i="79"/>
  <c r="AB46" i="79"/>
  <c r="AE46" i="79"/>
  <c r="AD46" i="79"/>
  <c r="L63" i="79"/>
  <c r="S61" i="77"/>
  <c r="Q73" i="77"/>
  <c r="R73" i="77" s="1"/>
  <c r="Q72" i="77"/>
  <c r="R72" i="77" s="1"/>
  <c r="R85" i="77"/>
  <c r="H86" i="77"/>
  <c r="R86" i="77" s="1"/>
  <c r="S68" i="77"/>
  <c r="Q69" i="77"/>
  <c r="N69" i="77"/>
  <c r="K69" i="77"/>
  <c r="S46" i="77"/>
  <c r="H69" i="77"/>
  <c r="F99" i="71"/>
  <c r="F119" i="71" s="1"/>
  <c r="F124" i="71"/>
  <c r="L10" i="71"/>
  <c r="Z9" i="71"/>
  <c r="AA9" i="71" s="1"/>
  <c r="Y15" i="71"/>
  <c r="R15" i="71" s="1"/>
  <c r="M15" i="71" s="1"/>
  <c r="M30" i="71" s="1"/>
  <c r="Y16" i="71"/>
  <c r="R16" i="71" s="1"/>
  <c r="M16" i="71" s="1"/>
  <c r="M31" i="71" s="1"/>
  <c r="Y10" i="71"/>
  <c r="Y12" i="71"/>
  <c r="R12" i="71" s="1"/>
  <c r="M12" i="71" s="1"/>
  <c r="M27" i="71" s="1"/>
  <c r="Y13" i="71"/>
  <c r="R13" i="71" s="1"/>
  <c r="S13" i="71" s="1"/>
  <c r="Y14" i="71"/>
  <c r="R14" i="71" s="1"/>
  <c r="M14" i="71" s="1"/>
  <c r="M29" i="71" s="1"/>
  <c r="M13" i="71"/>
  <c r="M28" i="71" s="1"/>
  <c r="Z11" i="71"/>
  <c r="Z15" i="71"/>
  <c r="Z16" i="71"/>
  <c r="Z12" i="71"/>
  <c r="X20" i="71"/>
  <c r="L91" i="71"/>
  <c r="N91" i="71" s="1"/>
  <c r="L92" i="71"/>
  <c r="N92" i="71" s="1"/>
  <c r="L93" i="71"/>
  <c r="N93" i="71" s="1"/>
  <c r="J20" i="71"/>
  <c r="R78" i="41"/>
  <c r="O78" i="41"/>
  <c r="O81" i="41"/>
  <c r="I81" i="41"/>
  <c r="I78" i="41"/>
  <c r="F78" i="41"/>
  <c r="F81" i="41"/>
  <c r="R61" i="41"/>
  <c r="Q63" i="41"/>
  <c r="Q81" i="41" s="1"/>
  <c r="R64" i="41"/>
  <c r="R62" i="41"/>
  <c r="K63" i="41"/>
  <c r="K81" i="41" s="1"/>
  <c r="H63" i="41"/>
  <c r="H81" i="41" s="1"/>
  <c r="N63" i="41"/>
  <c r="N81" i="41" s="1"/>
  <c r="N71" i="41"/>
  <c r="Q16" i="41"/>
  <c r="Q17" i="41"/>
  <c r="Q18" i="41"/>
  <c r="Q19" i="41"/>
  <c r="Q20" i="41"/>
  <c r="Q23" i="41"/>
  <c r="Q24" i="41"/>
  <c r="Q26" i="41"/>
  <c r="Q32" i="41"/>
  <c r="N16" i="41"/>
  <c r="N20" i="41"/>
  <c r="N23" i="41"/>
  <c r="N32" i="41"/>
  <c r="R38" i="74"/>
  <c r="N38" i="74"/>
  <c r="Q37" i="74"/>
  <c r="M37" i="74"/>
  <c r="I37" i="74"/>
  <c r="R36" i="74"/>
  <c r="N36" i="74"/>
  <c r="T35" i="74"/>
  <c r="Q35" i="41" s="1"/>
  <c r="R31" i="74"/>
  <c r="N31" i="74"/>
  <c r="R30" i="74"/>
  <c r="N30" i="74"/>
  <c r="T29" i="74"/>
  <c r="Q29" i="41" s="1"/>
  <c r="Q29" i="74"/>
  <c r="M29" i="74"/>
  <c r="I29" i="74"/>
  <c r="T28" i="74"/>
  <c r="Q28" i="41" s="1"/>
  <c r="Q28" i="74"/>
  <c r="M28" i="74"/>
  <c r="I28" i="74"/>
  <c r="R27" i="74"/>
  <c r="N27" i="74"/>
  <c r="I27" i="74"/>
  <c r="J27" i="74" s="1"/>
  <c r="D27" i="74"/>
  <c r="F27" i="74" s="1"/>
  <c r="T26" i="74"/>
  <c r="W25" i="74"/>
  <c r="R25" i="74"/>
  <c r="Q25" i="74"/>
  <c r="N25" i="74"/>
  <c r="M25" i="74"/>
  <c r="L25" i="74"/>
  <c r="P25" i="74" s="1"/>
  <c r="Q27" i="74" s="1"/>
  <c r="J25" i="74"/>
  <c r="I25" i="74"/>
  <c r="F25" i="74"/>
  <c r="T24" i="74"/>
  <c r="R22" i="74"/>
  <c r="S22" i="74" s="1"/>
  <c r="N22" i="74"/>
  <c r="O22" i="74" s="1"/>
  <c r="R21" i="74"/>
  <c r="N21" i="74"/>
  <c r="T19" i="74"/>
  <c r="T18" i="74"/>
  <c r="T17" i="74"/>
  <c r="R15" i="74"/>
  <c r="N15" i="74"/>
  <c r="R14" i="74"/>
  <c r="N14" i="74"/>
  <c r="R13" i="74"/>
  <c r="N13" i="74"/>
  <c r="R8" i="74"/>
  <c r="R9" i="74" s="1"/>
  <c r="N8" i="74"/>
  <c r="N9" i="74" s="1"/>
  <c r="J8" i="74"/>
  <c r="J9" i="74" s="1"/>
  <c r="F8" i="74"/>
  <c r="F9" i="74" s="1"/>
  <c r="T5" i="74"/>
  <c r="T3" i="74"/>
  <c r="Q4" i="41" s="1"/>
  <c r="O59" i="41"/>
  <c r="K16" i="41"/>
  <c r="K20" i="41"/>
  <c r="K23" i="41"/>
  <c r="K32" i="41"/>
  <c r="H18" i="41"/>
  <c r="H22" i="41"/>
  <c r="H25" i="41"/>
  <c r="H28" i="41"/>
  <c r="H34" i="41"/>
  <c r="N81" i="84" l="1"/>
  <c r="L86" i="84"/>
  <c r="L87" i="84" s="1"/>
  <c r="N87" i="84" s="1"/>
  <c r="N85" i="84"/>
  <c r="AF45" i="79"/>
  <c r="AG45" i="79" s="1"/>
  <c r="AF47" i="79"/>
  <c r="AF50" i="82"/>
  <c r="AC58" i="82"/>
  <c r="J79" i="82" s="1"/>
  <c r="L79" i="82" s="1"/>
  <c r="L76" i="82"/>
  <c r="L65" i="82"/>
  <c r="AG49" i="82"/>
  <c r="AE58" i="82"/>
  <c r="AB48" i="82"/>
  <c r="AD48" i="82"/>
  <c r="AD58" i="82" s="1"/>
  <c r="J83" i="82" s="1"/>
  <c r="L83" i="82" s="1"/>
  <c r="Z58" i="82"/>
  <c r="AG50" i="82"/>
  <c r="AG47" i="79"/>
  <c r="AF46" i="79"/>
  <c r="AG46" i="79" s="1"/>
  <c r="Z58" i="79"/>
  <c r="AB44" i="79"/>
  <c r="AE58" i="79"/>
  <c r="AD44" i="79"/>
  <c r="AD58" i="79" s="1"/>
  <c r="J83" i="79" s="1"/>
  <c r="L76" i="79"/>
  <c r="AC58" i="79"/>
  <c r="J79" i="79" s="1"/>
  <c r="L61" i="79"/>
  <c r="L78" i="79" s="1"/>
  <c r="R69" i="77"/>
  <c r="H87" i="77"/>
  <c r="R87" i="77" s="1"/>
  <c r="M27" i="74"/>
  <c r="Z14" i="71"/>
  <c r="Z13" i="71"/>
  <c r="R10" i="71"/>
  <c r="Z10" i="71"/>
  <c r="Y20" i="71"/>
  <c r="O84" i="41"/>
  <c r="O83" i="41"/>
  <c r="O77" i="41"/>
  <c r="R85" i="41"/>
  <c r="R81" i="41"/>
  <c r="N73" i="41"/>
  <c r="N72" i="41"/>
  <c r="R37" i="74"/>
  <c r="N37" i="74"/>
  <c r="T25" i="74"/>
  <c r="Q25" i="41" s="1"/>
  <c r="F21" i="74"/>
  <c r="F14" i="74"/>
  <c r="F10" i="74"/>
  <c r="F11" i="74" s="1"/>
  <c r="F15" i="74" s="1"/>
  <c r="J21" i="74"/>
  <c r="J14" i="74"/>
  <c r="J10" i="74"/>
  <c r="J11" i="74" s="1"/>
  <c r="J15" i="74" s="1"/>
  <c r="J30" i="74"/>
  <c r="N10" i="74"/>
  <c r="N11" i="74" s="1"/>
  <c r="R10" i="74"/>
  <c r="R11" i="74" s="1"/>
  <c r="F30" i="74"/>
  <c r="T27" i="74"/>
  <c r="Q27" i="41" s="1"/>
  <c r="X25" i="74"/>
  <c r="M87" i="41"/>
  <c r="P87" i="41" s="1"/>
  <c r="R42" i="41"/>
  <c r="T29" i="72"/>
  <c r="Q29" i="72"/>
  <c r="M29" i="72"/>
  <c r="I29" i="72"/>
  <c r="T28" i="72"/>
  <c r="Q28" i="72"/>
  <c r="M28" i="72"/>
  <c r="I28" i="72"/>
  <c r="R27" i="72"/>
  <c r="Q27" i="72"/>
  <c r="N27" i="72"/>
  <c r="J27" i="72"/>
  <c r="I27" i="72"/>
  <c r="D27" i="72"/>
  <c r="F27" i="72" s="1"/>
  <c r="T27" i="72" s="1"/>
  <c r="T26" i="72"/>
  <c r="T29" i="49"/>
  <c r="K71" i="71" s="1"/>
  <c r="Q29" i="49"/>
  <c r="M29" i="49"/>
  <c r="I29" i="49"/>
  <c r="T28" i="49"/>
  <c r="K70" i="71" s="1"/>
  <c r="Q28" i="49"/>
  <c r="M28" i="49"/>
  <c r="I28" i="49"/>
  <c r="R27" i="49"/>
  <c r="Q27" i="49"/>
  <c r="N27" i="49"/>
  <c r="J27" i="49"/>
  <c r="I27" i="49"/>
  <c r="D27" i="49"/>
  <c r="F27" i="49" s="1"/>
  <c r="T27" i="49" s="1"/>
  <c r="K69" i="71" s="1"/>
  <c r="T26" i="49"/>
  <c r="K68" i="71" s="1"/>
  <c r="J27" i="48"/>
  <c r="T29" i="48"/>
  <c r="H71" i="71" s="1"/>
  <c r="Q29" i="48"/>
  <c r="M29" i="48"/>
  <c r="I29" i="48"/>
  <c r="T28" i="48"/>
  <c r="H70" i="71" s="1"/>
  <c r="Q28" i="48"/>
  <c r="M28" i="48"/>
  <c r="I28" i="48"/>
  <c r="R27" i="48"/>
  <c r="Q27" i="48"/>
  <c r="N27" i="48"/>
  <c r="I27" i="48"/>
  <c r="D27" i="48"/>
  <c r="F27" i="48" s="1"/>
  <c r="T26" i="48"/>
  <c r="H68" i="71" s="1"/>
  <c r="Z20" i="71" l="1"/>
  <c r="L78" i="82"/>
  <c r="N61" i="82" s="1"/>
  <c r="N86" i="84"/>
  <c r="N83" i="82"/>
  <c r="N82" i="79"/>
  <c r="N84" i="79"/>
  <c r="L83" i="79"/>
  <c r="N83" i="79" s="1"/>
  <c r="N65" i="82"/>
  <c r="N76" i="82"/>
  <c r="N68" i="82"/>
  <c r="L81" i="82"/>
  <c r="N80" i="82"/>
  <c r="N84" i="82"/>
  <c r="N75" i="82"/>
  <c r="N78" i="82"/>
  <c r="N77" i="82"/>
  <c r="AF48" i="82"/>
  <c r="AF58" i="82" s="1"/>
  <c r="AB58" i="82"/>
  <c r="N79" i="82"/>
  <c r="AF44" i="79"/>
  <c r="AF58" i="79" s="1"/>
  <c r="N64" i="79"/>
  <c r="N80" i="79"/>
  <c r="N75" i="79"/>
  <c r="N78" i="79"/>
  <c r="N77" i="79"/>
  <c r="N61" i="79"/>
  <c r="N76" i="79"/>
  <c r="AG44" i="79"/>
  <c r="AG58" i="79" s="1"/>
  <c r="AB58" i="79"/>
  <c r="L79" i="79"/>
  <c r="L81" i="79" s="1"/>
  <c r="N63" i="79"/>
  <c r="N62" i="79"/>
  <c r="T27" i="48"/>
  <c r="H69" i="71" s="1"/>
  <c r="S10" i="71"/>
  <c r="T10" i="71" s="1"/>
  <c r="M10" i="71"/>
  <c r="S11" i="71"/>
  <c r="T11" i="71" s="1"/>
  <c r="T15" i="74"/>
  <c r="Q15" i="41" s="1"/>
  <c r="U30" i="74"/>
  <c r="P80" i="41" s="1"/>
  <c r="T30" i="74"/>
  <c r="Q30" i="41" s="1"/>
  <c r="F22" i="74"/>
  <c r="T14" i="74"/>
  <c r="F13" i="74"/>
  <c r="J22" i="74"/>
  <c r="K22" i="74" s="1"/>
  <c r="J13" i="74"/>
  <c r="T21" i="74"/>
  <c r="Q21" i="41" s="1"/>
  <c r="R37" i="47"/>
  <c r="J37" i="47"/>
  <c r="Q36" i="47"/>
  <c r="M36" i="47"/>
  <c r="I36" i="47"/>
  <c r="R35" i="47"/>
  <c r="J35" i="47"/>
  <c r="R33" i="47"/>
  <c r="M33" i="47"/>
  <c r="Q33" i="47" s="1"/>
  <c r="J33" i="47"/>
  <c r="I33" i="47"/>
  <c r="R32" i="47"/>
  <c r="J32" i="47"/>
  <c r="R30" i="47"/>
  <c r="J30" i="47"/>
  <c r="R29" i="47"/>
  <c r="S29" i="47" s="1"/>
  <c r="J29" i="47"/>
  <c r="K29" i="47" s="1"/>
  <c r="Q28" i="47"/>
  <c r="M28" i="47"/>
  <c r="I28" i="47"/>
  <c r="Q27" i="47"/>
  <c r="M27" i="47"/>
  <c r="I27" i="47"/>
  <c r="R26" i="47"/>
  <c r="N26" i="47"/>
  <c r="M26" i="47"/>
  <c r="J26" i="47"/>
  <c r="I26" i="47"/>
  <c r="D26" i="47"/>
  <c r="F26" i="47" s="1"/>
  <c r="R24" i="47"/>
  <c r="Q24" i="47"/>
  <c r="N24" i="47"/>
  <c r="N29" i="47" s="1"/>
  <c r="O29" i="47" s="1"/>
  <c r="M24" i="47"/>
  <c r="L24" i="47"/>
  <c r="P24" i="47" s="1"/>
  <c r="Q26" i="47" s="1"/>
  <c r="J24" i="47"/>
  <c r="I24" i="47"/>
  <c r="F24" i="47"/>
  <c r="R21" i="47"/>
  <c r="S21" i="47" s="1"/>
  <c r="J21" i="47"/>
  <c r="K21" i="47" s="1"/>
  <c r="R20" i="47"/>
  <c r="N20" i="47"/>
  <c r="J20" i="47"/>
  <c r="R14" i="47"/>
  <c r="N14" i="47"/>
  <c r="N21" i="47" s="1"/>
  <c r="J14" i="47"/>
  <c r="R13" i="47"/>
  <c r="N13" i="47"/>
  <c r="J13" i="47"/>
  <c r="R12" i="47"/>
  <c r="N12" i="47"/>
  <c r="J12" i="47"/>
  <c r="R7" i="47"/>
  <c r="R8" i="47" s="1"/>
  <c r="N7" i="47"/>
  <c r="N8" i="47" s="1"/>
  <c r="J7" i="47"/>
  <c r="J8" i="47" s="1"/>
  <c r="F7" i="47"/>
  <c r="F8" i="47" s="1"/>
  <c r="R38" i="40"/>
  <c r="N38" i="40"/>
  <c r="Q37" i="40"/>
  <c r="M37" i="40"/>
  <c r="I37" i="40"/>
  <c r="R36" i="40"/>
  <c r="N36" i="40"/>
  <c r="R31" i="40"/>
  <c r="N31" i="40"/>
  <c r="R30" i="40"/>
  <c r="N30" i="40"/>
  <c r="Q29" i="40"/>
  <c r="M29" i="40"/>
  <c r="I29" i="40"/>
  <c r="Q28" i="40"/>
  <c r="M28" i="40"/>
  <c r="I28" i="40"/>
  <c r="R27" i="40"/>
  <c r="N27" i="40"/>
  <c r="J27" i="40"/>
  <c r="I27" i="40"/>
  <c r="D27" i="40"/>
  <c r="F27" i="40" s="1"/>
  <c r="R25" i="40"/>
  <c r="Q25" i="40"/>
  <c r="N25" i="40"/>
  <c r="M25" i="40"/>
  <c r="L25" i="40"/>
  <c r="P25" i="40" s="1"/>
  <c r="Q27" i="40" s="1"/>
  <c r="J25" i="40"/>
  <c r="J30" i="40" s="1"/>
  <c r="I25" i="40"/>
  <c r="F25" i="40"/>
  <c r="R22" i="40"/>
  <c r="S22" i="40" s="1"/>
  <c r="N22" i="40"/>
  <c r="O22" i="40" s="1"/>
  <c r="R21" i="40"/>
  <c r="N21" i="40"/>
  <c r="R15" i="40"/>
  <c r="N15" i="40"/>
  <c r="R14" i="40"/>
  <c r="N14" i="40"/>
  <c r="R13" i="40"/>
  <c r="N13" i="40"/>
  <c r="R8" i="40"/>
  <c r="R9" i="40" s="1"/>
  <c r="N8" i="40"/>
  <c r="N9" i="40" s="1"/>
  <c r="J8" i="40"/>
  <c r="J9" i="40" s="1"/>
  <c r="J14" i="40" s="1"/>
  <c r="F8" i="40"/>
  <c r="F9" i="40" s="1"/>
  <c r="R38" i="39"/>
  <c r="N38" i="39"/>
  <c r="Q37" i="39"/>
  <c r="M37" i="39"/>
  <c r="I37" i="39"/>
  <c r="R36" i="39"/>
  <c r="N36" i="39"/>
  <c r="R31" i="39"/>
  <c r="N31" i="39"/>
  <c r="R30" i="39"/>
  <c r="S30" i="39" s="1"/>
  <c r="N30" i="39"/>
  <c r="O30" i="39" s="1"/>
  <c r="Q29" i="39"/>
  <c r="M29" i="39"/>
  <c r="I29" i="39"/>
  <c r="Q28" i="39"/>
  <c r="M28" i="39"/>
  <c r="I28" i="39"/>
  <c r="R27" i="39"/>
  <c r="N27" i="39"/>
  <c r="J27" i="39"/>
  <c r="I27" i="39"/>
  <c r="D27" i="39"/>
  <c r="F27" i="39" s="1"/>
  <c r="R25" i="39"/>
  <c r="Q25" i="39"/>
  <c r="N25" i="39"/>
  <c r="M25" i="39"/>
  <c r="L25" i="39"/>
  <c r="P25" i="39" s="1"/>
  <c r="Q27" i="39" s="1"/>
  <c r="J25" i="39"/>
  <c r="I25" i="39"/>
  <c r="F25" i="39"/>
  <c r="R22" i="39"/>
  <c r="S22" i="39" s="1"/>
  <c r="N22" i="39"/>
  <c r="O22" i="39" s="1"/>
  <c r="R21" i="39"/>
  <c r="N21" i="39"/>
  <c r="R15" i="39"/>
  <c r="N15" i="39"/>
  <c r="R14" i="39"/>
  <c r="N14" i="39"/>
  <c r="R13" i="39"/>
  <c r="N13" i="39"/>
  <c r="R8" i="39"/>
  <c r="R9" i="39" s="1"/>
  <c r="N8" i="39"/>
  <c r="N9" i="39" s="1"/>
  <c r="J8" i="39"/>
  <c r="J9" i="39" s="1"/>
  <c r="J21" i="39" s="1"/>
  <c r="F8" i="39"/>
  <c r="F9" i="39" s="1"/>
  <c r="N27" i="34"/>
  <c r="I27" i="34"/>
  <c r="J27" i="34" s="1"/>
  <c r="Q29" i="34"/>
  <c r="Q28" i="34"/>
  <c r="M29" i="34"/>
  <c r="M28" i="34"/>
  <c r="I29" i="34"/>
  <c r="I28" i="34"/>
  <c r="C41" i="72"/>
  <c r="C41" i="49"/>
  <c r="C41" i="48"/>
  <c r="C43" i="34"/>
  <c r="D27" i="34"/>
  <c r="F27" i="34" s="1"/>
  <c r="N74" i="71"/>
  <c r="N62" i="71"/>
  <c r="N58" i="71"/>
  <c r="N47" i="71"/>
  <c r="N44" i="71"/>
  <c r="H48" i="72"/>
  <c r="F48" i="72"/>
  <c r="H47" i="72"/>
  <c r="F47" i="72"/>
  <c r="H46" i="72"/>
  <c r="F46" i="72"/>
  <c r="Q37" i="72"/>
  <c r="M37" i="72"/>
  <c r="I37" i="72"/>
  <c r="T35" i="72"/>
  <c r="I34" i="72"/>
  <c r="M34" i="72" s="1"/>
  <c r="Q34" i="72" s="1"/>
  <c r="Q25" i="72"/>
  <c r="R25" i="72" s="1"/>
  <c r="R30" i="72" s="1"/>
  <c r="M25" i="72"/>
  <c r="L25" i="72"/>
  <c r="J25" i="72"/>
  <c r="J30" i="72" s="1"/>
  <c r="I25" i="72"/>
  <c r="F25" i="72"/>
  <c r="F30" i="72" s="1"/>
  <c r="T24" i="72"/>
  <c r="T19" i="72"/>
  <c r="T18" i="72"/>
  <c r="T17" i="72"/>
  <c r="R8" i="72"/>
  <c r="R9" i="72" s="1"/>
  <c r="N8" i="72"/>
  <c r="N9" i="72" s="1"/>
  <c r="J8" i="72"/>
  <c r="J9" i="72" s="1"/>
  <c r="F8" i="72"/>
  <c r="F9" i="72" s="1"/>
  <c r="T5" i="72"/>
  <c r="T3" i="72"/>
  <c r="L1" i="72"/>
  <c r="P1" i="72" s="1"/>
  <c r="K74" i="71"/>
  <c r="K62" i="71"/>
  <c r="K58" i="71"/>
  <c r="K47" i="71"/>
  <c r="K44" i="71"/>
  <c r="B80" i="71"/>
  <c r="B79" i="71"/>
  <c r="B78" i="71"/>
  <c r="B77" i="71"/>
  <c r="B76" i="71"/>
  <c r="A75" i="71"/>
  <c r="H74" i="71"/>
  <c r="A73" i="71"/>
  <c r="B72" i="71"/>
  <c r="B71" i="71"/>
  <c r="B70" i="71"/>
  <c r="B69" i="71"/>
  <c r="B68" i="71"/>
  <c r="B67" i="71"/>
  <c r="B66" i="71"/>
  <c r="A65" i="71"/>
  <c r="B64" i="71"/>
  <c r="B63" i="71"/>
  <c r="H62" i="71"/>
  <c r="B61" i="71"/>
  <c r="B60" i="71"/>
  <c r="B59" i="71"/>
  <c r="H58" i="71"/>
  <c r="B57" i="71"/>
  <c r="B56" i="71"/>
  <c r="B55" i="71"/>
  <c r="A54" i="71"/>
  <c r="A53" i="71"/>
  <c r="A52" i="71"/>
  <c r="A51" i="71"/>
  <c r="A50" i="71"/>
  <c r="A49" i="71"/>
  <c r="A48" i="71"/>
  <c r="A47" i="71"/>
  <c r="H47" i="71"/>
  <c r="H44" i="71"/>
  <c r="F46" i="48"/>
  <c r="C108" i="70"/>
  <c r="G103" i="70"/>
  <c r="J92" i="70"/>
  <c r="J90" i="70"/>
  <c r="F90" i="70"/>
  <c r="E84" i="70"/>
  <c r="F79" i="70"/>
  <c r="F71" i="70"/>
  <c r="G71" i="70" s="1"/>
  <c r="F70" i="70"/>
  <c r="K64" i="70"/>
  <c r="K65" i="70" s="1"/>
  <c r="F63" i="70"/>
  <c r="K62" i="70"/>
  <c r="K60" i="70"/>
  <c r="K59" i="70"/>
  <c r="F56" i="70"/>
  <c r="F57" i="70" s="1"/>
  <c r="F58" i="70" s="1"/>
  <c r="F55" i="70"/>
  <c r="M51" i="70"/>
  <c r="F46" i="70"/>
  <c r="D43" i="70"/>
  <c r="O47" i="70" s="1"/>
  <c r="R42" i="70"/>
  <c r="R43" i="70" s="1"/>
  <c r="R41" i="70"/>
  <c r="N41" i="70"/>
  <c r="Q40" i="70"/>
  <c r="M40" i="70"/>
  <c r="I40" i="70"/>
  <c r="S38" i="70"/>
  <c r="R38" i="70"/>
  <c r="P38" i="70"/>
  <c r="N38" i="70"/>
  <c r="L38" i="70"/>
  <c r="O38" i="70" s="1"/>
  <c r="H38" i="70"/>
  <c r="K38" i="70" s="1"/>
  <c r="G38" i="70"/>
  <c r="F38" i="70"/>
  <c r="R37" i="70"/>
  <c r="N37" i="70"/>
  <c r="I37" i="70"/>
  <c r="R36" i="70"/>
  <c r="R34" i="70"/>
  <c r="N34" i="70"/>
  <c r="R33" i="70"/>
  <c r="S33" i="70" s="1"/>
  <c r="N33" i="70"/>
  <c r="T32" i="70"/>
  <c r="T31" i="70"/>
  <c r="T30" i="70"/>
  <c r="V29" i="70"/>
  <c r="R29" i="70"/>
  <c r="N29" i="70"/>
  <c r="Q28" i="70"/>
  <c r="R28" i="70" s="1"/>
  <c r="M28" i="70"/>
  <c r="N28" i="70" s="1"/>
  <c r="I28" i="70"/>
  <c r="F28" i="70"/>
  <c r="Q27" i="70"/>
  <c r="R27" i="70" s="1"/>
  <c r="M27" i="70"/>
  <c r="I27" i="70"/>
  <c r="H27" i="70"/>
  <c r="F27" i="70"/>
  <c r="T26" i="70"/>
  <c r="R24" i="70"/>
  <c r="S24" i="70" s="1"/>
  <c r="N24" i="70"/>
  <c r="O24" i="70" s="1"/>
  <c r="R23" i="70"/>
  <c r="N23" i="70"/>
  <c r="T21" i="70"/>
  <c r="R20" i="70"/>
  <c r="J20" i="70"/>
  <c r="F20" i="70"/>
  <c r="T20" i="70" s="1"/>
  <c r="T19" i="70"/>
  <c r="R17" i="70"/>
  <c r="N17" i="70"/>
  <c r="R16" i="70"/>
  <c r="N16" i="70"/>
  <c r="R15" i="70"/>
  <c r="N15" i="70"/>
  <c r="R10" i="70"/>
  <c r="R11" i="70" s="1"/>
  <c r="R12" i="70" s="1"/>
  <c r="J10" i="70"/>
  <c r="J11" i="70" s="1"/>
  <c r="J16" i="70" s="1"/>
  <c r="F10" i="70"/>
  <c r="F11" i="70" s="1"/>
  <c r="N8" i="70"/>
  <c r="N36" i="70" s="1"/>
  <c r="J8" i="70"/>
  <c r="X28" i="70" s="1"/>
  <c r="Y28" i="70" s="1"/>
  <c r="N7" i="70"/>
  <c r="R6" i="70"/>
  <c r="I6" i="70"/>
  <c r="M6" i="70" s="1"/>
  <c r="Q6" i="70" s="1"/>
  <c r="F6" i="70"/>
  <c r="J5" i="70"/>
  <c r="J6" i="70" s="1"/>
  <c r="I5" i="70"/>
  <c r="M5" i="70" s="1"/>
  <c r="Q5" i="70" s="1"/>
  <c r="T4" i="70"/>
  <c r="N67" i="82" l="1"/>
  <c r="N66" i="82"/>
  <c r="N63" i="82"/>
  <c r="N64" i="82"/>
  <c r="N82" i="82"/>
  <c r="N62" i="82"/>
  <c r="L85" i="79"/>
  <c r="N85" i="79" s="1"/>
  <c r="N81" i="79"/>
  <c r="AG48" i="82"/>
  <c r="AG58" i="82" s="1"/>
  <c r="N81" i="82"/>
  <c r="L85" i="82"/>
  <c r="N79" i="79"/>
  <c r="L86" i="79"/>
  <c r="L87" i="79" s="1"/>
  <c r="N87" i="79" s="1"/>
  <c r="M27" i="40"/>
  <c r="W25" i="72"/>
  <c r="M27" i="72"/>
  <c r="M25" i="71"/>
  <c r="L84" i="71"/>
  <c r="N10" i="71"/>
  <c r="S12" i="71"/>
  <c r="T12" i="71" s="1"/>
  <c r="L85" i="71"/>
  <c r="N83" i="71"/>
  <c r="C7" i="71"/>
  <c r="M8" i="71" s="1"/>
  <c r="B7" i="71"/>
  <c r="L8" i="71" s="1"/>
  <c r="K83" i="71"/>
  <c r="A7" i="71"/>
  <c r="K8" i="71" s="1"/>
  <c r="K24" i="71" s="1"/>
  <c r="E100" i="71"/>
  <c r="I1" i="71" s="1"/>
  <c r="H83" i="71"/>
  <c r="O58" i="71"/>
  <c r="O62" i="71"/>
  <c r="O74" i="71"/>
  <c r="J36" i="47"/>
  <c r="J21" i="40"/>
  <c r="N37" i="40"/>
  <c r="J14" i="39"/>
  <c r="N37" i="39"/>
  <c r="J30" i="39"/>
  <c r="K30" i="39" s="1"/>
  <c r="R37" i="39"/>
  <c r="R37" i="40"/>
  <c r="F31" i="74"/>
  <c r="T22" i="74"/>
  <c r="Q22" i="41" s="1"/>
  <c r="J31" i="74"/>
  <c r="T13" i="74"/>
  <c r="F30" i="39"/>
  <c r="N30" i="47"/>
  <c r="N32" i="47" s="1"/>
  <c r="O21" i="47"/>
  <c r="R36" i="47"/>
  <c r="F29" i="47"/>
  <c r="G29" i="47" s="1"/>
  <c r="R9" i="47"/>
  <c r="R10" i="47" s="1"/>
  <c r="F20" i="47"/>
  <c r="F13" i="47"/>
  <c r="F9" i="47"/>
  <c r="F10" i="47" s="1"/>
  <c r="F14" i="47" s="1"/>
  <c r="J9" i="47"/>
  <c r="J10" i="47" s="1"/>
  <c r="N9" i="47"/>
  <c r="N10" i="47" s="1"/>
  <c r="F30" i="40"/>
  <c r="R10" i="40"/>
  <c r="R11" i="40" s="1"/>
  <c r="F21" i="40"/>
  <c r="F14" i="40"/>
  <c r="F10" i="40"/>
  <c r="F11" i="40" s="1"/>
  <c r="N10" i="40"/>
  <c r="N11" i="40" s="1"/>
  <c r="J10" i="40"/>
  <c r="J11" i="40" s="1"/>
  <c r="J10" i="39"/>
  <c r="J11" i="39" s="1"/>
  <c r="J15" i="39" s="1"/>
  <c r="N10" i="39"/>
  <c r="N11" i="39" s="1"/>
  <c r="R10" i="39"/>
  <c r="R11" i="39"/>
  <c r="F21" i="39"/>
  <c r="F14" i="39"/>
  <c r="F10" i="39"/>
  <c r="F11" i="39" s="1"/>
  <c r="F15" i="39" s="1"/>
  <c r="M27" i="39"/>
  <c r="N39" i="70"/>
  <c r="N40" i="70" s="1"/>
  <c r="F10" i="72"/>
  <c r="F11" i="72" s="1"/>
  <c r="F15" i="72" s="1"/>
  <c r="F21" i="72"/>
  <c r="F14" i="72"/>
  <c r="J21" i="72"/>
  <c r="J14" i="72"/>
  <c r="J10" i="72"/>
  <c r="J11" i="72" s="1"/>
  <c r="J15" i="72" s="1"/>
  <c r="N14" i="72"/>
  <c r="N10" i="72"/>
  <c r="N11" i="72" s="1"/>
  <c r="N15" i="72" s="1"/>
  <c r="N21" i="72"/>
  <c r="R10" i="72"/>
  <c r="R11" i="72" s="1"/>
  <c r="R15" i="72" s="1"/>
  <c r="R21" i="72"/>
  <c r="R14" i="72"/>
  <c r="X25" i="72"/>
  <c r="N25" i="72"/>
  <c r="N30" i="72" s="1"/>
  <c r="R39" i="70"/>
  <c r="R40" i="70" s="1"/>
  <c r="J27" i="70"/>
  <c r="T8" i="70"/>
  <c r="N27" i="70"/>
  <c r="T27" i="70" s="1"/>
  <c r="J28" i="70"/>
  <c r="O33" i="70"/>
  <c r="F16" i="70"/>
  <c r="F23" i="70"/>
  <c r="F12" i="70"/>
  <c r="F13" i="70" s="1"/>
  <c r="F17" i="70" s="1"/>
  <c r="F82" i="70"/>
  <c r="F83" i="70" s="1"/>
  <c r="F84" i="70" s="1"/>
  <c r="F62" i="70"/>
  <c r="F64" i="70" s="1"/>
  <c r="F66" i="70" s="1"/>
  <c r="F67" i="70" s="1"/>
  <c r="F68" i="70" s="1"/>
  <c r="F69" i="70" s="1"/>
  <c r="I63" i="70"/>
  <c r="F45" i="70"/>
  <c r="F93" i="70"/>
  <c r="M37" i="70"/>
  <c r="Q37" i="70" s="1"/>
  <c r="K63" i="70"/>
  <c r="J12" i="70"/>
  <c r="J13" i="70" s="1"/>
  <c r="J17" i="70" s="1"/>
  <c r="J23" i="70"/>
  <c r="R13" i="70"/>
  <c r="T28" i="70"/>
  <c r="X27" i="70"/>
  <c r="J38" i="70"/>
  <c r="T38" i="70" s="1"/>
  <c r="K56" i="70"/>
  <c r="K58" i="70" s="1"/>
  <c r="F59" i="70"/>
  <c r="N86" i="79" l="1"/>
  <c r="N85" i="82"/>
  <c r="L86" i="82"/>
  <c r="L87" i="82" s="1"/>
  <c r="N87" i="82" s="1"/>
  <c r="J22" i="39"/>
  <c r="K22" i="39" s="1"/>
  <c r="N84" i="71"/>
  <c r="M35" i="71"/>
  <c r="N118" i="71"/>
  <c r="P118" i="71" s="1"/>
  <c r="O8" i="71"/>
  <c r="V8" i="71" s="1"/>
  <c r="X8" i="71" s="1"/>
  <c r="L24" i="71"/>
  <c r="R8" i="71"/>
  <c r="W8" i="71" s="1"/>
  <c r="Y8" i="71" s="1"/>
  <c r="M24" i="71"/>
  <c r="N85" i="71"/>
  <c r="L86" i="71"/>
  <c r="N86" i="71" s="1"/>
  <c r="J31" i="39"/>
  <c r="J13" i="39"/>
  <c r="U22" i="74"/>
  <c r="P84" i="41" s="1"/>
  <c r="Q84" i="41" s="1"/>
  <c r="J36" i="74"/>
  <c r="T31" i="74"/>
  <c r="Q31" i="41" s="1"/>
  <c r="N33" i="47"/>
  <c r="N35" i="47" s="1"/>
  <c r="F21" i="47"/>
  <c r="F12" i="47"/>
  <c r="F22" i="39"/>
  <c r="F13" i="39"/>
  <c r="U30" i="72"/>
  <c r="T25" i="72"/>
  <c r="T30" i="72"/>
  <c r="T15" i="72"/>
  <c r="T21" i="72"/>
  <c r="F22" i="72"/>
  <c r="T14" i="72"/>
  <c r="F13" i="72"/>
  <c r="N22" i="72"/>
  <c r="N13" i="72"/>
  <c r="J13" i="72"/>
  <c r="J22" i="72"/>
  <c r="R13" i="72"/>
  <c r="R22" i="72"/>
  <c r="J24" i="70"/>
  <c r="J15" i="70"/>
  <c r="Y27" i="70"/>
  <c r="F89" i="70"/>
  <c r="F85" i="70"/>
  <c r="T23" i="70"/>
  <c r="T17" i="70"/>
  <c r="K66" i="70"/>
  <c r="K61" i="70"/>
  <c r="F24" i="70"/>
  <c r="T16" i="70"/>
  <c r="F15" i="70"/>
  <c r="T15" i="70" s="1"/>
  <c r="K68" i="70"/>
  <c r="K69" i="70" s="1"/>
  <c r="F74" i="70"/>
  <c r="F75" i="70"/>
  <c r="N5" i="70"/>
  <c r="N86" i="82" l="1"/>
  <c r="J33" i="39"/>
  <c r="J34" i="39" s="1"/>
  <c r="J37" i="74"/>
  <c r="J38" i="74" s="1"/>
  <c r="T34" i="74"/>
  <c r="Q34" i="41" s="1"/>
  <c r="T33" i="74"/>
  <c r="Q33" i="41" s="1"/>
  <c r="N36" i="47"/>
  <c r="N37" i="47" s="1"/>
  <c r="G21" i="47"/>
  <c r="F30" i="47"/>
  <c r="F32" i="47" s="1"/>
  <c r="F31" i="39"/>
  <c r="T22" i="72"/>
  <c r="F31" i="72"/>
  <c r="J31" i="72"/>
  <c r="R31" i="72"/>
  <c r="N31" i="72"/>
  <c r="T13" i="72"/>
  <c r="K71" i="70"/>
  <c r="K72" i="70" s="1"/>
  <c r="K67" i="70"/>
  <c r="F99" i="70"/>
  <c r="F100" i="70" s="1"/>
  <c r="F98" i="70"/>
  <c r="N42" i="70"/>
  <c r="N43" i="70" s="1"/>
  <c r="N6" i="70"/>
  <c r="N9" i="70"/>
  <c r="F92" i="70"/>
  <c r="F91" i="70"/>
  <c r="T24" i="70"/>
  <c r="G24" i="70"/>
  <c r="K24" i="70"/>
  <c r="J36" i="39" l="1"/>
  <c r="J37" i="39" s="1"/>
  <c r="J38" i="39" s="1"/>
  <c r="F36" i="74"/>
  <c r="F33" i="47"/>
  <c r="F35" i="47" s="1"/>
  <c r="F36" i="39"/>
  <c r="U22" i="72"/>
  <c r="N34" i="72"/>
  <c r="N36" i="72" s="1"/>
  <c r="T31" i="72"/>
  <c r="J34" i="72"/>
  <c r="J36" i="72" s="1"/>
  <c r="R34" i="72"/>
  <c r="R36" i="72" s="1"/>
  <c r="V24" i="70"/>
  <c r="N20" i="70"/>
  <c r="N10" i="70"/>
  <c r="N11" i="70" s="1"/>
  <c r="K79" i="70"/>
  <c r="N79" i="70" s="1"/>
  <c r="F101" i="70"/>
  <c r="F102" i="70" s="1"/>
  <c r="F103" i="70"/>
  <c r="K85" i="70"/>
  <c r="F94" i="70"/>
  <c r="K73" i="70"/>
  <c r="K74" i="70"/>
  <c r="K75" i="70"/>
  <c r="C41" i="65"/>
  <c r="F37" i="74" l="1"/>
  <c r="T37" i="74" s="1"/>
  <c r="T36" i="74"/>
  <c r="F36" i="47"/>
  <c r="F37" i="47" s="1"/>
  <c r="F37" i="39"/>
  <c r="F38" i="39" s="1"/>
  <c r="J37" i="72"/>
  <c r="J38" i="72" s="1"/>
  <c r="R37" i="72"/>
  <c r="R38" i="72" s="1"/>
  <c r="N37" i="72"/>
  <c r="N38" i="72"/>
  <c r="F34" i="72"/>
  <c r="T34" i="72" s="1"/>
  <c r="T33" i="72"/>
  <c r="N12" i="70"/>
  <c r="N13" i="70" s="1"/>
  <c r="F97" i="70"/>
  <c r="F96" i="70"/>
  <c r="K92" i="70"/>
  <c r="K93" i="70" s="1"/>
  <c r="K94" i="70" s="1"/>
  <c r="K83" i="70"/>
  <c r="K86" i="70" s="1"/>
  <c r="T5" i="65"/>
  <c r="W25" i="65"/>
  <c r="X25" i="65" s="1"/>
  <c r="N25" i="65"/>
  <c r="J25" i="65"/>
  <c r="P6" i="65"/>
  <c r="L6" i="65"/>
  <c r="H6" i="65"/>
  <c r="D6" i="65"/>
  <c r="C26" i="65" s="1"/>
  <c r="F26" i="65" s="1"/>
  <c r="N33" i="65"/>
  <c r="K22" i="65"/>
  <c r="K30" i="65"/>
  <c r="J33" i="65"/>
  <c r="U35" i="65"/>
  <c r="G32" i="65"/>
  <c r="S32" i="65" s="1"/>
  <c r="F32" i="65"/>
  <c r="R32" i="65" s="1"/>
  <c r="Q6" i="65"/>
  <c r="M6" i="65"/>
  <c r="I6" i="65"/>
  <c r="Q5" i="65"/>
  <c r="M5" i="65"/>
  <c r="I5" i="65"/>
  <c r="F25" i="65"/>
  <c r="Q37" i="65"/>
  <c r="M37" i="65"/>
  <c r="I37" i="65"/>
  <c r="T35" i="65"/>
  <c r="I34" i="65"/>
  <c r="M34" i="65" s="1"/>
  <c r="Q34" i="65" s="1"/>
  <c r="T29" i="65"/>
  <c r="T28" i="65"/>
  <c r="T27" i="65"/>
  <c r="Q25" i="65"/>
  <c r="N30" i="65"/>
  <c r="O30" i="65" s="1"/>
  <c r="M25" i="65"/>
  <c r="I25" i="65"/>
  <c r="T24" i="65"/>
  <c r="R21" i="65"/>
  <c r="J21" i="65"/>
  <c r="T19" i="65"/>
  <c r="T18" i="65"/>
  <c r="T17" i="65"/>
  <c r="R8" i="65"/>
  <c r="R9" i="65" s="1"/>
  <c r="R14" i="65" s="1"/>
  <c r="N8" i="65"/>
  <c r="N9" i="65" s="1"/>
  <c r="N21" i="65" s="1"/>
  <c r="J8" i="65"/>
  <c r="J9" i="65" s="1"/>
  <c r="J14" i="65" s="1"/>
  <c r="F8" i="65"/>
  <c r="F9" i="65" s="1"/>
  <c r="T3" i="65"/>
  <c r="I45" i="47"/>
  <c r="F48" i="47"/>
  <c r="Q36" i="41" l="1"/>
  <c r="Q38" i="41"/>
  <c r="Q37" i="41"/>
  <c r="P83" i="41" s="1"/>
  <c r="Q83" i="41" s="1"/>
  <c r="Q39" i="41"/>
  <c r="F38" i="74"/>
  <c r="T38" i="74" s="1"/>
  <c r="F36" i="72"/>
  <c r="L29" i="70"/>
  <c r="C29" i="70"/>
  <c r="F29" i="70" s="1"/>
  <c r="P29" i="70"/>
  <c r="H29" i="70"/>
  <c r="J29" i="70" s="1"/>
  <c r="J33" i="70" s="1"/>
  <c r="N32" i="65"/>
  <c r="O32" i="65"/>
  <c r="J32" i="65"/>
  <c r="K32" i="65"/>
  <c r="R25" i="65"/>
  <c r="R30" i="65" s="1"/>
  <c r="S30" i="65" s="1"/>
  <c r="T6" i="65"/>
  <c r="T26" i="65"/>
  <c r="N14" i="65"/>
  <c r="J30" i="65"/>
  <c r="F30" i="65"/>
  <c r="N10" i="65"/>
  <c r="N11" i="65"/>
  <c r="R10" i="65"/>
  <c r="R11" i="65" s="1"/>
  <c r="R15" i="65" s="1"/>
  <c r="R22" i="65" s="1"/>
  <c r="S22" i="65" s="1"/>
  <c r="F14" i="65"/>
  <c r="F21" i="65"/>
  <c r="T21" i="65" s="1"/>
  <c r="F10" i="65"/>
  <c r="F11" i="65" s="1"/>
  <c r="F15" i="65" s="1"/>
  <c r="J10" i="65"/>
  <c r="J11" i="65" s="1"/>
  <c r="P77" i="41" l="1"/>
  <c r="Q40" i="41"/>
  <c r="Q47" i="41"/>
  <c r="Q49" i="41"/>
  <c r="Q58" i="41"/>
  <c r="Q56" i="41"/>
  <c r="Q55" i="41"/>
  <c r="Q51" i="41"/>
  <c r="Q44" i="41"/>
  <c r="Q45" i="41"/>
  <c r="Q48" i="41"/>
  <c r="Q50" i="41"/>
  <c r="Q57" i="41"/>
  <c r="Q53" i="41"/>
  <c r="Q52" i="41"/>
  <c r="Q54" i="41"/>
  <c r="Q46" i="41"/>
  <c r="T36" i="72"/>
  <c r="F37" i="72"/>
  <c r="T37" i="72" s="1"/>
  <c r="T29" i="70"/>
  <c r="F33" i="70"/>
  <c r="K33" i="70"/>
  <c r="J34" i="70"/>
  <c r="J36" i="70" s="1"/>
  <c r="T25" i="65"/>
  <c r="R31" i="65"/>
  <c r="R33" i="65" s="1"/>
  <c r="R34" i="65" s="1"/>
  <c r="R13" i="65"/>
  <c r="S33" i="65"/>
  <c r="S36" i="65" s="1"/>
  <c r="T30" i="65"/>
  <c r="G30" i="65"/>
  <c r="U30" i="65" s="1"/>
  <c r="T14" i="65"/>
  <c r="F13" i="65"/>
  <c r="F22" i="65"/>
  <c r="G22" i="65" s="1"/>
  <c r="Q77" i="41" l="1"/>
  <c r="Q59" i="41"/>
  <c r="Q66" i="41" s="1"/>
  <c r="F38" i="72"/>
  <c r="T38" i="72" s="1"/>
  <c r="H49" i="72"/>
  <c r="F49" i="72"/>
  <c r="J37" i="70"/>
  <c r="J39" i="70" s="1"/>
  <c r="G33" i="70"/>
  <c r="V33" i="70" s="1"/>
  <c r="T33" i="70"/>
  <c r="F34" i="70"/>
  <c r="R36" i="65"/>
  <c r="R37" i="65" s="1"/>
  <c r="R38" i="65" s="1"/>
  <c r="S37" i="65"/>
  <c r="S38" i="65"/>
  <c r="O22" i="65"/>
  <c r="U22" i="65" s="1"/>
  <c r="F31" i="65"/>
  <c r="G33" i="65" s="1"/>
  <c r="Q79" i="41" l="1"/>
  <c r="F50" i="72"/>
  <c r="H50" i="72"/>
  <c r="J42" i="70"/>
  <c r="J43" i="70" s="1"/>
  <c r="J40" i="70"/>
  <c r="J41" i="70" s="1"/>
  <c r="F36" i="70"/>
  <c r="T34" i="70"/>
  <c r="U33" i="70" s="1"/>
  <c r="F33" i="65"/>
  <c r="F34" i="65" s="1"/>
  <c r="J34" i="65"/>
  <c r="J36" i="65" s="1"/>
  <c r="K46" i="70" l="1"/>
  <c r="U26" i="70"/>
  <c r="U30" i="70"/>
  <c r="U21" i="70"/>
  <c r="U32" i="70"/>
  <c r="U19" i="70"/>
  <c r="U31" i="70"/>
  <c r="U20" i="70"/>
  <c r="U28" i="70"/>
  <c r="U27" i="70"/>
  <c r="U23" i="70"/>
  <c r="U17" i="70"/>
  <c r="U16" i="70"/>
  <c r="U24" i="70"/>
  <c r="U29" i="70"/>
  <c r="F37" i="70"/>
  <c r="T37" i="70" s="1"/>
  <c r="T36" i="70"/>
  <c r="N34" i="65"/>
  <c r="N36" i="65" s="1"/>
  <c r="N37" i="65" s="1"/>
  <c r="N38" i="65" s="1"/>
  <c r="F36" i="65"/>
  <c r="G34" i="65"/>
  <c r="J37" i="65"/>
  <c r="J38" i="65" s="1"/>
  <c r="T33" i="65"/>
  <c r="U34" i="70" l="1"/>
  <c r="F39" i="70"/>
  <c r="G36" i="65"/>
  <c r="T34" i="65"/>
  <c r="F37" i="65"/>
  <c r="T37" i="65" s="1"/>
  <c r="T39" i="70" l="1"/>
  <c r="F44" i="70" s="1"/>
  <c r="K45" i="70" s="1"/>
  <c r="N45" i="70" s="1"/>
  <c r="F47" i="70" s="1"/>
  <c r="F48" i="70" s="1"/>
  <c r="F42" i="70"/>
  <c r="F43" i="70" s="1"/>
  <c r="F40" i="70"/>
  <c r="T40" i="70" s="1"/>
  <c r="G37" i="65"/>
  <c r="G38" i="65" s="1"/>
  <c r="T36" i="65"/>
  <c r="F38" i="65"/>
  <c r="T38" i="65" s="1"/>
  <c r="H48" i="49"/>
  <c r="F48" i="49"/>
  <c r="H47" i="49"/>
  <c r="F47" i="49"/>
  <c r="H46" i="49"/>
  <c r="F46" i="49"/>
  <c r="Q37" i="49"/>
  <c r="M37" i="49"/>
  <c r="I37" i="49"/>
  <c r="T35" i="49"/>
  <c r="K77" i="71" s="1"/>
  <c r="I34" i="49"/>
  <c r="M34" i="49" s="1"/>
  <c r="Q34" i="49" s="1"/>
  <c r="W25" i="49"/>
  <c r="Q25" i="49"/>
  <c r="R25" i="49" s="1"/>
  <c r="R30" i="49" s="1"/>
  <c r="M25" i="49"/>
  <c r="N25" i="49" s="1"/>
  <c r="N30" i="49" s="1"/>
  <c r="L25" i="49"/>
  <c r="M27" i="49" s="1"/>
  <c r="I25" i="49"/>
  <c r="J25" i="49" s="1"/>
  <c r="J30" i="49" s="1"/>
  <c r="K30" i="49" s="1"/>
  <c r="F25" i="49"/>
  <c r="F30" i="49" s="1"/>
  <c r="T24" i="49"/>
  <c r="K66" i="71" s="1"/>
  <c r="T19" i="49"/>
  <c r="K61" i="71" s="1"/>
  <c r="T18" i="49"/>
  <c r="K60" i="71" s="1"/>
  <c r="T17" i="49"/>
  <c r="K59" i="71" s="1"/>
  <c r="R8" i="49"/>
  <c r="R9" i="49" s="1"/>
  <c r="R14" i="49" s="1"/>
  <c r="N8" i="49"/>
  <c r="N9" i="49" s="1"/>
  <c r="N21" i="49" s="1"/>
  <c r="J8" i="49"/>
  <c r="J9" i="49" s="1"/>
  <c r="J14" i="49" s="1"/>
  <c r="F8" i="49"/>
  <c r="F9" i="49" s="1"/>
  <c r="T5" i="49"/>
  <c r="T3" i="49"/>
  <c r="L1" i="49"/>
  <c r="P1" i="49" s="1"/>
  <c r="H48" i="48"/>
  <c r="F48" i="48"/>
  <c r="H47" i="48"/>
  <c r="F47" i="48"/>
  <c r="H46" i="48"/>
  <c r="L1" i="48"/>
  <c r="P1" i="48" s="1"/>
  <c r="Q37" i="48"/>
  <c r="M37" i="48"/>
  <c r="I37" i="48"/>
  <c r="T35" i="48"/>
  <c r="H77" i="71" s="1"/>
  <c r="H123" i="71" s="1"/>
  <c r="I34" i="48"/>
  <c r="M34" i="48" s="1"/>
  <c r="Q34" i="48" s="1"/>
  <c r="O71" i="71"/>
  <c r="O70" i="71"/>
  <c r="O69" i="71"/>
  <c r="O68" i="71"/>
  <c r="Q25" i="48"/>
  <c r="R25" i="48" s="1"/>
  <c r="R30" i="48" s="1"/>
  <c r="M25" i="48"/>
  <c r="L25" i="48"/>
  <c r="I25" i="48"/>
  <c r="J25" i="48" s="1"/>
  <c r="F25" i="48"/>
  <c r="F30" i="48" s="1"/>
  <c r="U30" i="48" s="1"/>
  <c r="T24" i="48"/>
  <c r="T19" i="48"/>
  <c r="H61" i="71" s="1"/>
  <c r="T18" i="48"/>
  <c r="H60" i="71" s="1"/>
  <c r="T17" i="48"/>
  <c r="R8" i="48"/>
  <c r="R9" i="48" s="1"/>
  <c r="R14" i="48" s="1"/>
  <c r="N8" i="48"/>
  <c r="N9" i="48" s="1"/>
  <c r="N14" i="48" s="1"/>
  <c r="J8" i="48"/>
  <c r="J9" i="48" s="1"/>
  <c r="J21" i="48" s="1"/>
  <c r="F8" i="48"/>
  <c r="F9" i="48" s="1"/>
  <c r="T5" i="48"/>
  <c r="T3" i="48"/>
  <c r="F51" i="47"/>
  <c r="F50" i="47"/>
  <c r="F49" i="47"/>
  <c r="C40" i="47"/>
  <c r="T34" i="47"/>
  <c r="T28" i="47"/>
  <c r="T27" i="47"/>
  <c r="T26" i="47"/>
  <c r="T25" i="47"/>
  <c r="W24" i="47"/>
  <c r="X24" i="47" s="1"/>
  <c r="T23" i="47"/>
  <c r="T18" i="47"/>
  <c r="T17" i="47"/>
  <c r="T16" i="47"/>
  <c r="T5" i="47"/>
  <c r="T3" i="47"/>
  <c r="H66" i="71" l="1"/>
  <c r="O66" i="71" s="1"/>
  <c r="O59" i="71"/>
  <c r="O61" i="71"/>
  <c r="O60" i="71"/>
  <c r="O77" i="71"/>
  <c r="N25" i="48"/>
  <c r="N30" i="48" s="1"/>
  <c r="M27" i="48"/>
  <c r="F41" i="70"/>
  <c r="T41" i="70" s="1"/>
  <c r="J21" i="49"/>
  <c r="N21" i="48"/>
  <c r="W25" i="48"/>
  <c r="X25" i="48" s="1"/>
  <c r="N14" i="49"/>
  <c r="R21" i="48"/>
  <c r="J14" i="48"/>
  <c r="R21" i="49"/>
  <c r="X25" i="49"/>
  <c r="R10" i="49"/>
  <c r="R11" i="49" s="1"/>
  <c r="R15" i="49" s="1"/>
  <c r="R13" i="49" s="1"/>
  <c r="F21" i="49"/>
  <c r="F14" i="49"/>
  <c r="F10" i="49"/>
  <c r="F11" i="49" s="1"/>
  <c r="F15" i="49" s="1"/>
  <c r="U30" i="49"/>
  <c r="J72" i="71" s="1"/>
  <c r="T30" i="49"/>
  <c r="K72" i="71" s="1"/>
  <c r="J10" i="49"/>
  <c r="J11" i="49" s="1"/>
  <c r="J15" i="49" s="1"/>
  <c r="J13" i="49" s="1"/>
  <c r="N10" i="49"/>
  <c r="N11" i="49" s="1"/>
  <c r="N15" i="49" s="1"/>
  <c r="N22" i="49" s="1"/>
  <c r="T25" i="49"/>
  <c r="K67" i="71" s="1"/>
  <c r="N10" i="48"/>
  <c r="N11" i="48" s="1"/>
  <c r="N15" i="48" s="1"/>
  <c r="N13" i="48" s="1"/>
  <c r="R10" i="48"/>
  <c r="R11" i="48" s="1"/>
  <c r="R15" i="48" s="1"/>
  <c r="R22" i="48" s="1"/>
  <c r="F21" i="48"/>
  <c r="F14" i="48"/>
  <c r="F10" i="48"/>
  <c r="F11" i="48" s="1"/>
  <c r="F15" i="48" s="1"/>
  <c r="T30" i="48"/>
  <c r="J10" i="48"/>
  <c r="J11" i="48" s="1"/>
  <c r="J15" i="48" s="1"/>
  <c r="T14" i="47"/>
  <c r="T20" i="47"/>
  <c r="U29" i="47"/>
  <c r="T29" i="47"/>
  <c r="T24" i="47"/>
  <c r="F22" i="48" l="1"/>
  <c r="G22" i="48" s="1"/>
  <c r="H72" i="71"/>
  <c r="O72" i="71" s="1"/>
  <c r="T25" i="48"/>
  <c r="G72" i="71"/>
  <c r="H119" i="71" s="1"/>
  <c r="T21" i="48"/>
  <c r="H63" i="71" s="1"/>
  <c r="N22" i="48"/>
  <c r="R13" i="48"/>
  <c r="J22" i="49"/>
  <c r="K22" i="49" s="1"/>
  <c r="R31" i="48"/>
  <c r="N31" i="49"/>
  <c r="N34" i="49" s="1"/>
  <c r="N36" i="49" s="1"/>
  <c r="T15" i="49"/>
  <c r="J22" i="48"/>
  <c r="J13" i="48"/>
  <c r="R22" i="49"/>
  <c r="T15" i="48"/>
  <c r="H57" i="71" s="1"/>
  <c r="T21" i="49"/>
  <c r="K63" i="71" s="1"/>
  <c r="N13" i="49"/>
  <c r="R34" i="48"/>
  <c r="N31" i="48"/>
  <c r="F22" i="49"/>
  <c r="T14" i="49"/>
  <c r="K56" i="71" s="1"/>
  <c r="F13" i="49"/>
  <c r="T14" i="48"/>
  <c r="H56" i="71" s="1"/>
  <c r="F13" i="48"/>
  <c r="T13" i="47"/>
  <c r="T12" i="47"/>
  <c r="T22" i="48" l="1"/>
  <c r="K22" i="48"/>
  <c r="U22" i="48"/>
  <c r="R36" i="48"/>
  <c r="R37" i="48" s="1"/>
  <c r="J31" i="49"/>
  <c r="H67" i="71"/>
  <c r="O67" i="71" s="1"/>
  <c r="K57" i="71"/>
  <c r="O57" i="71" s="1"/>
  <c r="O56" i="71"/>
  <c r="O63" i="71"/>
  <c r="T13" i="48"/>
  <c r="H55" i="71" s="1"/>
  <c r="R31" i="49"/>
  <c r="J31" i="48"/>
  <c r="T13" i="49"/>
  <c r="N37" i="49"/>
  <c r="N38" i="49" s="1"/>
  <c r="J34" i="49"/>
  <c r="J36" i="49" s="1"/>
  <c r="R38" i="48"/>
  <c r="N34" i="48"/>
  <c r="N36" i="48" s="1"/>
  <c r="N37" i="48" s="1"/>
  <c r="T22" i="49"/>
  <c r="F31" i="49"/>
  <c r="H64" i="71"/>
  <c r="F31" i="48"/>
  <c r="F33" i="48" s="1"/>
  <c r="F34" i="48" s="1"/>
  <c r="U21" i="47"/>
  <c r="T21" i="47"/>
  <c r="F36" i="48" l="1"/>
  <c r="K55" i="71"/>
  <c r="O55" i="71" s="1"/>
  <c r="K64" i="71"/>
  <c r="G64" i="71"/>
  <c r="H124" i="71" s="1"/>
  <c r="U22" i="49"/>
  <c r="J64" i="71" s="1"/>
  <c r="J34" i="48"/>
  <c r="J36" i="48" s="1"/>
  <c r="R34" i="49"/>
  <c r="R36" i="49" s="1"/>
  <c r="J37" i="49"/>
  <c r="J38" i="49" s="1"/>
  <c r="N38" i="48"/>
  <c r="T31" i="49"/>
  <c r="T31" i="48"/>
  <c r="T30" i="47"/>
  <c r="O64" i="71" l="1"/>
  <c r="R37" i="49"/>
  <c r="R38" i="49"/>
  <c r="J37" i="48"/>
  <c r="J38" i="48" s="1"/>
  <c r="F34" i="49"/>
  <c r="T34" i="49" s="1"/>
  <c r="T33" i="49"/>
  <c r="T34" i="48"/>
  <c r="H76" i="71" s="1"/>
  <c r="T33" i="48"/>
  <c r="H75" i="71" s="1"/>
  <c r="T32" i="47"/>
  <c r="T33" i="47"/>
  <c r="K75" i="71" l="1"/>
  <c r="O75" i="71" s="1"/>
  <c r="K76" i="71"/>
  <c r="O76" i="71" s="1"/>
  <c r="F36" i="49"/>
  <c r="T36" i="49" l="1"/>
  <c r="F37" i="49"/>
  <c r="T37" i="49" s="1"/>
  <c r="T36" i="48"/>
  <c r="F37" i="48"/>
  <c r="T37" i="48" s="1"/>
  <c r="T35" i="47"/>
  <c r="F52" i="47" s="1"/>
  <c r="K79" i="71" l="1"/>
  <c r="K78" i="71"/>
  <c r="P10" i="71" s="1"/>
  <c r="Q10" i="71" s="1"/>
  <c r="H79" i="71"/>
  <c r="H78" i="71"/>
  <c r="F49" i="48"/>
  <c r="H49" i="48"/>
  <c r="F38" i="49"/>
  <c r="T38" i="49" s="1"/>
  <c r="H49" i="49"/>
  <c r="F49" i="49"/>
  <c r="F38" i="48"/>
  <c r="T38" i="48" s="1"/>
  <c r="T36" i="47"/>
  <c r="T37" i="47"/>
  <c r="F53" i="47" s="1"/>
  <c r="K31" i="71" l="1"/>
  <c r="K27" i="71"/>
  <c r="K26" i="71"/>
  <c r="K25" i="71"/>
  <c r="L31" i="71"/>
  <c r="L26" i="71"/>
  <c r="L27" i="71"/>
  <c r="L28" i="71"/>
  <c r="L29" i="71"/>
  <c r="L30" i="71"/>
  <c r="L25" i="71"/>
  <c r="P17" i="71"/>
  <c r="Q17" i="71" s="1"/>
  <c r="P18" i="71"/>
  <c r="Q18" i="71" s="1"/>
  <c r="P12" i="71"/>
  <c r="Q12" i="71" s="1"/>
  <c r="P13" i="71"/>
  <c r="Q13" i="71" s="1"/>
  <c r="P14" i="71"/>
  <c r="Q14" i="71" s="1"/>
  <c r="P11" i="71"/>
  <c r="Q11" i="71" s="1"/>
  <c r="P15" i="71"/>
  <c r="Q15" i="71" s="1"/>
  <c r="P16" i="71"/>
  <c r="Q16" i="71" s="1"/>
  <c r="P19" i="71"/>
  <c r="Q19" i="71" s="1"/>
  <c r="H94" i="71"/>
  <c r="H95" i="71"/>
  <c r="H96" i="71"/>
  <c r="H97" i="71"/>
  <c r="H84" i="71"/>
  <c r="H87" i="71"/>
  <c r="H86" i="71"/>
  <c r="H90" i="71"/>
  <c r="H88" i="71"/>
  <c r="H89" i="71"/>
  <c r="H92" i="71"/>
  <c r="H93" i="71"/>
  <c r="H91" i="71"/>
  <c r="H85" i="71"/>
  <c r="K96" i="71"/>
  <c r="K97" i="71"/>
  <c r="K94" i="71"/>
  <c r="K95" i="71"/>
  <c r="O79" i="71"/>
  <c r="O78" i="71"/>
  <c r="K80" i="71"/>
  <c r="H80" i="71"/>
  <c r="F50" i="48"/>
  <c r="H50" i="48"/>
  <c r="H50" i="49"/>
  <c r="F50" i="49"/>
  <c r="T5" i="40"/>
  <c r="F63" i="43"/>
  <c r="H99" i="71" l="1"/>
  <c r="H118" i="71"/>
  <c r="H122" i="71" s="1"/>
  <c r="H126" i="71" s="1"/>
  <c r="K35" i="71"/>
  <c r="L35" i="71"/>
  <c r="K118" i="71"/>
  <c r="N12" i="71"/>
  <c r="N11" i="71"/>
  <c r="N32" i="71"/>
  <c r="O32" i="71" s="1"/>
  <c r="N17" i="71"/>
  <c r="O91" i="71"/>
  <c r="P91" i="71" s="1"/>
  <c r="AH91" i="71" s="1"/>
  <c r="AJ91" i="71" s="1"/>
  <c r="N33" i="71"/>
  <c r="O33" i="71" s="1"/>
  <c r="N18" i="71"/>
  <c r="O92" i="71"/>
  <c r="P92" i="71" s="1"/>
  <c r="AH92" i="71" s="1"/>
  <c r="AJ92" i="71" s="1"/>
  <c r="O97" i="71"/>
  <c r="P97" i="71" s="1"/>
  <c r="AH97" i="71" s="1"/>
  <c r="AJ97" i="71" s="1"/>
  <c r="O80" i="71"/>
  <c r="O94" i="71"/>
  <c r="P94" i="71" s="1"/>
  <c r="AH94" i="71" s="1"/>
  <c r="AJ94" i="71" s="1"/>
  <c r="O98" i="71"/>
  <c r="O95" i="71"/>
  <c r="P95" i="71" s="1"/>
  <c r="AH95" i="71" s="1"/>
  <c r="AJ95" i="71" s="1"/>
  <c r="O96" i="71"/>
  <c r="P96" i="71" s="1"/>
  <c r="AH96" i="71" s="1"/>
  <c r="AJ96" i="71" s="1"/>
  <c r="Z27" i="70"/>
  <c r="AA27" i="70" s="1"/>
  <c r="AB27" i="70" s="1"/>
  <c r="Y25" i="74"/>
  <c r="Z25" i="74" s="1"/>
  <c r="Y25" i="72"/>
  <c r="Z25" i="72" s="1"/>
  <c r="Y25" i="34"/>
  <c r="Y25" i="65"/>
  <c r="Z25" i="65" s="1"/>
  <c r="Y25" i="48"/>
  <c r="Z25" i="48" s="1"/>
  <c r="Y24" i="47"/>
  <c r="Z24" i="47" s="1"/>
  <c r="Y25" i="49"/>
  <c r="Z25" i="49" s="1"/>
  <c r="O118" i="71" l="1"/>
  <c r="H127" i="71"/>
  <c r="H128" i="71" s="1"/>
  <c r="I87" i="71"/>
  <c r="K87" i="71" s="1"/>
  <c r="I88" i="71"/>
  <c r="K88" i="71" s="1"/>
  <c r="N29" i="71"/>
  <c r="O29" i="71" s="1"/>
  <c r="I84" i="71"/>
  <c r="N25" i="71"/>
  <c r="I85" i="71"/>
  <c r="K85" i="71" s="1"/>
  <c r="O85" i="71" s="1"/>
  <c r="N26" i="71"/>
  <c r="O26" i="71" s="1"/>
  <c r="I89" i="71"/>
  <c r="K89" i="71" s="1"/>
  <c r="N30" i="71"/>
  <c r="O30" i="71" s="1"/>
  <c r="I86" i="71"/>
  <c r="K86" i="71" s="1"/>
  <c r="O86" i="71" s="1"/>
  <c r="N27" i="71"/>
  <c r="O27" i="71" s="1"/>
  <c r="N31" i="71"/>
  <c r="O31" i="71" s="1"/>
  <c r="I90" i="71"/>
  <c r="N19" i="71"/>
  <c r="L20" i="71"/>
  <c r="I119" i="71" s="1"/>
  <c r="N34" i="71"/>
  <c r="O34" i="71" s="1"/>
  <c r="AC27" i="70"/>
  <c r="AB25" i="72"/>
  <c r="AA25" i="72"/>
  <c r="Z26" i="72"/>
  <c r="AB25" i="74"/>
  <c r="AA25" i="74"/>
  <c r="Z26" i="74"/>
  <c r="Q41" i="41" s="1"/>
  <c r="AB25" i="65"/>
  <c r="AA25" i="65"/>
  <c r="Z26" i="65"/>
  <c r="AB24" i="47"/>
  <c r="Z25" i="47"/>
  <c r="AA24" i="47"/>
  <c r="AB25" i="48"/>
  <c r="Z26" i="48"/>
  <c r="H81" i="71" s="1"/>
  <c r="AA25" i="48"/>
  <c r="AB25" i="49"/>
  <c r="AA25" i="49"/>
  <c r="Z26" i="49"/>
  <c r="K81" i="71" s="1"/>
  <c r="L25" i="29"/>
  <c r="L25" i="33"/>
  <c r="L25" i="35"/>
  <c r="M25" i="35" s="1"/>
  <c r="L25" i="31"/>
  <c r="O81" i="71" l="1"/>
  <c r="I99" i="71"/>
  <c r="I123" i="71"/>
  <c r="K119" i="71"/>
  <c r="K122" i="71" s="1"/>
  <c r="K84" i="71"/>
  <c r="O84" i="71" s="1"/>
  <c r="AH84" i="71"/>
  <c r="O25" i="71"/>
  <c r="K90" i="71"/>
  <c r="O93" i="71"/>
  <c r="P93" i="71" s="1"/>
  <c r="AH93" i="71" s="1"/>
  <c r="AJ93" i="71" s="1"/>
  <c r="M25" i="29"/>
  <c r="M25" i="33"/>
  <c r="M25" i="31"/>
  <c r="K123" i="71" l="1"/>
  <c r="I124" i="71"/>
  <c r="K124" i="71" s="1"/>
  <c r="K99" i="71"/>
  <c r="T26" i="40"/>
  <c r="N26" i="41" s="1"/>
  <c r="W25" i="40"/>
  <c r="X25" i="40" s="1"/>
  <c r="T24" i="40"/>
  <c r="N24" i="41" s="1"/>
  <c r="T19" i="40"/>
  <c r="N19" i="41" s="1"/>
  <c r="T18" i="40"/>
  <c r="N18" i="41" s="1"/>
  <c r="T17" i="40"/>
  <c r="N17" i="41" s="1"/>
  <c r="T26" i="39"/>
  <c r="K26" i="41" s="1"/>
  <c r="W25" i="39"/>
  <c r="X25" i="39" s="1"/>
  <c r="T24" i="39"/>
  <c r="K24" i="41" s="1"/>
  <c r="T19" i="39"/>
  <c r="K19" i="41" s="1"/>
  <c r="T18" i="39"/>
  <c r="K18" i="41" s="1"/>
  <c r="T17" i="39"/>
  <c r="K17" i="41" s="1"/>
  <c r="T5" i="39"/>
  <c r="T5" i="34"/>
  <c r="K126" i="71" l="1"/>
  <c r="K127" i="71" s="1"/>
  <c r="R18" i="41"/>
  <c r="Y25" i="40"/>
  <c r="Z25" i="40" s="1"/>
  <c r="Z26" i="40" s="1"/>
  <c r="N41" i="41" s="1"/>
  <c r="N25" i="31"/>
  <c r="O25" i="31" s="1"/>
  <c r="Y25" i="39"/>
  <c r="Z25" i="39" s="1"/>
  <c r="Z26" i="39" s="1"/>
  <c r="K41" i="41" s="1"/>
  <c r="F65" i="43"/>
  <c r="K128" i="71" l="1"/>
  <c r="N25" i="33"/>
  <c r="O25" i="33" s="1"/>
  <c r="N25" i="35"/>
  <c r="O25" i="35" s="1"/>
  <c r="N25" i="29"/>
  <c r="O25" i="29" s="1"/>
  <c r="P25" i="31"/>
  <c r="Q25" i="31"/>
  <c r="O26" i="31"/>
  <c r="AB25" i="39"/>
  <c r="AA25" i="39"/>
  <c r="AB25" i="40"/>
  <c r="AA25" i="40"/>
  <c r="F64" i="43"/>
  <c r="F66" i="43"/>
  <c r="F67" i="43"/>
  <c r="F68" i="43"/>
  <c r="Z28" i="70" s="1"/>
  <c r="AA28" i="70" s="1"/>
  <c r="AC28" i="70" l="1"/>
  <c r="AB28" i="70"/>
  <c r="AA29" i="70"/>
  <c r="P25" i="29"/>
  <c r="O26" i="29"/>
  <c r="Q25" i="29"/>
  <c r="P25" i="35"/>
  <c r="O26" i="35"/>
  <c r="Q25" i="35"/>
  <c r="Q25" i="33"/>
  <c r="P25" i="33"/>
  <c r="O26" i="33"/>
  <c r="L25" i="34"/>
  <c r="T35" i="34"/>
  <c r="I34" i="34"/>
  <c r="M34" i="34" s="1"/>
  <c r="Q34" i="34" s="1"/>
  <c r="U35" i="34" l="1"/>
  <c r="H37" i="41"/>
  <c r="G83" i="41" s="1"/>
  <c r="M27" i="34"/>
  <c r="P25" i="34"/>
  <c r="F59" i="41"/>
  <c r="I59" i="41"/>
  <c r="L59" i="41"/>
  <c r="L83" i="41" l="1"/>
  <c r="L84" i="41"/>
  <c r="L77" i="41"/>
  <c r="I84" i="41"/>
  <c r="I77" i="41"/>
  <c r="I83" i="41"/>
  <c r="F83" i="41"/>
  <c r="F77" i="41"/>
  <c r="O80" i="41"/>
  <c r="Q80" i="41" s="1"/>
  <c r="Q82" i="41" s="1"/>
  <c r="Q86" i="41" s="1"/>
  <c r="Q87" i="41" s="1"/>
  <c r="Q88" i="41" s="1"/>
  <c r="L80" i="41"/>
  <c r="F84" i="41"/>
  <c r="I80" i="41"/>
  <c r="F80" i="41"/>
  <c r="Q27" i="34"/>
  <c r="R27" i="34" s="1"/>
  <c r="W25" i="34"/>
  <c r="A25" i="41"/>
  <c r="B26" i="41"/>
  <c r="B27" i="41"/>
  <c r="B28" i="41"/>
  <c r="B29" i="41"/>
  <c r="B30" i="41"/>
  <c r="B31" i="41"/>
  <c r="B32" i="41"/>
  <c r="A33" i="41"/>
  <c r="A35" i="41"/>
  <c r="B36" i="41"/>
  <c r="B37" i="41"/>
  <c r="B38" i="41"/>
  <c r="B39" i="41"/>
  <c r="B40" i="41"/>
  <c r="B16" i="41"/>
  <c r="B17" i="41"/>
  <c r="B19" i="41"/>
  <c r="B20" i="41"/>
  <c r="B21" i="41"/>
  <c r="B23" i="41"/>
  <c r="B24" i="41"/>
  <c r="B15" i="41"/>
  <c r="A8" i="41"/>
  <c r="A9" i="41"/>
  <c r="A10" i="41"/>
  <c r="A11" i="41"/>
  <c r="A12" i="41"/>
  <c r="A13" i="41"/>
  <c r="A14" i="41"/>
  <c r="A7" i="41"/>
  <c r="S77" i="41" l="1"/>
  <c r="X25" i="34"/>
  <c r="Z25" i="34"/>
  <c r="T35" i="40"/>
  <c r="N35" i="41" s="1"/>
  <c r="T29" i="40"/>
  <c r="N29" i="41" s="1"/>
  <c r="T28" i="40"/>
  <c r="N28" i="41" s="1"/>
  <c r="T27" i="40"/>
  <c r="N27" i="41" s="1"/>
  <c r="T3" i="40"/>
  <c r="N4" i="41" s="1"/>
  <c r="T35" i="39"/>
  <c r="K35" i="41" s="1"/>
  <c r="T29" i="39"/>
  <c r="K29" i="41" s="1"/>
  <c r="T28" i="39"/>
  <c r="K28" i="41" s="1"/>
  <c r="T27" i="39"/>
  <c r="K27" i="41" s="1"/>
  <c r="T3" i="39"/>
  <c r="K4" i="41" s="1"/>
  <c r="S87" i="41" l="1"/>
  <c r="S82" i="41"/>
  <c r="S80" i="41"/>
  <c r="S86" i="41"/>
  <c r="S88" i="41"/>
  <c r="S83" i="41"/>
  <c r="S85" i="41"/>
  <c r="T85" i="41" s="1"/>
  <c r="S84" i="41"/>
  <c r="S79" i="41"/>
  <c r="R28" i="41"/>
  <c r="Z26" i="34"/>
  <c r="AB25" i="34"/>
  <c r="AA25" i="34"/>
  <c r="T25" i="39"/>
  <c r="K25" i="41" s="1"/>
  <c r="T25" i="40"/>
  <c r="N25" i="41" s="1"/>
  <c r="T14" i="39"/>
  <c r="F25" i="35"/>
  <c r="F30" i="35" s="1"/>
  <c r="H30" i="35" s="1"/>
  <c r="F8" i="35"/>
  <c r="F9" i="35" s="1"/>
  <c r="H41" i="41" l="1"/>
  <c r="T46" i="41" s="1"/>
  <c r="R25" i="41"/>
  <c r="T14" i="40"/>
  <c r="T15" i="39"/>
  <c r="K15" i="41" s="1"/>
  <c r="T21" i="40"/>
  <c r="N21" i="41" s="1"/>
  <c r="T21" i="39"/>
  <c r="K21" i="41" s="1"/>
  <c r="T30" i="40"/>
  <c r="N30" i="41" s="1"/>
  <c r="U30" i="40"/>
  <c r="M80" i="41" s="1"/>
  <c r="N80" i="41" s="1"/>
  <c r="U30" i="39"/>
  <c r="J80" i="41" s="1"/>
  <c r="K80" i="41" s="1"/>
  <c r="T30" i="39"/>
  <c r="K30" i="41" s="1"/>
  <c r="F10" i="35"/>
  <c r="F11" i="35" s="1"/>
  <c r="F15" i="35" s="1"/>
  <c r="F14" i="35"/>
  <c r="F21" i="35"/>
  <c r="Q37" i="34"/>
  <c r="M37" i="34"/>
  <c r="I37" i="34"/>
  <c r="T29" i="34"/>
  <c r="H31" i="41" s="1"/>
  <c r="T28" i="34"/>
  <c r="H30" i="41" s="1"/>
  <c r="T27" i="34"/>
  <c r="H29" i="41" s="1"/>
  <c r="R29" i="41" s="1"/>
  <c r="R25" i="34"/>
  <c r="R30" i="34" s="1"/>
  <c r="S30" i="34" s="1"/>
  <c r="Q25" i="34"/>
  <c r="M25" i="34"/>
  <c r="N25" i="34" s="1"/>
  <c r="N30" i="34" s="1"/>
  <c r="J25" i="34"/>
  <c r="J30" i="34" s="1"/>
  <c r="K30" i="34" s="1"/>
  <c r="I25" i="34"/>
  <c r="F25" i="34"/>
  <c r="F30" i="34" s="1"/>
  <c r="G30" i="34" s="1"/>
  <c r="T24" i="34"/>
  <c r="H26" i="41" s="1"/>
  <c r="R26" i="41" s="1"/>
  <c r="T19" i="34"/>
  <c r="H21" i="41" s="1"/>
  <c r="T18" i="34"/>
  <c r="H20" i="41" s="1"/>
  <c r="R20" i="41" s="1"/>
  <c r="T17" i="34"/>
  <c r="H19" i="41" s="1"/>
  <c r="R19" i="41" s="1"/>
  <c r="R8" i="34"/>
  <c r="R9" i="34" s="1"/>
  <c r="R21" i="34" s="1"/>
  <c r="N8" i="34"/>
  <c r="N9" i="34" s="1"/>
  <c r="N21" i="34" s="1"/>
  <c r="J8" i="34"/>
  <c r="J9" i="34" s="1"/>
  <c r="J14" i="34" s="1"/>
  <c r="F8" i="34"/>
  <c r="F9" i="34" s="1"/>
  <c r="T3" i="34"/>
  <c r="H4" i="41" s="1"/>
  <c r="R4" i="41" s="1"/>
  <c r="U30" i="34" l="1"/>
  <c r="T52" i="41"/>
  <c r="T45" i="41"/>
  <c r="T48" i="41"/>
  <c r="T55" i="41"/>
  <c r="T51" i="41"/>
  <c r="T44" i="41"/>
  <c r="T58" i="41"/>
  <c r="T50" i="41"/>
  <c r="T54" i="41"/>
  <c r="T57" i="41"/>
  <c r="T53" i="41"/>
  <c r="T47" i="41"/>
  <c r="T49" i="41"/>
  <c r="T56" i="41"/>
  <c r="R41" i="41"/>
  <c r="R30" i="41"/>
  <c r="R21" i="41"/>
  <c r="H83" i="41"/>
  <c r="T22" i="39"/>
  <c r="K22" i="41" s="1"/>
  <c r="T13" i="39"/>
  <c r="N14" i="34"/>
  <c r="J21" i="34"/>
  <c r="U22" i="39"/>
  <c r="J84" i="41" s="1"/>
  <c r="K84" i="41" s="1"/>
  <c r="R14" i="34"/>
  <c r="F22" i="35"/>
  <c r="F13" i="35"/>
  <c r="T25" i="34"/>
  <c r="H27" i="41" s="1"/>
  <c r="R27" i="41" s="1"/>
  <c r="J10" i="34"/>
  <c r="J11" i="34" s="1"/>
  <c r="N10" i="34"/>
  <c r="N11" i="34" s="1"/>
  <c r="N15" i="34" s="1"/>
  <c r="R10" i="34"/>
  <c r="R11" i="34" s="1"/>
  <c r="R15" i="34" s="1"/>
  <c r="F10" i="34"/>
  <c r="F11" i="34" s="1"/>
  <c r="F21" i="34"/>
  <c r="F14" i="34"/>
  <c r="F25" i="33"/>
  <c r="F30" i="33" s="1"/>
  <c r="H30" i="33" s="1"/>
  <c r="F8" i="33"/>
  <c r="F9" i="33" s="1"/>
  <c r="F25" i="31"/>
  <c r="F30" i="31" s="1"/>
  <c r="H30" i="31" s="1"/>
  <c r="F8" i="31"/>
  <c r="F9" i="31" s="1"/>
  <c r="F25" i="29"/>
  <c r="F30" i="29" s="1"/>
  <c r="H30" i="29" s="1"/>
  <c r="F8" i="29"/>
  <c r="F9" i="29" s="1"/>
  <c r="T59" i="41" l="1"/>
  <c r="T64" i="41" s="1"/>
  <c r="U48" i="41" s="1"/>
  <c r="N22" i="34"/>
  <c r="N13" i="34"/>
  <c r="R13" i="34"/>
  <c r="T21" i="34"/>
  <c r="H23" i="41" s="1"/>
  <c r="R23" i="41" s="1"/>
  <c r="R22" i="34"/>
  <c r="S22" i="34" s="1"/>
  <c r="T31" i="39"/>
  <c r="K31" i="41" s="1"/>
  <c r="F31" i="35"/>
  <c r="F33" i="35" s="1"/>
  <c r="H22" i="35"/>
  <c r="F10" i="31"/>
  <c r="F11" i="31" s="1"/>
  <c r="F15" i="31" s="1"/>
  <c r="F14" i="31"/>
  <c r="F21" i="31"/>
  <c r="G80" i="41"/>
  <c r="H80" i="41" s="1"/>
  <c r="T30" i="34"/>
  <c r="T14" i="34"/>
  <c r="H16" i="41" s="1"/>
  <c r="R16" i="41" s="1"/>
  <c r="F10" i="33"/>
  <c r="F11" i="33" s="1"/>
  <c r="F15" i="33" s="1"/>
  <c r="F14" i="33"/>
  <c r="F21" i="33"/>
  <c r="F10" i="29"/>
  <c r="F11" i="29" s="1"/>
  <c r="F15" i="29" s="1"/>
  <c r="F14" i="29"/>
  <c r="F21" i="29"/>
  <c r="N31" i="34" l="1"/>
  <c r="O22" i="34"/>
  <c r="R31" i="34"/>
  <c r="R33" i="34" s="1"/>
  <c r="U55" i="41"/>
  <c r="U56" i="41"/>
  <c r="U50" i="41"/>
  <c r="U47" i="41"/>
  <c r="U62" i="41"/>
  <c r="U53" i="41"/>
  <c r="U61" i="41"/>
  <c r="U51" i="41"/>
  <c r="U46" i="41"/>
  <c r="U52" i="41"/>
  <c r="U57" i="41"/>
  <c r="U44" i="41"/>
  <c r="U49" i="41"/>
  <c r="U54" i="41"/>
  <c r="U58" i="41"/>
  <c r="U45" i="41"/>
  <c r="R80" i="41"/>
  <c r="T80" i="41" s="1"/>
  <c r="H32" i="41"/>
  <c r="R32" i="41" s="1"/>
  <c r="N34" i="34"/>
  <c r="N36" i="34"/>
  <c r="N37" i="34" s="1"/>
  <c r="N38" i="34" s="1"/>
  <c r="F22" i="31"/>
  <c r="F13" i="31"/>
  <c r="T33" i="39"/>
  <c r="K33" i="41" s="1"/>
  <c r="T34" i="39"/>
  <c r="K34" i="41" s="1"/>
  <c r="F34" i="35"/>
  <c r="F36" i="35" s="1"/>
  <c r="R34" i="34"/>
  <c r="R36" i="34" s="1"/>
  <c r="F22" i="33"/>
  <c r="F13" i="33"/>
  <c r="F22" i="29"/>
  <c r="F13" i="29"/>
  <c r="U64" i="41" l="1"/>
  <c r="H22" i="31"/>
  <c r="F31" i="31"/>
  <c r="F33" i="31" s="1"/>
  <c r="F34" i="31" s="1"/>
  <c r="F36" i="31" s="1"/>
  <c r="R37" i="34"/>
  <c r="R38" i="34" s="1"/>
  <c r="F37" i="35"/>
  <c r="F38" i="35" s="1"/>
  <c r="F31" i="33"/>
  <c r="F33" i="33" s="1"/>
  <c r="H22" i="33"/>
  <c r="F37" i="31"/>
  <c r="F38" i="31" s="1"/>
  <c r="F31" i="29"/>
  <c r="F33" i="29" s="1"/>
  <c r="H22" i="29"/>
  <c r="T36" i="39" l="1"/>
  <c r="F34" i="33"/>
  <c r="F36" i="33" s="1"/>
  <c r="F34" i="29"/>
  <c r="F36" i="29" s="1"/>
  <c r="K36" i="41" l="1"/>
  <c r="K38" i="41"/>
  <c r="T37" i="39"/>
  <c r="F37" i="33"/>
  <c r="F38" i="33" s="1"/>
  <c r="F37" i="29"/>
  <c r="F38" i="29" s="1"/>
  <c r="K37" i="41" l="1"/>
  <c r="J83" i="41" s="1"/>
  <c r="K83" i="41" s="1"/>
  <c r="K39" i="41"/>
  <c r="T38" i="39"/>
  <c r="J77" i="41" l="1"/>
  <c r="K40" i="41"/>
  <c r="K45" i="41"/>
  <c r="K46" i="41"/>
  <c r="K47" i="41"/>
  <c r="K48" i="41"/>
  <c r="K49" i="41"/>
  <c r="K50" i="41"/>
  <c r="K51" i="41"/>
  <c r="K53" i="41"/>
  <c r="K54" i="41"/>
  <c r="K55" i="41"/>
  <c r="K56" i="41"/>
  <c r="K57" i="41"/>
  <c r="K58" i="41"/>
  <c r="K44" i="41"/>
  <c r="K52" i="41"/>
  <c r="N15" i="65"/>
  <c r="N13" i="65" s="1"/>
  <c r="O33" i="65"/>
  <c r="J15" i="65"/>
  <c r="J13" i="65" s="1"/>
  <c r="K59" i="41" l="1"/>
  <c r="K66" i="41" s="1"/>
  <c r="K77" i="41"/>
  <c r="J22" i="65"/>
  <c r="J31" i="65" s="1"/>
  <c r="K33" i="65" s="1"/>
  <c r="K34" i="65" s="1"/>
  <c r="U34" i="65" s="1"/>
  <c r="N22" i="65"/>
  <c r="N31" i="65" s="1"/>
  <c r="T13" i="65"/>
  <c r="T15" i="65"/>
  <c r="O36" i="65"/>
  <c r="K79" i="41" l="1"/>
  <c r="U33" i="65"/>
  <c r="T22" i="65"/>
  <c r="T31" i="65"/>
  <c r="T41" i="65" s="1"/>
  <c r="T42" i="65" s="1"/>
  <c r="T43" i="65" s="1"/>
  <c r="T44" i="65" s="1"/>
  <c r="K36" i="65"/>
  <c r="U36" i="65" s="1"/>
  <c r="O37" i="65"/>
  <c r="K82" i="41" l="1"/>
  <c r="K86" i="41" s="1"/>
  <c r="K37" i="65"/>
  <c r="U37" i="65" s="1"/>
  <c r="K38" i="65"/>
  <c r="O38" i="65"/>
  <c r="K88" i="41" l="1"/>
  <c r="U38" i="65"/>
  <c r="F15" i="34" l="1"/>
  <c r="F13" i="34" s="1"/>
  <c r="F22" i="34" l="1"/>
  <c r="G22" i="34" s="1"/>
  <c r="F31" i="34" l="1"/>
  <c r="F33" i="34" s="1"/>
  <c r="F34" i="34" l="1"/>
  <c r="F36" i="34" l="1"/>
  <c r="F37" i="34" s="1"/>
  <c r="F38" i="34" l="1"/>
  <c r="J15" i="34"/>
  <c r="J13" i="34" s="1"/>
  <c r="T13" i="34" s="1"/>
  <c r="H15" i="41" s="1"/>
  <c r="J22" i="34" l="1"/>
  <c r="T15" i="34"/>
  <c r="H17" i="41" s="1"/>
  <c r="R17" i="41" s="1"/>
  <c r="K22" i="34" l="1"/>
  <c r="U22" i="34" s="1"/>
  <c r="G84" i="41" s="1"/>
  <c r="H84" i="41" s="1"/>
  <c r="J31" i="34"/>
  <c r="J33" i="34" s="1"/>
  <c r="T22" i="34"/>
  <c r="H24" i="41" s="1"/>
  <c r="R24" i="41" s="1"/>
  <c r="T31" i="34" l="1"/>
  <c r="H33" i="41" s="1"/>
  <c r="J34" i="34" l="1"/>
  <c r="J36" i="34" s="1"/>
  <c r="T36" i="34" s="1"/>
  <c r="T33" i="34"/>
  <c r="H35" i="41" s="1"/>
  <c r="R35" i="41" s="1"/>
  <c r="J37" i="34" l="1"/>
  <c r="T37" i="34" s="1"/>
  <c r="H39" i="41" s="1"/>
  <c r="H38" i="41"/>
  <c r="G77" i="41" s="1"/>
  <c r="T34" i="34"/>
  <c r="H36" i="41" s="1"/>
  <c r="U34" i="34"/>
  <c r="J38" i="34" l="1"/>
  <c r="T38" i="34" s="1"/>
  <c r="H40" i="41" s="1"/>
  <c r="H77" i="41"/>
  <c r="H45" i="41"/>
  <c r="H44" i="41"/>
  <c r="H50" i="41"/>
  <c r="H53" i="41"/>
  <c r="H55" i="41"/>
  <c r="H57" i="41"/>
  <c r="H51" i="41"/>
  <c r="H49" i="41"/>
  <c r="H54" i="41"/>
  <c r="H47" i="41"/>
  <c r="H58" i="41"/>
  <c r="H46" i="41"/>
  <c r="H56" i="41"/>
  <c r="H52" i="41"/>
  <c r="H48" i="41"/>
  <c r="H79" i="41" l="1"/>
  <c r="H82" i="41" s="1"/>
  <c r="H86" i="41" s="1"/>
  <c r="H59" i="41"/>
  <c r="H66" i="41" s="1"/>
  <c r="F15" i="40" l="1"/>
  <c r="F22" i="40" s="1"/>
  <c r="J15" i="40"/>
  <c r="J22" i="40" s="1"/>
  <c r="K22" i="40" s="1"/>
  <c r="J13" i="40" l="1"/>
  <c r="J31" i="40"/>
  <c r="J36" i="40" s="1"/>
  <c r="J37" i="40" s="1"/>
  <c r="J38" i="40" s="1"/>
  <c r="F31" i="40"/>
  <c r="T22" i="40"/>
  <c r="N22" i="41" s="1"/>
  <c r="R22" i="41" s="1"/>
  <c r="T15" i="40"/>
  <c r="N15" i="41" s="1"/>
  <c r="R15" i="41" s="1"/>
  <c r="F13" i="40"/>
  <c r="T13" i="40" s="1"/>
  <c r="H87" i="41" l="1"/>
  <c r="H88" i="41" s="1"/>
  <c r="T31" i="40"/>
  <c r="N31" i="41" s="1"/>
  <c r="R31" i="41" s="1"/>
  <c r="U22" i="40"/>
  <c r="M84" i="41" s="1"/>
  <c r="N84" i="41" s="1"/>
  <c r="T33" i="40"/>
  <c r="N33" i="41" s="1"/>
  <c r="R33" i="41" s="1"/>
  <c r="R84" i="41" l="1"/>
  <c r="T84" i="41" s="1"/>
  <c r="T34" i="40"/>
  <c r="N34" i="41" s="1"/>
  <c r="R34" i="41" s="1"/>
  <c r="F36" i="40" l="1"/>
  <c r="F37" i="40" s="1"/>
  <c r="T36" i="40" l="1"/>
  <c r="T37" i="40"/>
  <c r="F38" i="40"/>
  <c r="T38" i="40" s="1"/>
  <c r="N40" i="41" s="1"/>
  <c r="R40" i="41" s="1"/>
  <c r="N37" i="41" l="1"/>
  <c r="M83" i="41" s="1"/>
  <c r="N83" i="41" s="1"/>
  <c r="R83" i="41" s="1"/>
  <c r="T83" i="41" s="1"/>
  <c r="N39" i="41"/>
  <c r="R39" i="41" s="1"/>
  <c r="N36" i="41"/>
  <c r="R36" i="41" s="1"/>
  <c r="N38" i="41"/>
  <c r="N55" i="41" s="1"/>
  <c r="R55" i="41" s="1"/>
  <c r="S55" i="41" s="1"/>
  <c r="M77" i="41"/>
  <c r="N77" i="41" s="1"/>
  <c r="N53" i="41"/>
  <c r="R53" i="41" s="1"/>
  <c r="S53" i="41" s="1"/>
  <c r="N44" i="41"/>
  <c r="R44" i="41" s="1"/>
  <c r="N52" i="41"/>
  <c r="R52" i="41" s="1"/>
  <c r="S52" i="41" s="1"/>
  <c r="N54" i="41"/>
  <c r="R54" i="41" s="1"/>
  <c r="S54" i="41" s="1"/>
  <c r="N49" i="41" l="1"/>
  <c r="R49" i="41" s="1"/>
  <c r="R38" i="41"/>
  <c r="N58" i="41"/>
  <c r="R58" i="41" s="1"/>
  <c r="S58" i="41" s="1"/>
  <c r="R37" i="41"/>
  <c r="N57" i="41"/>
  <c r="R57" i="41" s="1"/>
  <c r="S57" i="41" s="1"/>
  <c r="N50" i="41"/>
  <c r="R50" i="41" s="1"/>
  <c r="S50" i="41" s="1"/>
  <c r="N46" i="41"/>
  <c r="R46" i="41" s="1"/>
  <c r="N47" i="41"/>
  <c r="R47" i="41" s="1"/>
  <c r="N45" i="41"/>
  <c r="R45" i="41" s="1"/>
  <c r="N51" i="41"/>
  <c r="R51" i="41" s="1"/>
  <c r="N48" i="41"/>
  <c r="R48" i="41" s="1"/>
  <c r="N56" i="41"/>
  <c r="R56" i="41" s="1"/>
  <c r="S56" i="41" s="1"/>
  <c r="N79" i="41"/>
  <c r="R77" i="41"/>
  <c r="T77" i="41" s="1"/>
  <c r="N59" i="41"/>
  <c r="N66" i="41" s="1"/>
  <c r="R59" i="41" l="1"/>
  <c r="R66" i="41" s="1"/>
  <c r="S51" i="41" s="1"/>
  <c r="S49" i="41"/>
  <c r="S45" i="41"/>
  <c r="S64" i="41"/>
  <c r="T71" i="41"/>
  <c r="T74" i="41"/>
  <c r="T70" i="41"/>
  <c r="T73" i="41"/>
  <c r="T72" i="41"/>
  <c r="N82" i="41"/>
  <c r="R79" i="41"/>
  <c r="T79" i="41" s="1"/>
  <c r="S66" i="41" l="1"/>
  <c r="H67" i="41"/>
  <c r="K67" i="41"/>
  <c r="N67" i="41"/>
  <c r="Q67" i="41"/>
  <c r="S59" i="41"/>
  <c r="Q74" i="41"/>
  <c r="R74" i="41" s="1"/>
  <c r="Q73" i="41"/>
  <c r="R73" i="41" s="1"/>
  <c r="Q72" i="41"/>
  <c r="R72" i="41" s="1"/>
  <c r="Q71" i="41"/>
  <c r="R71" i="41" s="1"/>
  <c r="S46" i="41"/>
  <c r="S47" i="41"/>
  <c r="S48" i="41"/>
  <c r="S44" i="41"/>
  <c r="Q70" i="41"/>
  <c r="R70" i="41" s="1"/>
  <c r="N86" i="41"/>
  <c r="N87" i="41" s="1"/>
  <c r="R87" i="41" s="1"/>
  <c r="T87" i="41" s="1"/>
  <c r="R82" i="41"/>
  <c r="T82" i="41" s="1"/>
  <c r="R86" i="41" l="1"/>
  <c r="T86" i="41" s="1"/>
  <c r="R67" i="41"/>
  <c r="N88" i="41"/>
  <c r="R88" i="41" s="1"/>
  <c r="T88" i="41" s="1"/>
  <c r="N13" i="71"/>
  <c r="S14" i="71"/>
  <c r="T14" i="71" s="1"/>
  <c r="T13" i="71"/>
  <c r="N15" i="71" l="1"/>
  <c r="L87" i="71"/>
  <c r="N28" i="71"/>
  <c r="S15" i="71"/>
  <c r="T15" i="71" s="1"/>
  <c r="O28" i="71" l="1"/>
  <c r="N35" i="71"/>
  <c r="O103" i="71"/>
  <c r="O35" i="71"/>
  <c r="N14" i="71"/>
  <c r="L88" i="71"/>
  <c r="N88" i="71" s="1"/>
  <c r="L89" i="71"/>
  <c r="N87" i="71"/>
  <c r="O87" i="71" s="1"/>
  <c r="S16" i="71"/>
  <c r="T16" i="71" s="1"/>
  <c r="N89" i="71" l="1"/>
  <c r="O89" i="71" s="1"/>
  <c r="O88" i="71"/>
  <c r="S17" i="71"/>
  <c r="T17" i="71" s="1"/>
  <c r="N16" i="71"/>
  <c r="N20" i="71" s="1"/>
  <c r="O110" i="71" s="1"/>
  <c r="L90" i="71"/>
  <c r="L99" i="71" s="1"/>
  <c r="M20" i="71"/>
  <c r="L119" i="71" l="1"/>
  <c r="N90" i="71"/>
  <c r="S18" i="71"/>
  <c r="T18" i="71" s="1"/>
  <c r="S19" i="71"/>
  <c r="T19" i="71" s="1"/>
  <c r="N119" i="71" l="1"/>
  <c r="P119" i="71" s="1"/>
  <c r="L123" i="71"/>
  <c r="N123" i="71" s="1"/>
  <c r="O111" i="71"/>
  <c r="O112" i="71" s="1"/>
  <c r="P115" i="71" s="1"/>
  <c r="O90" i="71"/>
  <c r="N99" i="71"/>
  <c r="O123" i="71" l="1"/>
  <c r="P123" i="71"/>
  <c r="O119" i="71"/>
  <c r="N122" i="71"/>
  <c r="P122" i="71" s="1"/>
  <c r="L124" i="71"/>
  <c r="N124" i="71" s="1"/>
  <c r="O99" i="71"/>
  <c r="O124" i="71" l="1"/>
  <c r="P124" i="71"/>
  <c r="N126" i="71"/>
  <c r="P126" i="71" s="1"/>
  <c r="O122" i="71"/>
  <c r="P89" i="71"/>
  <c r="AH89" i="71" s="1"/>
  <c r="P98" i="71"/>
  <c r="AH98" i="71" s="1"/>
  <c r="AJ98" i="71" s="1"/>
  <c r="P87" i="71"/>
  <c r="AH87" i="71" s="1"/>
  <c r="P88" i="71"/>
  <c r="AH88" i="71" s="1"/>
  <c r="P85" i="71"/>
  <c r="AH85" i="71" s="1"/>
  <c r="P86" i="71"/>
  <c r="AH86" i="71" s="1"/>
  <c r="AJ86" i="71" s="1"/>
  <c r="P99" i="71"/>
  <c r="P84" i="71"/>
  <c r="P90" i="71"/>
  <c r="AH90" i="71" s="1"/>
  <c r="O104" i="71"/>
  <c r="O105" i="71" s="1"/>
  <c r="P106" i="71" s="1"/>
  <c r="O126" i="71" l="1"/>
  <c r="N127" i="71"/>
  <c r="O127" i="71" s="1"/>
  <c r="AJ84" i="71"/>
  <c r="AJ88" i="71"/>
  <c r="AJ87" i="71"/>
  <c r="AJ85" i="71"/>
  <c r="AJ89" i="71"/>
  <c r="AJ90" i="71"/>
  <c r="AH99" i="71"/>
  <c r="N128" i="71" l="1"/>
  <c r="P128" i="71" s="1"/>
  <c r="P127" i="71"/>
  <c r="O128" i="71"/>
  <c r="N130" i="71" s="1"/>
  <c r="AI89" i="71"/>
  <c r="AI95" i="71"/>
  <c r="AI84" i="71"/>
  <c r="AI90" i="71"/>
  <c r="AI85" i="71"/>
  <c r="AI91" i="71"/>
  <c r="AI92" i="71"/>
  <c r="AI96" i="71"/>
  <c r="AI86" i="71"/>
  <c r="AI94" i="71"/>
  <c r="AI97" i="71"/>
  <c r="AI98" i="71"/>
  <c r="AI93" i="71"/>
  <c r="AI88" i="71"/>
  <c r="AI87" i="71"/>
  <c r="AI99" i="7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312F1573-FBD1-4675-B7B2-DB070C7636D6}">
      <text>
        <r>
          <rPr>
            <sz val="9"/>
            <color indexed="81"/>
            <rFont val="Tahoma"/>
            <family val="2"/>
          </rPr>
          <t>Jos omassa käytössä, eikä urakointia, laita 100 % (Oletus).
Jos käytät traktoria urakoinnissa, arvioi laskutettavat tunnit esim. 85 %</t>
        </r>
      </text>
    </comment>
    <comment ref="H25" authorId="1" shapeId="0" xr:uid="{00000000-0006-0000-0100-000001000000}">
      <text>
        <r>
          <rPr>
            <b/>
            <sz val="9"/>
            <color indexed="81"/>
            <rFont val="Tahoma"/>
            <family val="2"/>
          </rPr>
          <t>Polttoaineen lisäys käyttötunnille, kun kone kytketty traktoriin.</t>
        </r>
      </text>
    </comment>
    <comment ref="L25" authorId="1" shapeId="0" xr:uid="{00000000-0006-0000-0100-000002000000}">
      <text>
        <r>
          <rPr>
            <b/>
            <sz val="9"/>
            <color indexed="81"/>
            <rFont val="Tahoma"/>
            <family val="2"/>
          </rPr>
          <t>Polttoaineen lisäys käyttötunnille, kun kone kytketty traktoriin.</t>
        </r>
      </text>
    </comment>
    <comment ref="P25" authorId="1" shapeId="0" xr:uid="{00000000-0006-0000-0100-000003000000}">
      <text>
        <r>
          <rPr>
            <b/>
            <sz val="9"/>
            <color indexed="81"/>
            <rFont val="Tahoma"/>
            <family val="2"/>
          </rPr>
          <t>Polttoaineen lisäys käyttötunnille, kun kone kytketty traktoriin.</t>
        </r>
      </text>
    </comment>
    <comment ref="C27" authorId="0" shapeId="0" xr:uid="{F6BC6D28-3B7B-47C9-9C41-14913F2D1EE2}">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C61DD44E-88DE-42D2-9855-3ADFB6CF2F8B}">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00468B48-77C7-41CD-9B71-7017DCDDB720}">
      <text>
        <r>
          <rPr>
            <b/>
            <sz val="9"/>
            <color indexed="81"/>
            <rFont val="Tahoma"/>
            <family val="2"/>
          </rPr>
          <t>Tähän syöttämällä ohitat laskennan ja antamasi luku on kustannus.</t>
        </r>
      </text>
    </comment>
    <comment ref="K27" authorId="0" shapeId="0" xr:uid="{F753F8B1-7058-461D-A095-F46F5BC60FF9}">
      <text>
        <r>
          <rPr>
            <b/>
            <sz val="9"/>
            <color indexed="81"/>
            <rFont val="Tahoma"/>
            <family val="2"/>
          </rPr>
          <t>Tähän syöttämällä ohitat laskennan ja antamasi luku on kustannus.</t>
        </r>
      </text>
    </comment>
    <comment ref="O27" authorId="0" shapeId="0" xr:uid="{D284650A-FB35-4963-AC2D-02038E3CFEFD}">
      <text>
        <r>
          <rPr>
            <b/>
            <sz val="9"/>
            <color indexed="81"/>
            <rFont val="Tahoma"/>
            <family val="2"/>
          </rPr>
          <t>Tähän syöttämällä ohitat laskennan ja antamasi luku on kustannus.</t>
        </r>
      </text>
    </comment>
    <comment ref="S27" authorId="0" shapeId="0" xr:uid="{20D1CD26-136F-4FE3-A182-8E28AD13FD78}">
      <text>
        <r>
          <rPr>
            <b/>
            <sz val="9"/>
            <color indexed="81"/>
            <rFont val="Tahoma"/>
            <family val="2"/>
          </rPr>
          <t>Tähän syöttämällä ohitat laskennan ja antamasi luku on kustannus.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H66" authorId="0" shapeId="0" xr:uid="{44372C93-5F51-4608-AAAA-800A06D62AD4}">
      <text>
        <r>
          <rPr>
            <b/>
            <sz val="9"/>
            <color indexed="81"/>
            <rFont val="Tahoma"/>
            <family val="2"/>
          </rPr>
          <t>Mika Mujunen:</t>
        </r>
        <r>
          <rPr>
            <sz val="9"/>
            <color indexed="81"/>
            <rFont val="Tahoma"/>
            <family val="2"/>
          </rPr>
          <t xml:space="preserve">
Kauppiaan hinnoittelu: 
Ostohinta jaetaan /100%-kate %)</t>
        </r>
      </text>
    </comment>
    <comment ref="K66" authorId="0" shapeId="0" xr:uid="{14D3C807-EEC0-4D8B-9B4A-939BF9BB6D8F}">
      <text>
        <r>
          <rPr>
            <b/>
            <sz val="9"/>
            <color indexed="81"/>
            <rFont val="Tahoma"/>
            <family val="2"/>
          </rPr>
          <t>Mika Mujunen:</t>
        </r>
        <r>
          <rPr>
            <sz val="9"/>
            <color indexed="81"/>
            <rFont val="Tahoma"/>
            <family val="2"/>
          </rPr>
          <t xml:space="preserve">
Kauppiaan hinnoittelu: 
Ostohinta jaetaan /100%-kate %)</t>
        </r>
      </text>
    </comment>
    <comment ref="N66" authorId="0" shapeId="0" xr:uid="{F9890CFF-7523-4BCB-A82D-570965A77942}">
      <text>
        <r>
          <rPr>
            <b/>
            <sz val="9"/>
            <color indexed="81"/>
            <rFont val="Tahoma"/>
            <family val="2"/>
          </rPr>
          <t>Mika Mujunen:</t>
        </r>
        <r>
          <rPr>
            <sz val="9"/>
            <color indexed="81"/>
            <rFont val="Tahoma"/>
            <family val="2"/>
          </rPr>
          <t xml:space="preserve">
Kauppiaan hinnoittelu: 
Ostohinta jaetaan /100%-kate %)</t>
        </r>
      </text>
    </comment>
    <comment ref="Q66" authorId="0" shapeId="0" xr:uid="{6F73B94B-0A2E-4044-9241-D492252EFF46}">
      <text>
        <r>
          <rPr>
            <b/>
            <sz val="9"/>
            <color indexed="81"/>
            <rFont val="Tahoma"/>
            <family val="2"/>
          </rPr>
          <t>Mika Mujunen:</t>
        </r>
        <r>
          <rPr>
            <sz val="9"/>
            <color indexed="81"/>
            <rFont val="Tahoma"/>
            <family val="2"/>
          </rPr>
          <t xml:space="preserve">
Kauppiaan hinnoittelu: 
Ostohinta jaetaan /100%-kate %)</t>
        </r>
      </text>
    </comment>
    <comment ref="A74" authorId="0" shapeId="0" xr:uid="{D366D07A-2D23-4F74-BA06-0A8F5B94DC63}">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G83" authorId="0" shapeId="0" xr:uid="{F357E637-55AC-45E5-837E-46C8AD3EFAB4}">
      <text>
        <r>
          <rPr>
            <b/>
            <sz val="9"/>
            <color indexed="81"/>
            <rFont val="Tahoma"/>
            <family val="2"/>
          </rPr>
          <t>Traktorilaskelmalta</t>
        </r>
      </text>
    </comment>
    <comment ref="J83" authorId="0" shapeId="0" xr:uid="{F63D97C0-9705-4567-A079-967EC427D7EF}">
      <text>
        <r>
          <rPr>
            <b/>
            <sz val="9"/>
            <color indexed="81"/>
            <rFont val="Tahoma"/>
            <family val="2"/>
          </rPr>
          <t>Traktorilaskelmalta</t>
        </r>
      </text>
    </comment>
    <comment ref="M83" authorId="0" shapeId="0" xr:uid="{078C8440-1EE2-4B73-B5D6-A63E0AF9F2BB}">
      <text>
        <r>
          <rPr>
            <b/>
            <sz val="9"/>
            <color indexed="81"/>
            <rFont val="Tahoma"/>
            <family val="2"/>
          </rPr>
          <t>Traktorilaskelmalta</t>
        </r>
      </text>
    </comment>
    <comment ref="P83" authorId="0" shapeId="0" xr:uid="{2D7E6CE2-E115-401C-9AE4-7A0AACD3986D}">
      <text>
        <r>
          <rPr>
            <b/>
            <sz val="9"/>
            <color indexed="81"/>
            <rFont val="Tahoma"/>
            <family val="2"/>
          </rPr>
          <t>Traktorilaskelmalta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H24" authorId="0" shapeId="0" xr:uid="{82442A2E-693E-4422-AF14-4C09884D2EF9}">
      <text>
        <r>
          <rPr>
            <b/>
            <sz val="9"/>
            <color indexed="81"/>
            <rFont val="Tahoma"/>
            <family val="2"/>
          </rPr>
          <t>Polttoaineen lisäys käyttötunnille, kun kone kytketty traktoriin.</t>
        </r>
      </text>
    </comment>
    <comment ref="L24" authorId="0" shapeId="0" xr:uid="{D458B46A-1E45-406E-A78B-280D9A870168}">
      <text>
        <r>
          <rPr>
            <b/>
            <sz val="9"/>
            <color indexed="81"/>
            <rFont val="Tahoma"/>
            <family val="2"/>
          </rPr>
          <t>Polttoaineen lisäys käyttötunnille, kun kone kytketty traktoriin.</t>
        </r>
      </text>
    </comment>
    <comment ref="P24" authorId="0" shapeId="0" xr:uid="{4183A20B-02EB-498D-8CFC-CE69D5DBCF66}">
      <text>
        <r>
          <rPr>
            <b/>
            <sz val="9"/>
            <color indexed="81"/>
            <rFont val="Tahoma"/>
            <family val="2"/>
          </rPr>
          <t>Polttoaineen lisäys käyttötunnille, kun kone kytketty traktoriin.</t>
        </r>
      </text>
    </comment>
    <comment ref="C26" authorId="1" shapeId="0" xr:uid="{7F33AD63-E6DA-4DD0-9B1C-6E8DE757B912}">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6" authorId="1" shapeId="0" xr:uid="{B6229B15-9CA7-495C-BE05-1A678A53D3A8}">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6" authorId="1" shapeId="0" xr:uid="{91864508-7230-4953-ACA5-0740FE0B7F8D}">
      <text>
        <r>
          <rPr>
            <b/>
            <sz val="9"/>
            <color indexed="81"/>
            <rFont val="Tahoma"/>
            <family val="2"/>
          </rPr>
          <t>Tähän syöttämällä ohitat laskennan ja antamasi luku on kustannus.</t>
        </r>
      </text>
    </comment>
    <comment ref="K26" authorId="1" shapeId="0" xr:uid="{84451FB5-F196-4DCF-BBD2-F62847CF38FE}">
      <text>
        <r>
          <rPr>
            <b/>
            <sz val="9"/>
            <color indexed="81"/>
            <rFont val="Tahoma"/>
            <family val="2"/>
          </rPr>
          <t>Tähän syöttämällä ohitat laskennan ja antamasi luku on kustannus.</t>
        </r>
      </text>
    </comment>
    <comment ref="O26" authorId="1" shapeId="0" xr:uid="{8199C863-2024-4F73-85DE-920B0BF4F6DA}">
      <text>
        <r>
          <rPr>
            <b/>
            <sz val="9"/>
            <color indexed="81"/>
            <rFont val="Tahoma"/>
            <family val="2"/>
          </rPr>
          <t>Tähän syöttämällä ohitat laskennan ja antamasi luku on kustannus.</t>
        </r>
      </text>
    </comment>
    <comment ref="S26" authorId="1" shapeId="0" xr:uid="{84028871-37DC-4086-B846-8FF1B4D5B03A}">
      <text>
        <r>
          <rPr>
            <b/>
            <sz val="9"/>
            <color indexed="81"/>
            <rFont val="Tahoma"/>
            <family val="2"/>
          </rPr>
          <t>Tähän syöttämällä ohitat laskennan ja antamasi luku on kustannus.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Mujunen Mika</author>
    <author>isä Mika</author>
  </authors>
  <commentList>
    <comment ref="N8" authorId="0" shapeId="0" xr:uid="{00000000-0006-0000-0600-000001000000}">
      <text>
        <r>
          <rPr>
            <b/>
            <sz val="9"/>
            <color indexed="81"/>
            <rFont val="Tahoma"/>
            <family val="2"/>
          </rPr>
          <t>Mujunen Mika:</t>
        </r>
        <r>
          <rPr>
            <sz val="9"/>
            <color indexed="81"/>
            <rFont val="Tahoma"/>
            <family val="2"/>
          </rPr>
          <t xml:space="preserve">
Käytössä ympäri vuoden? Onko. Jos on, 8 h x 365 pv =</t>
        </r>
      </text>
    </comment>
    <comment ref="N9" authorId="1" shapeId="0" xr:uid="{00000000-0006-0000-0600-000002000000}">
      <text>
        <r>
          <rPr>
            <b/>
            <sz val="9"/>
            <color indexed="81"/>
            <rFont val="Tahoma"/>
            <family val="2"/>
          </rPr>
          <t>110 € / m3 asennettuna</t>
        </r>
      </text>
    </comment>
    <comment ref="C29" authorId="1" shapeId="0" xr:uid="{00000000-0006-0000-0600-000003000000}">
      <text>
        <r>
          <rPr>
            <b/>
            <sz val="9"/>
            <color indexed="81"/>
            <rFont val="Tahoma"/>
            <family val="2"/>
          </rPr>
          <t xml:space="preserve">Tunnit kuivurin käynnistä h/vuosi
</t>
        </r>
      </text>
    </comment>
    <comment ref="D29" authorId="1" shapeId="0" xr:uid="{00000000-0006-0000-0600-000004000000}">
      <text>
        <r>
          <rPr>
            <b/>
            <sz val="9"/>
            <color indexed="81"/>
            <rFont val="Tahoma"/>
            <family val="2"/>
          </rPr>
          <t>Kwh hinta + perusmaksu</t>
        </r>
      </text>
    </comment>
    <comment ref="E29" authorId="1" shapeId="0" xr:uid="{00000000-0006-0000-0600-000005000000}">
      <text>
        <r>
          <rPr>
            <b/>
            <sz val="9"/>
            <color indexed="81"/>
            <rFont val="Tahoma"/>
            <family val="2"/>
          </rPr>
          <t>Käsisyöttö tunneille kwh</t>
        </r>
      </text>
    </comment>
    <comment ref="H29" authorId="1" shapeId="0" xr:uid="{00000000-0006-0000-0600-000006000000}">
      <text>
        <r>
          <rPr>
            <b/>
            <sz val="9"/>
            <color indexed="81"/>
            <rFont val="Tahoma"/>
            <family val="2"/>
          </rPr>
          <t xml:space="preserve">Tunnit kuivurin käynnistä h/vuosi
</t>
        </r>
      </text>
    </comment>
    <comment ref="L29" authorId="1" shapeId="0" xr:uid="{00000000-0006-0000-0600-000007000000}">
      <text>
        <r>
          <rPr>
            <b/>
            <sz val="9"/>
            <color indexed="81"/>
            <rFont val="Tahoma"/>
            <family val="2"/>
          </rPr>
          <t xml:space="preserve">Tunnit kuivurin käynnistä h/vuosi
</t>
        </r>
      </text>
    </comment>
    <comment ref="P29" authorId="1" shapeId="0" xr:uid="{00000000-0006-0000-0600-000008000000}">
      <text>
        <r>
          <rPr>
            <b/>
            <sz val="9"/>
            <color indexed="81"/>
            <rFont val="Tahoma"/>
            <family val="2"/>
          </rPr>
          <t xml:space="preserve">Tunnit kuivurin käynnistä h/vuosi
</t>
        </r>
      </text>
    </comment>
    <comment ref="C38" authorId="1" shapeId="0" xr:uid="{00000000-0006-0000-0600-000009000000}">
      <text>
        <r>
          <rPr>
            <b/>
            <sz val="9"/>
            <color indexed="81"/>
            <rFont val="Tahoma"/>
            <family val="2"/>
          </rPr>
          <t>Kuivurilla ei tarvitse valvoa jokaista kuivurin työtuntia kohden!</t>
        </r>
      </text>
    </comment>
    <comment ref="K61" authorId="1" shapeId="0" xr:uid="{00000000-0006-0000-0600-00000A000000}">
      <text>
        <r>
          <rPr>
            <b/>
            <sz val="9"/>
            <color indexed="81"/>
            <rFont val="Tahoma"/>
            <family val="2"/>
          </rPr>
          <t>Laskentakaava: 
Alkukosteus % - Loppukosteus %
------------------------------------------- x viljamäärä kuivana kg
100 - Alkukosteus %</t>
        </r>
      </text>
    </comment>
    <comment ref="J62" authorId="1" shapeId="0" xr:uid="{00000000-0006-0000-0600-00000B000000}">
      <text>
        <r>
          <rPr>
            <b/>
            <sz val="9"/>
            <color indexed="81"/>
            <rFont val="Tahoma"/>
            <family val="2"/>
          </rPr>
          <t>Uunin tehosta kiinni. Mitä tehokkaampi uuni, sitä enemmän lämpöä ulos</t>
        </r>
      </text>
    </comment>
    <comment ref="F63" authorId="0" shapeId="0" xr:uid="{00000000-0006-0000-0600-00000C000000}">
      <text>
        <r>
          <rPr>
            <b/>
            <sz val="9"/>
            <color indexed="81"/>
            <rFont val="Tahoma"/>
            <family val="2"/>
          </rPr>
          <t>Mujunen Mika:</t>
        </r>
        <r>
          <rPr>
            <sz val="9"/>
            <color indexed="81"/>
            <rFont val="Tahoma"/>
            <family val="2"/>
          </rPr>
          <t xml:space="preserve">
Oletuksena sato kg/ha, mutta jos kuivattava sato yhteensä käsityöttölukema on &gt;0, jaetaan käsisyöttölukema pinta-alalla, joloin saadaan keskisato.</t>
        </r>
      </text>
    </comment>
    <comment ref="F83" authorId="1" shapeId="0" xr:uid="{00000000-0006-0000-0600-00000D000000}">
      <text>
        <r>
          <rPr>
            <b/>
            <sz val="9"/>
            <color indexed="81"/>
            <rFont val="Tahoma"/>
            <family val="2"/>
          </rPr>
          <t xml:space="preserve">Pinta-alan mukaan </t>
        </r>
      </text>
    </comment>
    <comment ref="G83" authorId="1" shapeId="0" xr:uid="{00000000-0006-0000-0600-00000E000000}">
      <text>
        <r>
          <rPr>
            <b/>
            <sz val="9"/>
            <color indexed="81"/>
            <rFont val="Tahoma"/>
            <family val="2"/>
          </rPr>
          <t>Syötä halutessasi kuivattava määrä suoraan</t>
        </r>
      </text>
    </comment>
    <comment ref="F85" authorId="1" shapeId="0" xr:uid="{00000000-0006-0000-0600-00000F000000}">
      <text>
        <r>
          <rPr>
            <b/>
            <sz val="9"/>
            <color indexed="81"/>
            <rFont val="Tahoma"/>
            <family val="2"/>
          </rPr>
          <t>Laskentakaava: 
Alkukosteus % - Loppukosteus %
------------------------------------------- x viljamäärä kuivana kg
100 - Alkukosteus %</t>
        </r>
      </text>
    </comment>
    <comment ref="F88" authorId="0" shapeId="0" xr:uid="{00000000-0006-0000-0600-000010000000}">
      <text>
        <r>
          <rPr>
            <b/>
            <sz val="9"/>
            <color indexed="81"/>
            <rFont val="Tahoma"/>
            <family val="2"/>
          </rPr>
          <t>Mujunen Mika:</t>
        </r>
        <r>
          <rPr>
            <sz val="9"/>
            <color indexed="81"/>
            <rFont val="Tahoma"/>
            <family val="2"/>
          </rPr>
          <t xml:space="preserve">
Öljy sisältää 43 MJ/kg energiaa
- Energian kulutus on lämpöhäviö arvioiden on 4,5-7 MJ/vesikilo
eli jos ajatellaan keskimäärin: 6 MJ vesikilo / 43 J /kg öljyä   =0,14 kg eli 140 g öljyä vesikg. </t>
        </r>
      </text>
    </comment>
    <comment ref="F89" authorId="1" shapeId="0" xr:uid="{00000000-0006-0000-0600-000011000000}">
      <text>
        <r>
          <rPr>
            <b/>
            <sz val="9"/>
            <color indexed="81"/>
            <rFont val="Tahoma"/>
            <family val="2"/>
          </rPr>
          <t>Kilot ensin tilavuusmittaan m3, joka määrä jaetaan kuivurin kertakuivauskapasiteetilla</t>
        </r>
      </text>
    </comment>
    <comment ref="G91" authorId="1" shapeId="0" xr:uid="{00000000-0006-0000-0600-000012000000}">
      <text>
        <r>
          <rPr>
            <b/>
            <sz val="9"/>
            <color indexed="81"/>
            <rFont val="Tahoma"/>
            <family val="2"/>
          </rPr>
          <t>100% oletus. Voit nostaa tai laskea %:na tuntimäärää kokemuksesi pohjalta. Esim. lisäys oletukselle 10 %--&gt;Kirjoita 110%</t>
        </r>
      </text>
    </comment>
    <comment ref="F92" authorId="1" shapeId="0" xr:uid="{00000000-0006-0000-0600-000013000000}">
      <text>
        <r>
          <rPr>
            <b/>
            <sz val="9"/>
            <color indexed="81"/>
            <rFont val="Tahoma"/>
            <family val="2"/>
          </rPr>
          <t>Ei polttoöljyn kulutusta, sähkö kuluu</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H25" authorId="0" shapeId="0" xr:uid="{00000000-0006-0000-0900-000001000000}">
      <text>
        <r>
          <rPr>
            <b/>
            <sz val="9"/>
            <color indexed="81"/>
            <rFont val="Tahoma"/>
            <family val="2"/>
          </rPr>
          <t>Polttoaineen lisäys käyttötunnille, kun kone kytketty traktoriin.</t>
        </r>
      </text>
    </comment>
    <comment ref="L25" authorId="0" shapeId="0" xr:uid="{00000000-0006-0000-0900-000002000000}">
      <text>
        <r>
          <rPr>
            <b/>
            <sz val="9"/>
            <color indexed="81"/>
            <rFont val="Tahoma"/>
            <family val="2"/>
          </rPr>
          <t>Polttoaineen lisäys käyttötunnille, kun kone kytketty traktoriin.</t>
        </r>
      </text>
    </comment>
    <comment ref="P25" authorId="0" shapeId="0" xr:uid="{00000000-0006-0000-0900-000003000000}">
      <text>
        <r>
          <rPr>
            <b/>
            <sz val="9"/>
            <color indexed="81"/>
            <rFont val="Tahoma"/>
            <family val="2"/>
          </rPr>
          <t>Polttoaineen lisäys käyttötunnille, kun kone kytketty traktoriin.</t>
        </r>
      </text>
    </comment>
    <comment ref="C27" authorId="1" shapeId="0" xr:uid="{3BC44F9F-6E86-4AEE-AB1B-1B77A0E44176}">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1" shapeId="0" xr:uid="{11D48B56-6738-4E3F-ADF4-31337C8A4695}">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1" shapeId="0" xr:uid="{A359B99E-709C-4BA2-AC1B-4C4F85112A90}">
      <text>
        <r>
          <rPr>
            <b/>
            <sz val="9"/>
            <color indexed="81"/>
            <rFont val="Tahoma"/>
            <family val="2"/>
          </rPr>
          <t>Tähän syöttämällä ohitat laskennan ja antamasi luku on kustannus.</t>
        </r>
      </text>
    </comment>
    <comment ref="K27" authorId="1" shapeId="0" xr:uid="{DD6193F5-82D0-4CB6-AF80-9293FADC5A62}">
      <text>
        <r>
          <rPr>
            <b/>
            <sz val="9"/>
            <color indexed="81"/>
            <rFont val="Tahoma"/>
            <family val="2"/>
          </rPr>
          <t>Tähän syöttämällä ohitat laskennan ja antamasi luku on kustannus.</t>
        </r>
      </text>
    </comment>
    <comment ref="O27" authorId="1" shapeId="0" xr:uid="{B0D56CAA-4126-4054-B4D5-3DE914FB4816}">
      <text>
        <r>
          <rPr>
            <b/>
            <sz val="9"/>
            <color indexed="81"/>
            <rFont val="Tahoma"/>
            <family val="2"/>
          </rPr>
          <t>Tähän syöttämällä ohitat laskennan ja antamasi luku on kustannus.</t>
        </r>
      </text>
    </comment>
    <comment ref="S27" authorId="1" shapeId="0" xr:uid="{1DC43A15-A2A5-48EB-A8AA-702B770B2FC5}">
      <text>
        <r>
          <rPr>
            <b/>
            <sz val="9"/>
            <color indexed="81"/>
            <rFont val="Tahoma"/>
            <family val="2"/>
          </rPr>
          <t>Tähän syöttämällä ohitat laskennan ja antamasi luku on kustannus.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H25" authorId="0" shapeId="0" xr:uid="{00000000-0006-0000-0A00-000001000000}">
      <text>
        <r>
          <rPr>
            <b/>
            <sz val="9"/>
            <color indexed="81"/>
            <rFont val="Tahoma"/>
            <family val="2"/>
          </rPr>
          <t>Polttoaineen lisäys käyttötunnille, kun kone kytketty traktoriin.</t>
        </r>
      </text>
    </comment>
    <comment ref="L25" authorId="0" shapeId="0" xr:uid="{00000000-0006-0000-0A00-000002000000}">
      <text>
        <r>
          <rPr>
            <b/>
            <sz val="9"/>
            <color indexed="81"/>
            <rFont val="Tahoma"/>
            <family val="2"/>
          </rPr>
          <t>Polttoaineen lisäys käyttötunnille, kun kone kytketty traktoriin.</t>
        </r>
      </text>
    </comment>
    <comment ref="P25" authorId="0" shapeId="0" xr:uid="{00000000-0006-0000-0A00-000003000000}">
      <text>
        <r>
          <rPr>
            <b/>
            <sz val="9"/>
            <color indexed="81"/>
            <rFont val="Tahoma"/>
            <family val="2"/>
          </rPr>
          <t>Polttoaineen lisäys käyttötunnille, kun kone kytketty traktoriin.</t>
        </r>
      </text>
    </comment>
    <comment ref="C27" authorId="1" shapeId="0" xr:uid="{4EC37EED-223F-4615-B892-3E6DFABACF88}">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1" shapeId="0" xr:uid="{9B7C2282-4CCF-4555-9418-CB54A9CD40C5}">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1" shapeId="0" xr:uid="{08624414-DD5B-4444-B653-0E0F7467D94B}">
      <text>
        <r>
          <rPr>
            <b/>
            <sz val="9"/>
            <color indexed="81"/>
            <rFont val="Tahoma"/>
            <family val="2"/>
          </rPr>
          <t>Tähän syöttämällä ohitat laskennan ja antamasi luku on kustannus.</t>
        </r>
      </text>
    </comment>
    <comment ref="K27" authorId="1" shapeId="0" xr:uid="{704FBEBC-E21F-4C66-976A-CD8C6FB43A56}">
      <text>
        <r>
          <rPr>
            <b/>
            <sz val="9"/>
            <color indexed="81"/>
            <rFont val="Tahoma"/>
            <family val="2"/>
          </rPr>
          <t>Tähän syöttämällä ohitat laskennan ja antamasi luku on kustannus.</t>
        </r>
      </text>
    </comment>
    <comment ref="O27" authorId="1" shapeId="0" xr:uid="{7EAAFF36-4EF6-4A60-8BE3-AD758AD9BE10}">
      <text>
        <r>
          <rPr>
            <b/>
            <sz val="9"/>
            <color indexed="81"/>
            <rFont val="Tahoma"/>
            <family val="2"/>
          </rPr>
          <t>Tähän syöttämällä ohitat laskennan ja antamasi luku on kustannus.</t>
        </r>
      </text>
    </comment>
    <comment ref="S27" authorId="1" shapeId="0" xr:uid="{668C671A-CD20-4789-8F6E-210203591525}">
      <text>
        <r>
          <rPr>
            <b/>
            <sz val="9"/>
            <color indexed="81"/>
            <rFont val="Tahoma"/>
            <family val="2"/>
          </rPr>
          <t>Tähän syöttämällä ohitat laskennan ja antamasi luku on kustannus.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H25" authorId="0" shapeId="0" xr:uid="{5B2DC2A4-28C0-44D7-BA02-AC20811AE1EA}">
      <text>
        <r>
          <rPr>
            <b/>
            <sz val="9"/>
            <color indexed="81"/>
            <rFont val="Tahoma"/>
            <family val="2"/>
          </rPr>
          <t>Polttoaineen lisäys käyttötunnille, kun kone kytketty traktoriin.</t>
        </r>
      </text>
    </comment>
    <comment ref="L25" authorId="0" shapeId="0" xr:uid="{F8274B7E-51B3-4B74-810B-35B059F7DB7F}">
      <text>
        <r>
          <rPr>
            <b/>
            <sz val="9"/>
            <color indexed="81"/>
            <rFont val="Tahoma"/>
            <family val="2"/>
          </rPr>
          <t>Polttoaineen lisäys käyttötunnille, kun kone kytketty traktoriin.</t>
        </r>
      </text>
    </comment>
    <comment ref="P25" authorId="0" shapeId="0" xr:uid="{8E5D6E6B-D7D2-4460-A53D-E04F5AE9310E}">
      <text>
        <r>
          <rPr>
            <b/>
            <sz val="9"/>
            <color indexed="81"/>
            <rFont val="Tahoma"/>
            <family val="2"/>
          </rPr>
          <t>Polttoaineen lisäys käyttötunnille, kun kone kytketty traktoriin.</t>
        </r>
      </text>
    </comment>
    <comment ref="C27" authorId="1" shapeId="0" xr:uid="{27EE970A-FAE1-4A71-82CE-FBFB0D80A26E}">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1" shapeId="0" xr:uid="{1A034169-C13E-4036-8926-FB49ABFA7C99}">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1" shapeId="0" xr:uid="{5351F6FD-DCEB-4FA5-8287-AB89E4E6EE6A}">
      <text>
        <r>
          <rPr>
            <b/>
            <sz val="9"/>
            <color indexed="81"/>
            <rFont val="Tahoma"/>
            <family val="2"/>
          </rPr>
          <t>Tähän syöttämällä ohitat laskennan ja antamasi luku on kustannus.</t>
        </r>
      </text>
    </comment>
    <comment ref="K27" authorId="1" shapeId="0" xr:uid="{8EF3B2CB-E61B-4FB8-9E47-CEB4417DE8B3}">
      <text>
        <r>
          <rPr>
            <b/>
            <sz val="9"/>
            <color indexed="81"/>
            <rFont val="Tahoma"/>
            <family val="2"/>
          </rPr>
          <t>Tähän syöttämällä ohitat laskennan ja antamasi luku on kustannus.</t>
        </r>
      </text>
    </comment>
    <comment ref="O27" authorId="1" shapeId="0" xr:uid="{8C162CC0-D480-44DD-90E6-29BEBE40C889}">
      <text>
        <r>
          <rPr>
            <b/>
            <sz val="9"/>
            <color indexed="81"/>
            <rFont val="Tahoma"/>
            <family val="2"/>
          </rPr>
          <t>Tähän syöttämällä ohitat laskennan ja antamasi luku on kustannus.</t>
        </r>
      </text>
    </comment>
    <comment ref="S27" authorId="1" shapeId="0" xr:uid="{8D500064-1372-45ED-92DD-E12EEF08DABF}">
      <text>
        <r>
          <rPr>
            <b/>
            <sz val="9"/>
            <color indexed="81"/>
            <rFont val="Tahoma"/>
            <family val="2"/>
          </rPr>
          <t>Tähän syöttämällä ohitat laskennan ja antamasi luku on kustannus.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O6" authorId="0" shapeId="0" xr:uid="{7E6693AE-00E0-4B9F-A0F6-67032E02A09E}">
      <text>
        <r>
          <rPr>
            <sz val="9"/>
            <color indexed="81"/>
            <rFont val="Tahoma"/>
            <family val="2"/>
          </rPr>
          <t>Ajomatka huomioidaan kustannuksena (oletus X=päällä)
Tyhjä=Ei huomioida</t>
        </r>
      </text>
    </comment>
    <comment ref="G7" authorId="0" shapeId="0" xr:uid="{1DBA4525-4A05-487F-8374-FD4FAF1980FB}">
      <text>
        <r>
          <rPr>
            <sz val="9"/>
            <color indexed="81"/>
            <rFont val="Tahoma"/>
            <family val="2"/>
          </rPr>
          <t>Pienet ajokoneet: noin 8–12 m³
Keskikokoiset ajokoneet: noin 12–15 m³
Suuret ajokoneet: noin 15–20 m³ tai enemmän.
Nämä luvut ovat kuitenkin arvioita, ja todellinen määrä voi vaihdella esimerkiksi hakkuutyypistä riippuen. Harvennushakkuilla puut ovat usein pienempiä ja tiiviimmin lastattavia kuin päätehakkuilla, joissa rungot voivat olla kookkaampia ja tilaa vievempiä.</t>
        </r>
      </text>
    </comment>
    <comment ref="H24" authorId="0" shapeId="0" xr:uid="{2075BCD9-62B9-45C7-A8C2-E2AFAA06703E}">
      <text>
        <r>
          <rPr>
            <sz val="9"/>
            <color indexed="81"/>
            <rFont val="Tahoma"/>
            <family val="2"/>
          </rPr>
          <t>Oletus 1,0
Lisäkerroin jos esim. hyvin luminen talvi tai vaikea maasto tai pehmeä maasto. Ajo hidasttuu, jolloin suorite pienenee.</t>
        </r>
      </text>
    </comment>
    <comment ref="I24" authorId="0" shapeId="0" xr:uid="{1A18F3C7-4D78-4ACE-BDB2-F71013074512}">
      <text>
        <r>
          <rPr>
            <sz val="9"/>
            <color indexed="81"/>
            <rFont val="Tahoma"/>
            <family val="2"/>
          </rPr>
          <t>Oletus 1,0
Voit nimetä haluamaksesi.
Tällä voit simuloida urakalle % nostoa suunitellulle m3-hinnalle.
Esim. 1,05 tarkoittaa että nostat 5 %
tai 0,95 tarkoittaa 95%</t>
        </r>
      </text>
    </comment>
    <comment ref="N45" authorId="0" shapeId="0" xr:uid="{A0BD8701-911F-4357-BBCB-032AF95E50C5}">
      <text>
        <r>
          <rPr>
            <sz val="9"/>
            <color indexed="81"/>
            <rFont val="Tahoma"/>
            <family val="2"/>
          </rPr>
          <t>Voit säätää ajokone 1 ja 2 kesken halutun %-osuuden ajettavsta puumäärästä. Muutoin laskenta: 100% -  ajokone 1 %-määrä. Miksi? Koska jos 2 konetta, jakautuu puumäärä koneille % -suhteessa.</t>
        </r>
      </text>
    </comment>
    <comment ref="AK83" authorId="0" shapeId="0" xr:uid="{9F43BEB3-A25B-4EB5-AD12-399304DC6D22}">
      <text>
        <r>
          <rPr>
            <b/>
            <sz val="9"/>
            <color indexed="81"/>
            <rFont val="Tahoma"/>
            <family val="2"/>
          </rPr>
          <t>Järjestys:
0=Suurin ensin
1=Pienin ensin</t>
        </r>
      </text>
    </comment>
    <comment ref="F98" authorId="0" shapeId="0" xr:uid="{8AA4A37B-8076-4D6B-9DE0-BE06C6984458}">
      <text>
        <r>
          <rPr>
            <b/>
            <sz val="9"/>
            <color indexed="81"/>
            <rFont val="Tahoma"/>
            <family val="2"/>
          </rPr>
          <t>Mika Mujunen:</t>
        </r>
        <r>
          <rPr>
            <sz val="9"/>
            <color indexed="81"/>
            <rFont val="Tahoma"/>
            <family val="2"/>
          </rPr>
          <t xml:space="preserve">
Tätä ei lasketa tuntikertymään, koska erillisrivi</t>
        </r>
      </text>
    </comment>
    <comment ref="I98" authorId="0" shapeId="0" xr:uid="{9AA918D4-10B8-4A5B-A6D3-05A102FE1C80}">
      <text>
        <r>
          <rPr>
            <b/>
            <sz val="9"/>
            <color indexed="81"/>
            <rFont val="Tahoma"/>
            <family val="2"/>
          </rPr>
          <t>Mika Mujunen:</t>
        </r>
        <r>
          <rPr>
            <sz val="9"/>
            <color indexed="81"/>
            <rFont val="Tahoma"/>
            <family val="2"/>
          </rPr>
          <t xml:space="preserve">
Tätä ei lasketa tuntikertymään, koska erillisrivi</t>
        </r>
      </text>
    </comment>
    <comment ref="L98" authorId="0" shapeId="0" xr:uid="{291510F4-382F-40F0-83D3-25C1239E7041}">
      <text>
        <r>
          <rPr>
            <b/>
            <sz val="9"/>
            <color indexed="81"/>
            <rFont val="Tahoma"/>
            <family val="2"/>
          </rPr>
          <t>Mika Mujunen:</t>
        </r>
        <r>
          <rPr>
            <sz val="9"/>
            <color indexed="81"/>
            <rFont val="Tahoma"/>
            <family val="2"/>
          </rPr>
          <t xml:space="preserve">
Tätä ei lasketa tuntikertymään, koska erillisrivi</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5D00A183-56DF-4682-934A-090656942236}">
      <text>
        <r>
          <rPr>
            <sz val="9"/>
            <color indexed="81"/>
            <rFont val="Tahoma"/>
            <family val="2"/>
          </rPr>
          <t>Jos omassa käytössä, eikä urakointia, laita 100 % (Oletus).
Jos käytät traktoria urakoinnissa, arvioi laskutettavat tunnit esim. 85 %</t>
        </r>
      </text>
    </comment>
    <comment ref="H25" authorId="1" shapeId="0" xr:uid="{6EA6D417-F62F-46D5-B7E3-8F2337F0CAE3}">
      <text>
        <r>
          <rPr>
            <b/>
            <sz val="9"/>
            <color indexed="81"/>
            <rFont val="Tahoma"/>
            <family val="2"/>
          </rPr>
          <t>Polttoaineen lisäys käyttötunnille, kun kone kytketty traktoriin.</t>
        </r>
      </text>
    </comment>
    <comment ref="L25" authorId="1" shapeId="0" xr:uid="{AE37119A-843A-47B0-9C26-5161A529EE95}">
      <text>
        <r>
          <rPr>
            <b/>
            <sz val="9"/>
            <color indexed="81"/>
            <rFont val="Tahoma"/>
            <family val="2"/>
          </rPr>
          <t>Polttoaineen lisäys käyttötunnille, kun kone kytketty traktoriin.</t>
        </r>
      </text>
    </comment>
    <comment ref="P25" authorId="1" shapeId="0" xr:uid="{BD40DF55-7071-41E9-8CDF-E543F240CCCA}">
      <text>
        <r>
          <rPr>
            <b/>
            <sz val="9"/>
            <color indexed="81"/>
            <rFont val="Tahoma"/>
            <family val="2"/>
          </rPr>
          <t>Polttoaineen lisäys käyttötunnille, kun kone kytketty traktoriin.</t>
        </r>
      </text>
    </comment>
    <comment ref="C27" authorId="0" shapeId="0" xr:uid="{A028347E-2114-4315-96EE-73DAB861A399}">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809A8480-FF79-4D50-BBCC-8FD5392BD010}">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17421AD4-7DFC-4A03-AE75-6D64D80D8FFD}">
      <text>
        <r>
          <rPr>
            <b/>
            <sz val="9"/>
            <color indexed="81"/>
            <rFont val="Tahoma"/>
            <family val="2"/>
          </rPr>
          <t>Tähän syöttämällä ohitat laskennan ja antamasi luku on kustannus.</t>
        </r>
      </text>
    </comment>
    <comment ref="K27" authorId="0" shapeId="0" xr:uid="{D91F829E-51AE-4DD6-BDA8-BA39948076AF}">
      <text>
        <r>
          <rPr>
            <b/>
            <sz val="9"/>
            <color indexed="81"/>
            <rFont val="Tahoma"/>
            <family val="2"/>
          </rPr>
          <t>Tähän syöttämällä ohitat laskennan ja antamasi luku on kustannus.</t>
        </r>
      </text>
    </comment>
    <comment ref="O27" authorId="0" shapeId="0" xr:uid="{E9C7C4F7-95BA-484B-9DB4-9B5479BE0B8E}">
      <text>
        <r>
          <rPr>
            <b/>
            <sz val="9"/>
            <color indexed="81"/>
            <rFont val="Tahoma"/>
            <family val="2"/>
          </rPr>
          <t>Tähän syöttämällä ohitat laskennan ja antamasi luku on kustannus.</t>
        </r>
      </text>
    </comment>
    <comment ref="S27" authorId="0" shapeId="0" xr:uid="{06FDDD5E-EB9C-4371-9266-7AB13EBDE042}">
      <text>
        <r>
          <rPr>
            <b/>
            <sz val="9"/>
            <color indexed="81"/>
            <rFont val="Tahoma"/>
            <family val="2"/>
          </rPr>
          <t>Tähän syöttämällä ohitat laskennan ja antamasi luku on kustannus.</t>
        </r>
      </text>
    </comment>
    <comment ref="F40" authorId="0" shapeId="0" xr:uid="{8AF8998F-1BA9-49FC-9BD7-3279A0ED8292}">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609C9A41-9356-4F87-BCC1-99CDBD5F43BF}">
      <text>
        <r>
          <rPr>
            <sz val="9"/>
            <color indexed="81"/>
            <rFont val="Tahoma"/>
            <family val="2"/>
          </rPr>
          <t xml:space="preserve">Numero osoittaa laskentajärjestystä. Tämä
opiskelijalle, joka miettii laskennan teoriaa. </t>
        </r>
      </text>
    </comment>
    <comment ref="L41" authorId="0" shapeId="0" xr:uid="{0A66A59C-8222-4584-BDA3-354A96F3C535}">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28425B8A-A349-483B-ACA8-17AA5A41C2F4}">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7A9FC74C-5BC3-405D-8089-7F83F0414345}">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S42" authorId="0" shapeId="0" xr:uid="{AB916D7E-FC0A-4EA1-BB94-CD03663D9F84}">
      <text>
        <r>
          <rPr>
            <sz val="9"/>
            <color indexed="81"/>
            <rFont val="Tahoma"/>
            <family val="2"/>
          </rPr>
          <t xml:space="preserve">Käytä tarjouksessa maksimituotksen ja keskiarvon hinnan aluetta.
Asiakas tuskin on kiinnostunut maksamaan keskimäärin hitaammasta työskentelystä. </t>
        </r>
      </text>
    </comment>
    <comment ref="T42" authorId="0" shapeId="0" xr:uid="{4363A8FF-5550-4220-9DCF-43D287779C68}">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C14EE9F4-51DE-44E7-95E6-1B86A3633C82}">
      <text>
        <r>
          <rPr>
            <sz val="9"/>
            <color indexed="81"/>
            <rFont val="Tahoma"/>
            <family val="2"/>
          </rPr>
          <t xml:space="preserve">
Kilometrit / Työsaavutuksella
eli
Km yht / Työsaavutus km / h</t>
        </r>
      </text>
    </comment>
    <comment ref="T58" authorId="0" shapeId="0" xr:uid="{C6AF9A9B-4DE5-4829-8C23-856B4D4F93B4}">
      <text>
        <r>
          <rPr>
            <b/>
            <sz val="9"/>
            <color indexed="81"/>
            <rFont val="Tahoma"/>
            <family val="2"/>
          </rPr>
          <t xml:space="preserve">Keskiarvo
</t>
        </r>
        <r>
          <rPr>
            <sz val="9"/>
            <color indexed="81"/>
            <rFont val="Tahoma"/>
            <family val="2"/>
          </rPr>
          <t xml:space="preserve">
</t>
        </r>
      </text>
    </comment>
    <comment ref="B59" authorId="0" shapeId="0" xr:uid="{D8B613BB-486B-43F7-BFC4-75A20FBF88A3}">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0ED4ADF8-C6B6-4107-BF7B-D2ED849E8687}">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44F4460D-A311-4E81-A14A-13719BC77D6D}">
      <text>
        <r>
          <rPr>
            <b/>
            <sz val="9"/>
            <color indexed="81"/>
            <rFont val="Tahoma"/>
            <family val="2"/>
          </rPr>
          <t>Traktorilaskelmalta</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mika</author>
  </authors>
  <commentList>
    <comment ref="H25" authorId="0" shapeId="0" xr:uid="{00000000-0006-0000-0700-000001000000}">
      <text>
        <r>
          <rPr>
            <b/>
            <sz val="9"/>
            <color indexed="81"/>
            <rFont val="Tahoma"/>
            <family val="2"/>
          </rPr>
          <t xml:space="preserve">Polttoaineen lisäys käyttötunnille, kun kone kytketty </t>
        </r>
      </text>
    </comment>
    <comment ref="L25" authorId="0" shapeId="0" xr:uid="{00000000-0006-0000-0700-000002000000}">
      <text>
        <r>
          <rPr>
            <b/>
            <sz val="9"/>
            <color indexed="81"/>
            <rFont val="Tahoma"/>
            <family val="2"/>
          </rPr>
          <t>Polttoaineen lisäys käyttötunnille, kun kone kytketty</t>
        </r>
      </text>
    </comment>
    <comment ref="P25" authorId="0" shapeId="0" xr:uid="{00000000-0006-0000-0700-000003000000}">
      <text>
        <r>
          <rPr>
            <b/>
            <sz val="9"/>
            <color indexed="81"/>
            <rFont val="Tahoma"/>
            <family val="2"/>
          </rPr>
          <t xml:space="preserve">Polttoaineen lisäys käyttötunnille, kun kone kytketty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BE27E9A0-F91D-4EC6-A7FB-AED6F9FFF4C6}">
      <text>
        <r>
          <rPr>
            <sz val="9"/>
            <color indexed="81"/>
            <rFont val="Tahoma"/>
            <family val="2"/>
          </rPr>
          <t>Jos omassa käytössä, eikä urakointia, laita 100 % (Oletus).
Jos käytät traktoria urakoinnissa, arvioi laskutettavat tunnit esim. 85 %</t>
        </r>
      </text>
    </comment>
    <comment ref="H25" authorId="1" shapeId="0" xr:uid="{01D79D6C-EF5C-4DBD-8D13-AF27D365B925}">
      <text>
        <r>
          <rPr>
            <b/>
            <sz val="9"/>
            <color indexed="81"/>
            <rFont val="Tahoma"/>
            <family val="2"/>
          </rPr>
          <t>Polttoaineen lisäys käyttötunnille, kun kone kytketty traktoriin.</t>
        </r>
      </text>
    </comment>
    <comment ref="L25" authorId="1" shapeId="0" xr:uid="{5F3479E9-FC4F-4810-B515-096025E7572F}">
      <text>
        <r>
          <rPr>
            <b/>
            <sz val="9"/>
            <color indexed="81"/>
            <rFont val="Tahoma"/>
            <family val="2"/>
          </rPr>
          <t>Polttoaineen lisäys käyttötunnille, kun kone kytketty traktoriin.</t>
        </r>
      </text>
    </comment>
    <comment ref="P25" authorId="1" shapeId="0" xr:uid="{29CED3DA-0DCD-4AE3-BD2B-4D1E93A1F798}">
      <text>
        <r>
          <rPr>
            <b/>
            <sz val="9"/>
            <color indexed="81"/>
            <rFont val="Tahoma"/>
            <family val="2"/>
          </rPr>
          <t>Polttoaineen lisäys käyttötunnille, kun kone kytketty traktoriin.</t>
        </r>
      </text>
    </comment>
    <comment ref="C27" authorId="0" shapeId="0" xr:uid="{C5626649-FE82-4E56-9EF6-30F53F110EFE}">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BB2E8C28-1620-4238-8921-0FA57DD27668}">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2A2842F9-3E2A-4989-A75B-03B80A9E97EF}">
      <text>
        <r>
          <rPr>
            <b/>
            <sz val="9"/>
            <color indexed="81"/>
            <rFont val="Tahoma"/>
            <family val="2"/>
          </rPr>
          <t>Tähän syöttämällä ohitat laskennan ja antamasi luku on kustannus.</t>
        </r>
      </text>
    </comment>
    <comment ref="K27" authorId="0" shapeId="0" xr:uid="{EBE4FCFD-20AE-4E84-BEFD-5254785C5A29}">
      <text>
        <r>
          <rPr>
            <b/>
            <sz val="9"/>
            <color indexed="81"/>
            <rFont val="Tahoma"/>
            <family val="2"/>
          </rPr>
          <t>Tähän syöttämällä ohitat laskennan ja antamasi luku on kustannus.</t>
        </r>
      </text>
    </comment>
    <comment ref="O27" authorId="0" shapeId="0" xr:uid="{5EC1AF93-6357-4CAD-A85E-A6D3DA4113BF}">
      <text>
        <r>
          <rPr>
            <b/>
            <sz val="9"/>
            <color indexed="81"/>
            <rFont val="Tahoma"/>
            <family val="2"/>
          </rPr>
          <t>Tähän syöttämällä ohitat laskennan ja antamasi luku on kustannus.</t>
        </r>
      </text>
    </comment>
    <comment ref="S27" authorId="0" shapeId="0" xr:uid="{5C3F361C-D4B4-4563-8F17-178AD335BEA5}">
      <text>
        <r>
          <rPr>
            <b/>
            <sz val="9"/>
            <color indexed="81"/>
            <rFont val="Tahoma"/>
            <family val="2"/>
          </rPr>
          <t>Tähän syöttämällä ohitat laskennan ja antamasi luku on kustannus.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D2CE135D-15C1-4959-B474-0C2C30CD8AC3}">
      <text>
        <r>
          <rPr>
            <sz val="9"/>
            <color indexed="81"/>
            <rFont val="Tahoma"/>
            <family val="2"/>
          </rPr>
          <t>Jos omassa käytössä, eikä urakointia, laita 100 % (Oletus).
Jos käytät traktoria urakoinnissa, arvioi laskutettavat tunnit esim. 85 %</t>
        </r>
      </text>
    </comment>
    <comment ref="H25" authorId="1" shapeId="0" xr:uid="{8DC9347A-1862-4B16-8814-839CBD192857}">
      <text>
        <r>
          <rPr>
            <b/>
            <sz val="9"/>
            <color indexed="81"/>
            <rFont val="Tahoma"/>
            <family val="2"/>
          </rPr>
          <t>Polttoaineen lisäys käyttötunnille, kun kone kytketty traktoriin.</t>
        </r>
      </text>
    </comment>
    <comment ref="L25" authorId="1" shapeId="0" xr:uid="{D6FCC5EA-4339-4711-9995-C5D1652436C5}">
      <text>
        <r>
          <rPr>
            <b/>
            <sz val="9"/>
            <color indexed="81"/>
            <rFont val="Tahoma"/>
            <family val="2"/>
          </rPr>
          <t>Polttoaineen lisäys käyttötunnille, kun kone kytketty traktoriin.</t>
        </r>
      </text>
    </comment>
    <comment ref="P25" authorId="1" shapeId="0" xr:uid="{3FAEC786-6687-4C59-A4C9-04065B91E634}">
      <text>
        <r>
          <rPr>
            <b/>
            <sz val="9"/>
            <color indexed="81"/>
            <rFont val="Tahoma"/>
            <family val="2"/>
          </rPr>
          <t>Polttoaineen lisäys käyttötunnille, kun kone kytketty traktoriin.</t>
        </r>
      </text>
    </comment>
    <comment ref="C27" authorId="0" shapeId="0" xr:uid="{9DE56A26-B6F9-4544-BA75-DDF65C243053}">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53E3043E-EECD-4A1D-B08E-7F3573DB8F96}">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A3E8D10D-644C-45F4-90ED-1192254695FB}">
      <text>
        <r>
          <rPr>
            <b/>
            <sz val="9"/>
            <color indexed="81"/>
            <rFont val="Tahoma"/>
            <family val="2"/>
          </rPr>
          <t>Tähän syöttämällä ohitat laskennan ja antamasi luku on kustannus.</t>
        </r>
      </text>
    </comment>
    <comment ref="K27" authorId="0" shapeId="0" xr:uid="{6CF66AB4-2897-4272-A9BF-B293F3E8953A}">
      <text>
        <r>
          <rPr>
            <b/>
            <sz val="9"/>
            <color indexed="81"/>
            <rFont val="Tahoma"/>
            <family val="2"/>
          </rPr>
          <t>Tähän syöttämällä ohitat laskennan ja antamasi luku on kustannus.</t>
        </r>
      </text>
    </comment>
    <comment ref="O27" authorId="0" shapeId="0" xr:uid="{B5F6DE5E-3192-4B16-97BA-6F7BA4DAA57D}">
      <text>
        <r>
          <rPr>
            <b/>
            <sz val="9"/>
            <color indexed="81"/>
            <rFont val="Tahoma"/>
            <family val="2"/>
          </rPr>
          <t>Tähän syöttämällä ohitat laskennan ja antamasi luku on kustannus.</t>
        </r>
      </text>
    </comment>
    <comment ref="S27" authorId="0" shapeId="0" xr:uid="{EB1DBF6A-9592-4B70-88A3-73010D9954C7}">
      <text>
        <r>
          <rPr>
            <b/>
            <sz val="9"/>
            <color indexed="81"/>
            <rFont val="Tahoma"/>
            <family val="2"/>
          </rPr>
          <t>Tähän syöttämällä ohitat laskennan ja antamasi luku on kustannus.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F6C69385-4519-498F-BE03-B2CC5CD6C513}">
      <text>
        <r>
          <rPr>
            <sz val="9"/>
            <color indexed="81"/>
            <rFont val="Tahoma"/>
            <family val="2"/>
          </rPr>
          <t>Jos omassa käytössä, eikä urakointia, laita 100 % (Oletus).
Jos käytät traktoria urakoinnissa, arvioi laskutettavat tunnit esim. 85 %</t>
        </r>
      </text>
    </comment>
    <comment ref="H25" authorId="1" shapeId="0" xr:uid="{079EA426-BFFD-46CB-B2E9-CDA4F0680EB6}">
      <text>
        <r>
          <rPr>
            <b/>
            <sz val="9"/>
            <color indexed="81"/>
            <rFont val="Tahoma"/>
            <family val="2"/>
          </rPr>
          <t>Polttoaineen lisäys käyttötunnille, kun kone kytketty traktoriin.</t>
        </r>
      </text>
    </comment>
    <comment ref="L25" authorId="1" shapeId="0" xr:uid="{71879E96-592D-4D55-8385-AB9ADBAF9272}">
      <text>
        <r>
          <rPr>
            <b/>
            <sz val="9"/>
            <color indexed="81"/>
            <rFont val="Tahoma"/>
            <family val="2"/>
          </rPr>
          <t>Polttoaineen lisäys käyttötunnille, kun kone kytketty traktoriin.</t>
        </r>
      </text>
    </comment>
    <comment ref="P25" authorId="1" shapeId="0" xr:uid="{9E7DC69D-A448-4CC3-AB23-3C6E32668F43}">
      <text>
        <r>
          <rPr>
            <b/>
            <sz val="9"/>
            <color indexed="81"/>
            <rFont val="Tahoma"/>
            <family val="2"/>
          </rPr>
          <t>Polttoaineen lisäys käyttötunnille, kun kone kytketty traktoriin.</t>
        </r>
      </text>
    </comment>
    <comment ref="C27" authorId="0" shapeId="0" xr:uid="{324E3BC8-247C-4285-9863-D04F5DDB3F27}">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F73CDE73-E592-4587-870B-6B26544D05C4}">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E5CC9FE7-F4FB-4237-AE47-9AA753801C94}">
      <text>
        <r>
          <rPr>
            <b/>
            <sz val="9"/>
            <color indexed="81"/>
            <rFont val="Tahoma"/>
            <family val="2"/>
          </rPr>
          <t>Tähän syöttämällä ohitat laskennan ja antamasi luku on kustannus.</t>
        </r>
      </text>
    </comment>
    <comment ref="K27" authorId="0" shapeId="0" xr:uid="{6809328C-528D-4A1C-829F-AB6FF92D6905}">
      <text>
        <r>
          <rPr>
            <b/>
            <sz val="9"/>
            <color indexed="81"/>
            <rFont val="Tahoma"/>
            <family val="2"/>
          </rPr>
          <t>Tähän syöttämällä ohitat laskennan ja antamasi luku on kustannus.</t>
        </r>
      </text>
    </comment>
    <comment ref="O27" authorId="0" shapeId="0" xr:uid="{7D4FCE26-58B1-41E1-9D53-76E695F3CB19}">
      <text>
        <r>
          <rPr>
            <b/>
            <sz val="9"/>
            <color indexed="81"/>
            <rFont val="Tahoma"/>
            <family val="2"/>
          </rPr>
          <t>Tähän syöttämällä ohitat laskennan ja antamasi luku on kustannus.</t>
        </r>
      </text>
    </comment>
    <comment ref="S27" authorId="0" shapeId="0" xr:uid="{BE0FF907-B7D1-4F31-B1B9-B9D28C7E6C91}">
      <text>
        <r>
          <rPr>
            <b/>
            <sz val="9"/>
            <color indexed="81"/>
            <rFont val="Tahoma"/>
            <family val="2"/>
          </rPr>
          <t>Tähän syöttämällä ohitat laskennan ja antamasi luku on kustannus.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H64" authorId="0" shapeId="0" xr:uid="{737CDE89-23C5-4096-BC4B-4D7FCC737FB1}">
      <text>
        <r>
          <rPr>
            <b/>
            <sz val="9"/>
            <color indexed="81"/>
            <rFont val="Tahoma"/>
            <family val="2"/>
          </rPr>
          <t>Mika Mujunen:</t>
        </r>
        <r>
          <rPr>
            <sz val="9"/>
            <color indexed="81"/>
            <rFont val="Tahoma"/>
            <family val="2"/>
          </rPr>
          <t xml:space="preserve">
Kauppiaan hinnoittelu: 
Ostohinta jaetaan /100%-kate %)</t>
        </r>
      </text>
    </comment>
    <comment ref="K64" authorId="0" shapeId="0" xr:uid="{81914377-25BF-41DB-B0B5-9ED3F7168C33}">
      <text>
        <r>
          <rPr>
            <b/>
            <sz val="9"/>
            <color indexed="81"/>
            <rFont val="Tahoma"/>
            <family val="2"/>
          </rPr>
          <t>Mika Mujunen:</t>
        </r>
        <r>
          <rPr>
            <sz val="9"/>
            <color indexed="81"/>
            <rFont val="Tahoma"/>
            <family val="2"/>
          </rPr>
          <t xml:space="preserve">
Kauppiaan hinnoittelu: 
Ostohinta jaetaan /100%-kate %)</t>
        </r>
      </text>
    </comment>
    <comment ref="N64" authorId="0" shapeId="0" xr:uid="{388C6619-C5C7-43C6-A2D3-21EE0EAB6ED2}">
      <text>
        <r>
          <rPr>
            <b/>
            <sz val="9"/>
            <color indexed="81"/>
            <rFont val="Tahoma"/>
            <family val="2"/>
          </rPr>
          <t>Mika Mujunen:</t>
        </r>
        <r>
          <rPr>
            <sz val="9"/>
            <color indexed="81"/>
            <rFont val="Tahoma"/>
            <family val="2"/>
          </rPr>
          <t xml:space="preserve">
Kauppiaan hinnoittelu: 
Ostohinta jaetaan /100%-kate %)</t>
        </r>
      </text>
    </comment>
    <comment ref="Q64" authorId="0" shapeId="0" xr:uid="{2BFFFF5F-BAA2-4D7E-8A59-051E8D753E2A}">
      <text>
        <r>
          <rPr>
            <b/>
            <sz val="9"/>
            <color indexed="81"/>
            <rFont val="Tahoma"/>
            <family val="2"/>
          </rPr>
          <t>Mika Mujunen:</t>
        </r>
        <r>
          <rPr>
            <sz val="9"/>
            <color indexed="81"/>
            <rFont val="Tahoma"/>
            <family val="2"/>
          </rPr>
          <t xml:space="preserve">
Kauppiaan hinnoittelu: 
Ostohinta jaetaan /100%-kate %)</t>
        </r>
      </text>
    </comment>
    <comment ref="O70" authorId="0" shapeId="0" xr:uid="{BC6F2B5D-E3AE-4E6C-99FA-BF74977C193C}">
      <text>
        <r>
          <rPr>
            <sz val="9"/>
            <color indexed="81"/>
            <rFont val="Tahoma"/>
            <family val="2"/>
          </rPr>
          <t>Pudotusvalikossa yksiköt</t>
        </r>
      </text>
    </comment>
    <comment ref="A75" authorId="0" shapeId="0" xr:uid="{A231FB94-12C9-40CA-BC04-925A8598E1E8}">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G84" authorId="0" shapeId="0" xr:uid="{AA9230EB-F969-4C1B-845C-9B10337D69E2}">
      <text>
        <r>
          <rPr>
            <b/>
            <sz val="9"/>
            <color indexed="81"/>
            <rFont val="Tahoma"/>
            <family val="2"/>
          </rPr>
          <t>Traktorilaskelmalta</t>
        </r>
      </text>
    </comment>
    <comment ref="J84" authorId="0" shapeId="0" xr:uid="{E922EF90-9929-4F76-8D2D-32AF73DF8D3E}">
      <text>
        <r>
          <rPr>
            <b/>
            <sz val="9"/>
            <color indexed="81"/>
            <rFont val="Tahoma"/>
            <family val="2"/>
          </rPr>
          <t>Traktorilaskelmalta</t>
        </r>
      </text>
    </comment>
    <comment ref="M84" authorId="0" shapeId="0" xr:uid="{699448E2-A337-4EA9-9EDF-45F12E802E12}">
      <text>
        <r>
          <rPr>
            <b/>
            <sz val="9"/>
            <color indexed="81"/>
            <rFont val="Tahoma"/>
            <family val="2"/>
          </rPr>
          <t>Traktorilaskelmalta</t>
        </r>
      </text>
    </comment>
    <comment ref="P84" authorId="0" shapeId="0" xr:uid="{A06587B7-B525-42CF-96E0-1F02152997DF}">
      <text>
        <r>
          <rPr>
            <b/>
            <sz val="9"/>
            <color indexed="81"/>
            <rFont val="Tahoma"/>
            <family val="2"/>
          </rPr>
          <t>Traktorilaskelmalta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3030F0DE-55D9-4077-816E-8C2AE1010933}">
      <text>
        <r>
          <rPr>
            <sz val="9"/>
            <color indexed="81"/>
            <rFont val="Tahoma"/>
            <family val="2"/>
          </rPr>
          <t>Jos omassa käytössä, eikä urakointia, laita 100 % (Oletus).
Jos käytät traktoria urakoinnissa, arvioi laskutettavat tunnit esim. 85 %</t>
        </r>
      </text>
    </comment>
    <comment ref="H25" authorId="1" shapeId="0" xr:uid="{C7F6F4CA-7B12-48A6-A6BE-B5189FDC2E00}">
      <text>
        <r>
          <rPr>
            <b/>
            <sz val="9"/>
            <color indexed="81"/>
            <rFont val="Tahoma"/>
            <family val="2"/>
          </rPr>
          <t>Polttoaineen lisäys käyttötunnille, kun kone kytketty traktoriin.</t>
        </r>
      </text>
    </comment>
    <comment ref="L25" authorId="1" shapeId="0" xr:uid="{76BD4E33-6E20-428A-8722-CA09E727938A}">
      <text>
        <r>
          <rPr>
            <b/>
            <sz val="9"/>
            <color indexed="81"/>
            <rFont val="Tahoma"/>
            <family val="2"/>
          </rPr>
          <t>Polttoaineen lisäys käyttötunnille, kun kone kytketty traktoriin.</t>
        </r>
      </text>
    </comment>
    <comment ref="P25" authorId="1" shapeId="0" xr:uid="{A13DBEE4-501A-415E-AA7A-3049A64F0F6F}">
      <text>
        <r>
          <rPr>
            <b/>
            <sz val="9"/>
            <color indexed="81"/>
            <rFont val="Tahoma"/>
            <family val="2"/>
          </rPr>
          <t>Polttoaineen lisäys käyttötunnille, kun kone kytketty traktoriin.</t>
        </r>
      </text>
    </comment>
    <comment ref="C27" authorId="0" shapeId="0" xr:uid="{9C19FF02-6155-45AE-AD45-633DAEA82D25}">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F96A8F87-FC3F-4860-BB6A-B19337AD5589}">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9F80BE95-1239-4A0D-AE05-E2102ACE80C7}">
      <text>
        <r>
          <rPr>
            <b/>
            <sz val="9"/>
            <color indexed="81"/>
            <rFont val="Tahoma"/>
            <family val="2"/>
          </rPr>
          <t>Tähän syöttämällä ohitat laskennan ja antamasi luku on kustannus.</t>
        </r>
      </text>
    </comment>
    <comment ref="K27" authorId="0" shapeId="0" xr:uid="{F17EFBB6-8305-4238-8769-5016DED439E9}">
      <text>
        <r>
          <rPr>
            <b/>
            <sz val="9"/>
            <color indexed="81"/>
            <rFont val="Tahoma"/>
            <family val="2"/>
          </rPr>
          <t>Tähän syöttämällä ohitat laskennan ja antamasi luku on kustannus.</t>
        </r>
      </text>
    </comment>
    <comment ref="O27" authorId="0" shapeId="0" xr:uid="{FFCDAD56-FD06-49FB-BC43-618FD4280779}">
      <text>
        <r>
          <rPr>
            <b/>
            <sz val="9"/>
            <color indexed="81"/>
            <rFont val="Tahoma"/>
            <family val="2"/>
          </rPr>
          <t>Tähän syöttämällä ohitat laskennan ja antamasi luku on kustannus.</t>
        </r>
      </text>
    </comment>
    <comment ref="S27" authorId="0" shapeId="0" xr:uid="{7B3D26B8-1537-4516-A4D0-1F40C5160BF2}">
      <text>
        <r>
          <rPr>
            <b/>
            <sz val="9"/>
            <color indexed="81"/>
            <rFont val="Tahoma"/>
            <family val="2"/>
          </rPr>
          <t>Tähän syöttämällä ohitat laskennan ja antamasi luku on kustannus.</t>
        </r>
      </text>
    </comment>
    <comment ref="F40" authorId="0" shapeId="0" xr:uid="{ECF9CB25-B2D1-452D-BA3F-4BE1C6A63C12}">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F4A51885-40D9-4541-8C28-6F15BE9029FB}">
      <text>
        <r>
          <rPr>
            <sz val="9"/>
            <color indexed="81"/>
            <rFont val="Tahoma"/>
            <family val="2"/>
          </rPr>
          <t xml:space="preserve">Numero osoittaa laskentajärjestystä. Tämä
opiskelijalle, joka miettii laskennan teoriaa. </t>
        </r>
      </text>
    </comment>
    <comment ref="L41" authorId="0" shapeId="0" xr:uid="{968492F2-6848-47F5-94E8-92CA1557CB67}">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426088F4-9939-41AF-8DDC-A533525A818B}">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80A8DB60-D947-43EF-A9E3-6BA4C5017A7A}">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S42" authorId="0" shapeId="0" xr:uid="{419543C4-75D5-4534-B979-557FD07CEEF2}">
      <text>
        <r>
          <rPr>
            <sz val="9"/>
            <color indexed="81"/>
            <rFont val="Tahoma"/>
            <family val="2"/>
          </rPr>
          <t xml:space="preserve">Käytä tarjouksessa maksimituotksen ja keskiarvon hinnan aluetta.
Asiakas tuskin on kiinnostunut maksamaan keskimäärin hitaammasta työskentelystä. </t>
        </r>
      </text>
    </comment>
    <comment ref="T42" authorId="0" shapeId="0" xr:uid="{E0E48815-76B6-42DD-AF1B-A183C17D99A1}">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E6832FFF-A382-4521-8046-138D42D7880D}">
      <text>
        <r>
          <rPr>
            <sz val="9"/>
            <color indexed="81"/>
            <rFont val="Tahoma"/>
            <family val="2"/>
          </rPr>
          <t xml:space="preserve">
Kilometrit / Työsaavutuksella
eli
Km yht / Työsaavutus km / h</t>
        </r>
      </text>
    </comment>
    <comment ref="T58" authorId="0" shapeId="0" xr:uid="{BF03C9D3-AC70-447D-A37B-BF15AE43B3C3}">
      <text>
        <r>
          <rPr>
            <b/>
            <sz val="9"/>
            <color indexed="81"/>
            <rFont val="Tahoma"/>
            <family val="2"/>
          </rPr>
          <t xml:space="preserve">Keskiarvo
</t>
        </r>
        <r>
          <rPr>
            <sz val="9"/>
            <color indexed="81"/>
            <rFont val="Tahoma"/>
            <family val="2"/>
          </rPr>
          <t xml:space="preserve">
</t>
        </r>
      </text>
    </comment>
    <comment ref="B59" authorId="0" shapeId="0" xr:uid="{9DB96B8E-69DD-40BA-B7C7-E47AD4E1F34A}">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330759A3-C750-47BC-9833-9D090D429633}">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BAD86716-27D4-439F-8DF8-35AF0AC8F0E5}">
      <text>
        <r>
          <rPr>
            <b/>
            <sz val="9"/>
            <color indexed="81"/>
            <rFont val="Tahoma"/>
            <family val="2"/>
          </rPr>
          <t>Traktorilaskelmalta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61AD2A2A-50C1-49E3-AEF2-E58EB3652FC5}">
      <text>
        <r>
          <rPr>
            <sz val="9"/>
            <color indexed="81"/>
            <rFont val="Tahoma"/>
            <family val="2"/>
          </rPr>
          <t>Jos omassa käytössä, eikä urakointia, laita 100 % (Oletus).
Jos käytät traktoria urakoinnissa, arvioi laskutettavat tunnit esim. 85 %</t>
        </r>
      </text>
    </comment>
    <comment ref="H25" authorId="1" shapeId="0" xr:uid="{DFF7B8A2-81CD-471B-BE75-5789714974A6}">
      <text>
        <r>
          <rPr>
            <b/>
            <sz val="9"/>
            <color indexed="81"/>
            <rFont val="Tahoma"/>
            <family val="2"/>
          </rPr>
          <t>Polttoaineen lisäys käyttötunnille, kun kone kytketty traktoriin.</t>
        </r>
      </text>
    </comment>
    <comment ref="L25" authorId="1" shapeId="0" xr:uid="{A81384DB-F386-44BA-A4FB-D938BFC18C8E}">
      <text>
        <r>
          <rPr>
            <b/>
            <sz val="9"/>
            <color indexed="81"/>
            <rFont val="Tahoma"/>
            <family val="2"/>
          </rPr>
          <t>Polttoaineen lisäys käyttötunnille, kun kone kytketty traktoriin.</t>
        </r>
      </text>
    </comment>
    <comment ref="P25" authorId="1" shapeId="0" xr:uid="{E81DE1BC-A538-4921-A91B-FBF8D67AFBB4}">
      <text>
        <r>
          <rPr>
            <b/>
            <sz val="9"/>
            <color indexed="81"/>
            <rFont val="Tahoma"/>
            <family val="2"/>
          </rPr>
          <t>Polttoaineen lisäys käyttötunnille, kun kone kytketty traktoriin.</t>
        </r>
      </text>
    </comment>
    <comment ref="C27" authorId="0" shapeId="0" xr:uid="{479BE210-97C3-4A8C-BCCE-30153D7352A5}">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2DB4C159-B4B1-47AD-A321-26DE735F7173}">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635C6014-184D-44E1-9193-BA56F9814417}">
      <text>
        <r>
          <rPr>
            <b/>
            <sz val="9"/>
            <color indexed="81"/>
            <rFont val="Tahoma"/>
            <family val="2"/>
          </rPr>
          <t>Tähän syöttämällä ohitat laskennan ja antamasi luku on kustannus.</t>
        </r>
      </text>
    </comment>
    <comment ref="K27" authorId="0" shapeId="0" xr:uid="{F55B10FF-3C36-4780-8B02-F807E3D2A6E9}">
      <text>
        <r>
          <rPr>
            <b/>
            <sz val="9"/>
            <color indexed="81"/>
            <rFont val="Tahoma"/>
            <family val="2"/>
          </rPr>
          <t>Tähän syöttämällä ohitat laskennan ja antamasi luku on kustannus.</t>
        </r>
      </text>
    </comment>
    <comment ref="O27" authorId="0" shapeId="0" xr:uid="{A9555EC3-B717-4687-A14A-7A3D7719C4DE}">
      <text>
        <r>
          <rPr>
            <b/>
            <sz val="9"/>
            <color indexed="81"/>
            <rFont val="Tahoma"/>
            <family val="2"/>
          </rPr>
          <t>Tähän syöttämällä ohitat laskennan ja antamasi luku on kustannus.</t>
        </r>
      </text>
    </comment>
    <comment ref="S27" authorId="0" shapeId="0" xr:uid="{89717397-BDA0-405A-A896-2A8940348C54}">
      <text>
        <r>
          <rPr>
            <b/>
            <sz val="9"/>
            <color indexed="81"/>
            <rFont val="Tahoma"/>
            <family val="2"/>
          </rPr>
          <t>Tähän syöttämällä ohitat laskennan ja antamasi luku on kustannus.</t>
        </r>
      </text>
    </comment>
    <comment ref="F40" authorId="0" shapeId="0" xr:uid="{F8073479-99CA-4C32-AB16-9EE899156574}">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C63A900A-F860-48A5-A157-6AF20741C0C8}">
      <text>
        <r>
          <rPr>
            <sz val="9"/>
            <color indexed="81"/>
            <rFont val="Tahoma"/>
            <family val="2"/>
          </rPr>
          <t xml:space="preserve">Numero osoittaa laskentajärjestystä. Tämä
opiskelijalle, joka miettii laskennan teoriaa. </t>
        </r>
      </text>
    </comment>
    <comment ref="L41" authorId="0" shapeId="0" xr:uid="{3653D7D2-9123-42EC-AD75-B1C64A6BDC94}">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4868BE2D-3F08-4334-909A-4B27C967EDCC}">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12728A24-ABB0-482F-83EE-D921F9CC5AE8}">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S42" authorId="0" shapeId="0" xr:uid="{54A7188E-533B-40A5-82BE-799DE1795542}">
      <text>
        <r>
          <rPr>
            <sz val="9"/>
            <color indexed="81"/>
            <rFont val="Tahoma"/>
            <family val="2"/>
          </rPr>
          <t xml:space="preserve">Käytä tarjouksessa maksimituotksen ja keskiarvon hinnan aluetta.
Asiakas tuskin on kiinnostunut maksamaan keskimäärin hitaammasta työskentelystä. </t>
        </r>
      </text>
    </comment>
    <comment ref="T42" authorId="0" shapeId="0" xr:uid="{D1684AE0-77E5-4EA7-A74C-4B6682E6DC9D}">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E62800E2-27FA-42D5-A5EE-AA5B5ABA89EC}">
      <text>
        <r>
          <rPr>
            <sz val="9"/>
            <color indexed="81"/>
            <rFont val="Tahoma"/>
            <family val="2"/>
          </rPr>
          <t xml:space="preserve">
Kilometrit / Työsaavutuksella
eli
Km yht / Työsaavutus km / h</t>
        </r>
      </text>
    </comment>
    <comment ref="T58" authorId="0" shapeId="0" xr:uid="{4B3C1F18-E73A-47AA-89F0-5B96E6B92308}">
      <text>
        <r>
          <rPr>
            <b/>
            <sz val="9"/>
            <color indexed="81"/>
            <rFont val="Tahoma"/>
            <family val="2"/>
          </rPr>
          <t xml:space="preserve">Keskiarvo
</t>
        </r>
        <r>
          <rPr>
            <sz val="9"/>
            <color indexed="81"/>
            <rFont val="Tahoma"/>
            <family val="2"/>
          </rPr>
          <t xml:space="preserve">
</t>
        </r>
      </text>
    </comment>
    <comment ref="B59" authorId="0" shapeId="0" xr:uid="{8AB2B54C-B627-46E0-9A48-6B4B27526E1C}">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42CB2CE1-0A6B-4A69-B9BB-550013FEDAF0}">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4B7913BA-12B9-47F9-BE8C-14E4E177EF96}">
      <text>
        <r>
          <rPr>
            <b/>
            <sz val="9"/>
            <color indexed="81"/>
            <rFont val="Tahoma"/>
            <family val="2"/>
          </rPr>
          <t>Traktorilaskelmalta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FEC13E67-1A4C-4320-AE88-048790EC1A88}">
      <text>
        <r>
          <rPr>
            <sz val="9"/>
            <color indexed="81"/>
            <rFont val="Tahoma"/>
            <family val="2"/>
          </rPr>
          <t>Jos omassa käytössä, eikä urakointia, laita 100 % (Oletus).
Jos käytät traktoria urakoinnissa, arvioi laskutettavat tunnit esim. 85 %</t>
        </r>
      </text>
    </comment>
    <comment ref="H25" authorId="1" shapeId="0" xr:uid="{79C3AD6A-5BAF-4246-86A8-9A6D968928F7}">
      <text>
        <r>
          <rPr>
            <b/>
            <sz val="9"/>
            <color indexed="81"/>
            <rFont val="Tahoma"/>
            <family val="2"/>
          </rPr>
          <t>Polttoaineen lisäys käyttötunnille, kun kone kytketty traktoriin.</t>
        </r>
      </text>
    </comment>
    <comment ref="L25" authorId="1" shapeId="0" xr:uid="{27BF902B-C8D0-4406-B38E-0F720800CE9E}">
      <text>
        <r>
          <rPr>
            <b/>
            <sz val="9"/>
            <color indexed="81"/>
            <rFont val="Tahoma"/>
            <family val="2"/>
          </rPr>
          <t>Polttoaineen lisäys käyttötunnille, kun kone kytketty traktoriin.</t>
        </r>
      </text>
    </comment>
    <comment ref="P25" authorId="1" shapeId="0" xr:uid="{350DA837-A45E-4B72-86AF-2D2A31FBCA00}">
      <text>
        <r>
          <rPr>
            <b/>
            <sz val="9"/>
            <color indexed="81"/>
            <rFont val="Tahoma"/>
            <family val="2"/>
          </rPr>
          <t>Polttoaineen lisäys käyttötunnille, kun kone kytketty traktoriin.</t>
        </r>
      </text>
    </comment>
    <comment ref="C27" authorId="0" shapeId="0" xr:uid="{74EC323B-484A-4016-A07B-F9E01701F90F}">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973CC414-47CA-4031-9524-0AEDF97CE7BF}">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64007EDE-98FF-4F0D-864F-926B1593BE14}">
      <text>
        <r>
          <rPr>
            <b/>
            <sz val="9"/>
            <color indexed="81"/>
            <rFont val="Tahoma"/>
            <family val="2"/>
          </rPr>
          <t>Tähän syöttämällä ohitat laskennan ja antamasi luku on kustannus.</t>
        </r>
      </text>
    </comment>
    <comment ref="K27" authorId="0" shapeId="0" xr:uid="{A68AE16B-7C33-4EBD-9459-C93D2DA7BF43}">
      <text>
        <r>
          <rPr>
            <b/>
            <sz val="9"/>
            <color indexed="81"/>
            <rFont val="Tahoma"/>
            <family val="2"/>
          </rPr>
          <t>Tähän syöttämällä ohitat laskennan ja antamasi luku on kustannus.</t>
        </r>
      </text>
    </comment>
    <comment ref="O27" authorId="0" shapeId="0" xr:uid="{0DB9F659-8E4F-445E-9BE2-0D108CD4A76A}">
      <text>
        <r>
          <rPr>
            <b/>
            <sz val="9"/>
            <color indexed="81"/>
            <rFont val="Tahoma"/>
            <family val="2"/>
          </rPr>
          <t>Tähän syöttämällä ohitat laskennan ja antamasi luku on kustannus.</t>
        </r>
      </text>
    </comment>
    <comment ref="S27" authorId="0" shapeId="0" xr:uid="{7FDF51FA-C5EC-488A-B922-81A6E037F6C6}">
      <text>
        <r>
          <rPr>
            <b/>
            <sz val="9"/>
            <color indexed="81"/>
            <rFont val="Tahoma"/>
            <family val="2"/>
          </rPr>
          <t>Tähän syöttämällä ohitat laskennan ja antamasi luku on kustannus.</t>
        </r>
      </text>
    </comment>
    <comment ref="F40" authorId="0" shapeId="0" xr:uid="{5ABAACF6-CC2D-4B48-B4FF-4E1C9759305E}">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02E9FFF0-E75A-4537-8EA8-0E57148A36F6}">
      <text>
        <r>
          <rPr>
            <sz val="9"/>
            <color indexed="81"/>
            <rFont val="Tahoma"/>
            <family val="2"/>
          </rPr>
          <t xml:space="preserve">Numero osoittaa laskentajärjestystä. Tämä
opiskelijalle, joka miettii laskennan teoriaa. </t>
        </r>
      </text>
    </comment>
    <comment ref="L41" authorId="0" shapeId="0" xr:uid="{862D8E4C-1587-4947-B057-BE4720A11A88}">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C02CE069-0E59-4B80-A502-B3D76C64EC5C}">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95F32F06-59AB-4E47-9AF8-579160469F5D}">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S42" authorId="0" shapeId="0" xr:uid="{2E1E77BC-F113-4142-9E29-211C649271EC}">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043114FB-14ED-421A-9152-21B495F4FAC1}">
      <text>
        <r>
          <rPr>
            <sz val="9"/>
            <color indexed="81"/>
            <rFont val="Tahoma"/>
            <family val="2"/>
          </rPr>
          <t xml:space="preserve">
Kilometrit / Työsaavutuksella
eli
Km yht / Työsaavutus km / h</t>
        </r>
      </text>
    </comment>
    <comment ref="T58" authorId="0" shapeId="0" xr:uid="{15ECBD54-AF8A-4FA4-A31F-2A6BA5FE88BB}">
      <text>
        <r>
          <rPr>
            <b/>
            <sz val="9"/>
            <color indexed="81"/>
            <rFont val="Tahoma"/>
            <family val="2"/>
          </rPr>
          <t xml:space="preserve">Keskiarvo
</t>
        </r>
        <r>
          <rPr>
            <sz val="9"/>
            <color indexed="81"/>
            <rFont val="Tahoma"/>
            <family val="2"/>
          </rPr>
          <t xml:space="preserve">
</t>
        </r>
      </text>
    </comment>
    <comment ref="B59" authorId="0" shapeId="0" xr:uid="{4D47991F-309A-4A0D-9808-791DADB7BD55}">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FDD6F452-0D73-49AB-91C5-02FD19D12984}">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4CB4591F-642D-4415-8801-134D0442433A}">
      <text>
        <r>
          <rPr>
            <b/>
            <sz val="9"/>
            <color indexed="81"/>
            <rFont val="Tahoma"/>
            <family val="2"/>
          </rPr>
          <t>Traktorilaskelmalta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6" authorId="0" shapeId="0" xr:uid="{22E450B8-8459-4D24-AB61-83346AAB6868}">
      <text>
        <r>
          <rPr>
            <sz val="9"/>
            <color indexed="81"/>
            <rFont val="Tahoma"/>
            <family val="2"/>
          </rPr>
          <t>Jos omassa käytössä, eikä urakointia, laita 100 % (Oletus).
Jos käytät traktoria urakoinnissa, arvioi laskutettavat tunnit esim. 85 %</t>
        </r>
      </text>
    </comment>
    <comment ref="H25" authorId="1" shapeId="0" xr:uid="{3CF70FD5-D377-43D3-BB02-1DFFC4666CDA}">
      <text>
        <r>
          <rPr>
            <b/>
            <sz val="9"/>
            <color indexed="81"/>
            <rFont val="Tahoma"/>
            <family val="2"/>
          </rPr>
          <t>Polttoaineen lisäys käyttötunnille, kun kone kytketty traktoriin.</t>
        </r>
      </text>
    </comment>
    <comment ref="L25" authorId="1" shapeId="0" xr:uid="{DD4E939A-E521-427B-83E6-48484A2EFBA1}">
      <text>
        <r>
          <rPr>
            <b/>
            <sz val="9"/>
            <color indexed="81"/>
            <rFont val="Tahoma"/>
            <family val="2"/>
          </rPr>
          <t>Polttoaineen lisäys käyttötunnille, kun kone kytketty traktoriin.</t>
        </r>
      </text>
    </comment>
    <comment ref="P25" authorId="1" shapeId="0" xr:uid="{B10CF056-A4E5-45AE-A1E4-57DBEEEB889D}">
      <text>
        <r>
          <rPr>
            <b/>
            <sz val="9"/>
            <color indexed="81"/>
            <rFont val="Tahoma"/>
            <family val="2"/>
          </rPr>
          <t>Polttoaineen lisäys käyttötunnille, kun kone kytketty traktoriin.</t>
        </r>
      </text>
    </comment>
    <comment ref="C27" authorId="0" shapeId="0" xr:uid="{EC25AD9A-ADAE-4FD3-BC54-EECC00924D28}">
      <text>
        <r>
          <rPr>
            <sz val="9"/>
            <color indexed="81"/>
            <rFont val="Tahoma"/>
            <family val="2"/>
          </rPr>
          <t>Mika Mujunen: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E27" authorId="0" shapeId="0" xr:uid="{B719B7C9-9882-4A51-B0FF-3CE95611B6A7}">
      <text>
        <r>
          <rPr>
            <b/>
            <sz val="9"/>
            <color indexed="81"/>
            <rFont val="Tahoma"/>
            <family val="2"/>
          </rPr>
          <t>Mika Mujunen:</t>
        </r>
        <r>
          <rPr>
            <sz val="9"/>
            <color indexed="81"/>
            <rFont val="Tahoma"/>
            <family val="2"/>
          </rPr>
          <t xml:space="preserve">
Karkeasti voi arvioda, että työkoneen AdBluen kulutus on n. 4–7 % koneen tarvitsemasta dieselin määrästä. AdBluen litrahinta liikkuu noin 0,80 ja 2  euron välillä kaupasta ja kanisterin koosta riippuen
Lähde: Yara.fi sekä hintakeskustelut netin keskustelupalstat.</t>
        </r>
      </text>
    </comment>
    <comment ref="G27" authorId="0" shapeId="0" xr:uid="{6AF3C8B2-D936-468C-BFC8-0A5153F0F926}">
      <text>
        <r>
          <rPr>
            <b/>
            <sz val="9"/>
            <color indexed="81"/>
            <rFont val="Tahoma"/>
            <family val="2"/>
          </rPr>
          <t>Tähän syöttämällä ohitat laskennan ja antamasi luku on kustannus.</t>
        </r>
      </text>
    </comment>
    <comment ref="K27" authorId="0" shapeId="0" xr:uid="{5A94A46A-CE01-486C-99A9-16F4F8DA91F6}">
      <text>
        <r>
          <rPr>
            <b/>
            <sz val="9"/>
            <color indexed="81"/>
            <rFont val="Tahoma"/>
            <family val="2"/>
          </rPr>
          <t>Tähän syöttämällä ohitat laskennan ja antamasi luku on kustannus.</t>
        </r>
      </text>
    </comment>
    <comment ref="O27" authorId="0" shapeId="0" xr:uid="{93814531-F1B6-4EFA-B722-D406F5A95C5E}">
      <text>
        <r>
          <rPr>
            <b/>
            <sz val="9"/>
            <color indexed="81"/>
            <rFont val="Tahoma"/>
            <family val="2"/>
          </rPr>
          <t>Tähän syöttämällä ohitat laskennan ja antamasi luku on kustannus.</t>
        </r>
      </text>
    </comment>
    <comment ref="S27" authorId="0" shapeId="0" xr:uid="{8B270208-0A54-4A9A-8F70-0F59951B05D9}">
      <text>
        <r>
          <rPr>
            <b/>
            <sz val="9"/>
            <color indexed="81"/>
            <rFont val="Tahoma"/>
            <family val="2"/>
          </rPr>
          <t>Tähän syöttämällä ohitat laskennan ja antamasi luku on kustannus.</t>
        </r>
      </text>
    </comment>
    <comment ref="F40" authorId="0" shapeId="0" xr:uid="{3A6C28A6-809D-4E25-9262-17219679A502}">
      <text>
        <r>
          <rPr>
            <b/>
            <sz val="9"/>
            <color indexed="81"/>
            <rFont val="Tahoma"/>
            <family val="2"/>
          </rPr>
          <t xml:space="preserve">Numero osoittaa laskentajärjestystä. Tämä
opiskelijalle, joka miettii laskennan teoriaa. </t>
        </r>
        <r>
          <rPr>
            <sz val="9"/>
            <color indexed="81"/>
            <rFont val="Tahoma"/>
            <family val="2"/>
          </rPr>
          <t xml:space="preserve">
</t>
        </r>
      </text>
    </comment>
    <comment ref="M40" authorId="0" shapeId="0" xr:uid="{9B00699F-9CE1-4EC2-9588-6CBC784BDF01}">
      <text>
        <r>
          <rPr>
            <sz val="9"/>
            <color indexed="81"/>
            <rFont val="Tahoma"/>
            <family val="2"/>
          </rPr>
          <t xml:space="preserve">Numero osoittaa laskentajärjestystä. Tämä
opiskelijalle, joka miettii laskennan teoriaa. </t>
        </r>
      </text>
    </comment>
    <comment ref="L41" authorId="0" shapeId="0" xr:uid="{EC23FCF1-6740-4A7B-BCB2-350B1F227BCB}">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N41" authorId="0" shapeId="0" xr:uid="{0A9BEE5A-43A9-451F-8CDC-543C2230EDD5}">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P41" authorId="0" shapeId="0" xr:uid="{BD98F70A-2BB8-4478-9AC8-ABDB2BBB22DA}">
      <text>
        <r>
          <rPr>
            <sz val="9"/>
            <color indexed="81"/>
            <rFont val="Tahoma"/>
            <family val="2"/>
          </rPr>
          <t xml:space="preserve">Voit korvata koneketjulle laskettavan  luvun pakottamalla tähän aiemmin lasketun luvun (kirjoita se). Eli jos simuloit ketjua eri yhdistelmillä, päivytty luku aina. Siksi voit tallettaa eri ketjujen hinnat pakottamalla hinnan talteen.
</t>
        </r>
      </text>
    </comment>
    <comment ref="T42" authorId="0" shapeId="0" xr:uid="{C8557C56-F3B7-4E52-8B1D-B1E059BE88F8}">
      <text>
        <r>
          <rPr>
            <sz val="9"/>
            <color indexed="81"/>
            <rFont val="Tahoma"/>
            <family val="2"/>
          </rPr>
          <t xml:space="preserve">Käytä tarjouksessa maksimituotksen ja keskiarvon hinnan aluetta.
Asiakas tuskin on kiinnostunut maksamaan keskimäärin hitaammasta työskentelystä. 
</t>
        </r>
      </text>
    </comment>
    <comment ref="U42" authorId="0" shapeId="0" xr:uid="{C539A700-B346-43E1-9FD6-5AFB993E8239}">
      <text>
        <r>
          <rPr>
            <sz val="9"/>
            <color indexed="81"/>
            <rFont val="Tahoma"/>
            <family val="2"/>
          </rPr>
          <t xml:space="preserve">
Kilometrit / Työsaavutuksella
eli
Km yht / Työsaavutus km / h</t>
        </r>
      </text>
    </comment>
    <comment ref="T58" authorId="0" shapeId="0" xr:uid="{243A8EB3-349F-42DB-86D4-859813DE2297}">
      <text>
        <r>
          <rPr>
            <b/>
            <sz val="9"/>
            <color indexed="81"/>
            <rFont val="Tahoma"/>
            <family val="2"/>
          </rPr>
          <t xml:space="preserve">Keskiarvo
</t>
        </r>
        <r>
          <rPr>
            <sz val="9"/>
            <color indexed="81"/>
            <rFont val="Tahoma"/>
            <family val="2"/>
          </rPr>
          <t xml:space="preserve">
</t>
        </r>
      </text>
    </comment>
    <comment ref="B59" authorId="0" shapeId="0" xr:uid="{0246A50F-7995-4366-819F-097921830905}">
      <text>
        <r>
          <rPr>
            <b/>
            <sz val="11"/>
            <color indexed="81"/>
            <rFont val="Tahoma"/>
            <family val="2"/>
          </rPr>
          <t>Hyödynnä, kun myyt koneurakointia maksua vastaan.
Rakentaessasi koneketjua itsellesi omaan käyttöön ei synny tuloja, vain kustannuksia.
Voit silloin verrata esim. oman ketjun hintaa vastaavaan ostopalveluna tarjottavaan palveluun.</t>
        </r>
      </text>
    </comment>
    <comment ref="I61" authorId="0" shapeId="0" xr:uid="{7966BC40-C387-40FC-8641-55057499E726}">
      <text>
        <r>
          <rPr>
            <b/>
            <sz val="9"/>
            <color indexed="81"/>
            <rFont val="Tahoma"/>
            <family val="2"/>
          </rPr>
          <t>Voit ylikirjoittaa laskelmalta tulevan arvon talteen ja simuloida tuloslaskelmaa. Poistamalla luvun poimii luvut laskelmalta</t>
        </r>
        <r>
          <rPr>
            <sz val="9"/>
            <color indexed="81"/>
            <rFont val="Tahoma"/>
            <family val="2"/>
          </rPr>
          <t xml:space="preserve">
</t>
        </r>
      </text>
    </comment>
    <comment ref="H83" authorId="0" shapeId="0" xr:uid="{1A5DDFE2-972A-4BC5-A9C4-C6D9FC45DCCE}">
      <text>
        <r>
          <rPr>
            <b/>
            <sz val="9"/>
            <color indexed="81"/>
            <rFont val="Tahoma"/>
            <family val="2"/>
          </rPr>
          <t>Traktorilaskelmalta</t>
        </r>
      </text>
    </comment>
  </commentList>
</comments>
</file>

<file path=xl/sharedStrings.xml><?xml version="1.0" encoding="utf-8"?>
<sst xmlns="http://schemas.openxmlformats.org/spreadsheetml/2006/main" count="2944" uniqueCount="731">
  <si>
    <t>Koneen tuntihintalaskuri</t>
  </si>
  <si>
    <t>Aloitusohje</t>
  </si>
  <si>
    <t>Versio</t>
  </si>
  <si>
    <t>Mika Mujunen</t>
  </si>
  <si>
    <t>Koneen tuntihintalaskuri mahdollistaa mm. seuraavat asiat:</t>
  </si>
  <si>
    <t>1. yksittäisen koneen tuntihinnan laskeminen itselle ja urakointihinnan laskemisen</t>
  </si>
  <si>
    <t>2. voit ketjuttaa vetokoneeseen max. 3 konetta yksitellen tai yhdistelminä.</t>
  </si>
  <si>
    <t>3. ketjuta koneketjut ja löydä kustannussyöpöt</t>
  </si>
  <si>
    <t>4. voit huomioida koneketjun käyttöasteen tuntihinnan määrittelyssä</t>
  </si>
  <si>
    <t>5. voit laskea viljankuivauksen hinnan</t>
  </si>
  <si>
    <t>6. saat arvioitua koneiden CO2-päästöjä (CO2=hiilidioksidi).</t>
  </si>
  <si>
    <t>Koneen tuntihinnan selvittämiseksi tarvitaan tietää:</t>
  </si>
  <si>
    <t>1. koneen hankintahinta</t>
  </si>
  <si>
    <t>2. koneen jäännösarvo eli arvio arvosta, joka koneesta saataisiin koneen myyntihetkellä tulevaisuudessa.</t>
  </si>
  <si>
    <t>3. Lisäksi on arvioitava koneen arvioitu käyttövuosien määrä sekä</t>
  </si>
  <si>
    <t>4. on arvioitava koneen käyttötuntimäärä vuodessa.</t>
  </si>
  <si>
    <t>Näillä tekijöillä voidaan laskea koneelle tuntihinta.</t>
  </si>
  <si>
    <t>Tämän sivun alalaidassa näet välilehtiä. Voit laskea tuntihintoja kullakin välilehdellä.</t>
  </si>
  <si>
    <t>Traktorin tuntihinta ketju 1 - 4 = Voit laskea traktorin + halutessasi laskea ja kytkeä työkoneita kiinni traktoriveturiin</t>
  </si>
  <si>
    <t>Koneketjujen ketjutus = Voit ketjuttaa edellä olevat ketjut yhteen halumallasi suhteilla ja laskea urakkahinnan.</t>
  </si>
  <si>
    <t>Puimurin tuntihinta (tuntihinta ja ha-hinta)</t>
  </si>
  <si>
    <t>Viljan kuivuri 1 = Voit laskea viljan kuivauksen hinnan. Voit myös laskea kuivurin kokotarvetta yms.</t>
  </si>
  <si>
    <t>Kaivuri</t>
  </si>
  <si>
    <t>Auto, Soveltuu henkilö- tai kuorma-autolle. Liitä mukaan peräkärry tai kuormain.</t>
  </si>
  <si>
    <t>Kurottaja</t>
  </si>
  <si>
    <t>Pienkoneita</t>
  </si>
  <si>
    <t>Käyttöohjeita</t>
  </si>
  <si>
    <r>
      <t xml:space="preserve">Syötä arvot </t>
    </r>
    <r>
      <rPr>
        <sz val="10"/>
        <color rgb="FFFF0000"/>
        <rFont val="Arial"/>
        <family val="2"/>
      </rPr>
      <t>keltaisiin</t>
    </r>
    <r>
      <rPr>
        <sz val="10"/>
        <rFont val="Arial"/>
        <family val="2"/>
      </rPr>
      <t xml:space="preserve"> soluihin. Vältä luvuissa pistettä, Excel luulee piste-erotinta päivämääräksi.</t>
    </r>
  </si>
  <si>
    <t>Kytke traktoriin/Kytke veturiin K/E:  K tarkoittaa että laskenta aktivoituu. K kytkee koneen kiinni veturiin. E poistaa kytkennän.</t>
  </si>
  <si>
    <t xml:space="preserve">Ohjelma arvioi polttoaineen kulutuksen perusteella CO2-päästöjä. </t>
  </si>
  <si>
    <r>
      <t xml:space="preserve">Traktorin tuntihinta ketju 1, ketju 2, ketju ja ketju 4 linkittyvät </t>
    </r>
    <r>
      <rPr>
        <b/>
        <sz val="10"/>
        <rFont val="Arial"/>
        <family val="2"/>
      </rPr>
      <t>Koneketjujen ketju</t>
    </r>
    <r>
      <rPr>
        <sz val="10"/>
        <rFont val="Arial"/>
        <family val="2"/>
      </rPr>
      <t xml:space="preserve"> tauluun, jossa saat tehtyä urakkalaskentaa</t>
    </r>
  </si>
  <si>
    <t>tai voit vertailla ketjuen paremmuutta keskenään Kytkemällä ketjun pois päältä tai päälle K/E toiminnolla.</t>
  </si>
  <si>
    <t>Päästölaskurin ohjaustiedot ja energiasisältö (Älä muuta!)</t>
  </si>
  <si>
    <t>Polttoaine</t>
  </si>
  <si>
    <t>Yksikkö</t>
  </si>
  <si>
    <t>Päästöarvo</t>
  </si>
  <si>
    <t>Päästö yhteensä</t>
  </si>
  <si>
    <t>Kevyt polttoöljy</t>
  </si>
  <si>
    <t>l</t>
  </si>
  <si>
    <r>
      <t>g CO</t>
    </r>
    <r>
      <rPr>
        <sz val="9"/>
        <color rgb="FF222222"/>
        <rFont val="Arial"/>
        <family val="2"/>
      </rPr>
      <t>2</t>
    </r>
    <r>
      <rPr>
        <sz val="12"/>
        <color rgb="FF222222"/>
        <rFont val="Arial"/>
        <family val="2"/>
      </rPr>
      <t>/</t>
    </r>
  </si>
  <si>
    <t>kg</t>
  </si>
  <si>
    <t>Diesel</t>
  </si>
  <si>
    <r>
      <t>g CO</t>
    </r>
    <r>
      <rPr>
        <sz val="9"/>
        <color rgb="FF222222"/>
        <rFont val="Arial"/>
        <family val="2"/>
      </rPr>
      <t>2</t>
    </r>
    <r>
      <rPr>
        <sz val="12"/>
        <color rgb="FF222222"/>
        <rFont val="Arial"/>
        <family val="2"/>
      </rPr>
      <t>/l</t>
    </r>
  </si>
  <si>
    <t>Bensiini</t>
  </si>
  <si>
    <t>Biokaasu</t>
  </si>
  <si>
    <r>
      <t>g CO</t>
    </r>
    <r>
      <rPr>
        <sz val="9"/>
        <color rgb="FF222222"/>
        <rFont val="Arial"/>
        <family val="2"/>
      </rPr>
      <t>2</t>
    </r>
    <r>
      <rPr>
        <sz val="12"/>
        <color rgb="FF222222"/>
        <rFont val="Arial"/>
        <family val="2"/>
      </rPr>
      <t>/kg</t>
    </r>
  </si>
  <si>
    <t>Sähköajoneuvo</t>
  </si>
  <si>
    <t>kWh</t>
  </si>
  <si>
    <t>x</t>
  </si>
  <si>
    <t>Lähteet päästölaskennalle</t>
  </si>
  <si>
    <t>https://www.openco2.net/fi/</t>
  </si>
  <si>
    <t>https://www.stat.fi/tup/khkinv/khkaasut_polttoaineluokitus.html</t>
  </si>
  <si>
    <t>http://www.ilmastolaskuri.fi/fi/calculation-basis?country=2&amp;year=10746</t>
  </si>
  <si>
    <t>http://luonto.v-smol.fi/kulutusvalinnat/bensiini.html</t>
  </si>
  <si>
    <t>Laskentayksiköt</t>
  </si>
  <si>
    <t>Valikko</t>
  </si>
  <si>
    <t>Yksiköt</t>
  </si>
  <si>
    <t>(ÄLÄ MUUTA!)</t>
  </si>
  <si>
    <t>ha</t>
  </si>
  <si>
    <t>Kyllä</t>
  </si>
  <si>
    <t>K</t>
  </si>
  <si>
    <t>Ei</t>
  </si>
  <si>
    <t>E</t>
  </si>
  <si>
    <t>paali</t>
  </si>
  <si>
    <t>litra</t>
  </si>
  <si>
    <t>muu, mikä</t>
  </si>
  <si>
    <t>Laskentatapa</t>
  </si>
  <si>
    <r>
      <t>m</t>
    </r>
    <r>
      <rPr>
        <vertAlign val="superscript"/>
        <sz val="10"/>
        <rFont val="Arial"/>
        <family val="2"/>
      </rPr>
      <t>3</t>
    </r>
  </si>
  <si>
    <t>Tasapoisto</t>
  </si>
  <si>
    <t>T</t>
  </si>
  <si>
    <r>
      <t>i-m</t>
    </r>
    <r>
      <rPr>
        <vertAlign val="superscript"/>
        <sz val="10"/>
        <rFont val="Arial"/>
        <family val="2"/>
      </rPr>
      <t>3</t>
    </r>
  </si>
  <si>
    <t>Annuiteetti</t>
  </si>
  <si>
    <t>A</t>
  </si>
  <si>
    <t>kpl</t>
  </si>
  <si>
    <t>Ketjujen ketju Laskelman käyttö valikko</t>
  </si>
  <si>
    <t>m3/h</t>
  </si>
  <si>
    <t>Myynti-syntyy tuloja</t>
  </si>
  <si>
    <t>Itselle-ei synny tuloja</t>
  </si>
  <si>
    <t>km</t>
  </si>
  <si>
    <t>Konekustannuslaskelma</t>
  </si>
  <si>
    <t>Lasketaanko traktori mukaan? K/E</t>
  </si>
  <si>
    <t>Kytke traktoriin: K/E</t>
  </si>
  <si>
    <t>Yhteensä</t>
  </si>
  <si>
    <t>Polttoaineen kulutus l/v</t>
  </si>
  <si>
    <t>Barrelia (Tynnyriä a' 159 l)</t>
  </si>
  <si>
    <t>CO2 päästö kg/l</t>
  </si>
  <si>
    <t>Co2 määrä kg</t>
  </si>
  <si>
    <t>Co2 määrä tn</t>
  </si>
  <si>
    <t>Hiiltä C kg</t>
  </si>
  <si>
    <t>Traktori ja koneita</t>
  </si>
  <si>
    <t>Poistotapa</t>
  </si>
  <si>
    <t>A=Annuiteetti  T=Tasapoisto (oletus)</t>
  </si>
  <si>
    <t>Työkone 1</t>
  </si>
  <si>
    <t>Työkone 2</t>
  </si>
  <si>
    <t>Työkone 3</t>
  </si>
  <si>
    <t>Koneen arvioitu käyttöaika</t>
  </si>
  <si>
    <t>vuotta</t>
  </si>
  <si>
    <t>Tunnit yhteensä</t>
  </si>
  <si>
    <t>Käyttötunnit/vuosi</t>
  </si>
  <si>
    <t>h</t>
  </si>
  <si>
    <t>Koneen hankintahinta alv</t>
  </si>
  <si>
    <t>ALV:n osuus</t>
  </si>
  <si>
    <t>Koneen hankintahinta alv 0 % (Laskennan peruste)</t>
  </si>
  <si>
    <t>Jäännösarvo (Arvio koneen arvosta se myytäessä)</t>
  </si>
  <si>
    <t>Hank.hinta-jäännösarvo</t>
  </si>
  <si>
    <t>Kiinteät kustannukset €/v</t>
  </si>
  <si>
    <t>Kustannukset:</t>
  </si>
  <si>
    <t>Poisto ja korko yhteensä</t>
  </si>
  <si>
    <t>Korko%</t>
  </si>
  <si>
    <t>Korko</t>
  </si>
  <si>
    <t>Poisto</t>
  </si>
  <si>
    <t>Liikennevakuutus €/v</t>
  </si>
  <si>
    <t>Vahinkovakuutus Kasko (Osakasko:Palo- ja varkausvakuutus) €/v</t>
  </si>
  <si>
    <t>Muut</t>
  </si>
  <si>
    <t>Säilytyskustannus</t>
  </si>
  <si>
    <t>Kiinteät kustannukset yhteensä vuodessa</t>
  </si>
  <si>
    <t>Muuttuvat kustannukset €/v</t>
  </si>
  <si>
    <t>Kunnossapitokustannus €/v</t>
  </si>
  <si>
    <t>Polttoaineen kulutus l/h hinta/l</t>
  </si>
  <si>
    <t>Lisäaine</t>
  </si>
  <si>
    <t>%-määrä polttoaineesta</t>
  </si>
  <si>
    <t>Määrä yht l/v</t>
  </si>
  <si>
    <t>Hinta €/l</t>
  </si>
  <si>
    <t>CO2-päästöt kg/h</t>
  </si>
  <si>
    <t>AdBlue</t>
  </si>
  <si>
    <t>Muut:</t>
  </si>
  <si>
    <t>Rengasrikko varaus</t>
  </si>
  <si>
    <t>Muuttuvat kustannukset/vuosi</t>
  </si>
  <si>
    <t>Kustannukset yhteensä (kiinteät ja muuttuvat kustannukset) €/v</t>
  </si>
  <si>
    <t>Koneen työtunnin hinta (yrittäjän oma hinta)</t>
  </si>
  <si>
    <t>Voitto %</t>
  </si>
  <si>
    <t>Ajajan palkka</t>
  </si>
  <si>
    <t>tai yrittäjän oma palkka + yel</t>
  </si>
  <si>
    <t>Traktorissa</t>
  </si>
  <si>
    <t>Yhteensä (hinta alv 0%)</t>
  </si>
  <si>
    <t>Alv</t>
  </si>
  <si>
    <t>Yhteensä (asiakkaalta perittävä hinta)</t>
  </si>
  <si>
    <t>Siirry koneketjujen ketjuun urakan laskentaan tai tekemään vertailua</t>
  </si>
  <si>
    <t>Voit tehdä ha-hinnan laskelman yhdelle tai useammalle ketjulle Koneketjujen ketjutus laskelmalla</t>
  </si>
  <si>
    <t>Mika Mujunen versio</t>
  </si>
  <si>
    <t>New Holland</t>
  </si>
  <si>
    <t>MF</t>
  </si>
  <si>
    <t>Tässä voit tehdä ketjuista kokonaisketjun ja laskea ketjulle hinnan.</t>
  </si>
  <si>
    <t>Ketju 1</t>
  </si>
  <si>
    <t>Ketju 2</t>
  </si>
  <si>
    <t>Ketju 3</t>
  </si>
  <si>
    <t>Ketju 4</t>
  </si>
  <si>
    <t>Oletus on, että Ketjut ovat kytketty ketjuun (K).</t>
  </si>
  <si>
    <t>Kytke ketju isoon ketjuun: K/E</t>
  </si>
  <si>
    <t>Jos haluat vertailla eri ketjuja, voit poistaa ketjut yksitellen pois valitsemalla E.</t>
  </si>
  <si>
    <t>Ketjuta ketjut: Nimeä x</t>
  </si>
  <si>
    <t>Päästöt kg CO2/h</t>
  </si>
  <si>
    <t>Ketjusta 1</t>
  </si>
  <si>
    <t>Ketjusta 2</t>
  </si>
  <si>
    <t>Ketjusta 3</t>
  </si>
  <si>
    <t>Ketjusta 4</t>
  </si>
  <si>
    <t>Työprosessit</t>
  </si>
  <si>
    <t>Tuntia</t>
  </si>
  <si>
    <t>%</t>
  </si>
  <si>
    <t>Päästöt CO2 kg</t>
  </si>
  <si>
    <t>Päästöjen osuus %</t>
  </si>
  <si>
    <t>Työvaihe 1</t>
  </si>
  <si>
    <t>Työvaihe 2</t>
  </si>
  <si>
    <t>Työvaihe 3</t>
  </si>
  <si>
    <t>Työvaihe 4</t>
  </si>
  <si>
    <t>Työvaihe 5</t>
  </si>
  <si>
    <t>Työvaihe 6</t>
  </si>
  <si>
    <t>Työvaihe 7</t>
  </si>
  <si>
    <t>Työvaihe 8</t>
  </si>
  <si>
    <t>Työvaihe 9</t>
  </si>
  <si>
    <t>Työvaihe 10</t>
  </si>
  <si>
    <t>Työvaihe 11</t>
  </si>
  <si>
    <t>Työvaihe 12</t>
  </si>
  <si>
    <t>Työvaihe 13</t>
  </si>
  <si>
    <t>Työvaihe 14</t>
  </si>
  <si>
    <t>Työvaihe 15</t>
  </si>
  <si>
    <t>Koneketjujen tunnit  ja Eurot Yhteensä</t>
  </si>
  <si>
    <t>Tarvikkeet tai palvelut koko projektille</t>
  </si>
  <si>
    <t>Määrä</t>
  </si>
  <si>
    <t>a'hinta</t>
  </si>
  <si>
    <t>Lisää tarvike yms.määrät +  ostohinta</t>
  </si>
  <si>
    <t>Yhteensä tarvikkeet ja palvelut</t>
  </si>
  <si>
    <t>Myyntikate % tarvikkeille ja ostetuile palveluille: Myyntihinta muodostuu ostohinnasta</t>
  </si>
  <si>
    <t>Kaikki yhteensä Euroa</t>
  </si>
  <si>
    <t>Kaikki yhteeensä %</t>
  </si>
  <si>
    <t>Muistiinpanokohta: Kirjoita itsellesi muistiin asioita</t>
  </si>
  <si>
    <t>Laske ketjutuksen hinta haluamallesi laskentakohteelle:</t>
  </si>
  <si>
    <t>Muistio-ohje: Vieressä oikealla on paikka hehtaareille Määrä-kohdassa. Syöttämllä hehtaarit saat ha-hinnan. (Rivinvaihdon saat tässä pikamuistiossa painamalla ALT+ENTER
Huomaathan että voit kytkeä ketjuja päälle ja pois. Voit laskea ha-taksan täten vaikkapa koneketju kerrallaan tai yhdistää ne yhdeksiketjujen  ketjuksi.</t>
  </si>
  <si>
    <t>Selite</t>
  </si>
  <si>
    <t>€/yksikkö</t>
  </si>
  <si>
    <t>Syötä hehtaarit</t>
  </si>
  <si>
    <t>Syötä kg</t>
  </si>
  <si>
    <t>tn</t>
  </si>
  <si>
    <t>Ajetut km</t>
  </si>
  <si>
    <t>Tuloslaskelmakeräily</t>
  </si>
  <si>
    <t xml:space="preserve">Valitse laskelman käyttö: </t>
  </si>
  <si>
    <t>€ / yksikkö</t>
  </si>
  <si>
    <t>Tunnit</t>
  </si>
  <si>
    <t>€/tunti</t>
  </si>
  <si>
    <r>
      <t xml:space="preserve">Koneiden tuotot eli </t>
    </r>
    <r>
      <rPr>
        <b/>
        <sz val="12"/>
        <rFont val="Arial"/>
        <family val="2"/>
      </rPr>
      <t>liikevaihto</t>
    </r>
  </si>
  <si>
    <t>Tavarat,palvelut ketjussa (muovit yms.) myynti</t>
  </si>
  <si>
    <t>Tuotot eli liikevaihto yhteensä</t>
  </si>
  <si>
    <t>Koneiden aiheuttamat muuttuvat kustannukset</t>
  </si>
  <si>
    <t>Tavarat, palvelut ketjulle ostot</t>
  </si>
  <si>
    <t>Myyntikate</t>
  </si>
  <si>
    <t>Palkat</t>
  </si>
  <si>
    <t>Kiinteät kustannukset</t>
  </si>
  <si>
    <t>Tulos ennen veroja</t>
  </si>
  <si>
    <t>Verot</t>
  </si>
  <si>
    <t>Tulos</t>
  </si>
  <si>
    <t>Lasketaanko mukaan? K/E</t>
  </si>
  <si>
    <t>Kytke puimuriin: K/E</t>
  </si>
  <si>
    <t>Puimuri</t>
  </si>
  <si>
    <t>Sampo</t>
  </si>
  <si>
    <t>Tyäkone 1</t>
  </si>
  <si>
    <t>Puimurin puintikapasiteetti ha/h</t>
  </si>
  <si>
    <t>ha/h</t>
  </si>
  <si>
    <t>Puimuri pui päivässä h</t>
  </si>
  <si>
    <t>Puintipäivät pv / vuosi</t>
  </si>
  <si>
    <t>päivää</t>
  </si>
  <si>
    <t>%-osuus ha- puinneista</t>
  </si>
  <si>
    <t>Sato keskimäärin viljaa kg/ha</t>
  </si>
  <si>
    <t>kg/ha</t>
  </si>
  <si>
    <t>Sato keskimäärin muut kasvit 1 kg/ha</t>
  </si>
  <si>
    <t>Sato keskimäärin muut kasvit 2 kg/ha</t>
  </si>
  <si>
    <t>Puimurin puintikapasiteetti kg / pv (paine kuivurille)</t>
  </si>
  <si>
    <t>Kuivaukseen puit vuodessa</t>
  </si>
  <si>
    <t>Puimurin puintiaika h yhteensä</t>
  </si>
  <si>
    <t>tuntia</t>
  </si>
  <si>
    <t>Puimurin puimat hehtaarit</t>
  </si>
  <si>
    <t>Keskimääräinen hehtaaritaksa:</t>
  </si>
  <si>
    <t>€ / ha alv 0%</t>
  </si>
  <si>
    <t>€ / ha sis alv.</t>
  </si>
  <si>
    <r>
      <rPr>
        <b/>
        <sz val="10"/>
        <rFont val="Arial"/>
        <family val="2"/>
      </rPr>
      <t>Viljan kuivurilaskuri</t>
    </r>
    <r>
      <rPr>
        <sz val="10"/>
        <rFont val="Arial"/>
        <family val="2"/>
      </rPr>
      <t xml:space="preserve"> sisältää 4 eri laskuria: 1. </t>
    </r>
    <r>
      <rPr>
        <b/>
        <sz val="10"/>
        <rFont val="Arial"/>
        <family val="2"/>
      </rPr>
      <t>Tuntihintalaskurin</t>
    </r>
    <r>
      <rPr>
        <sz val="10"/>
        <rFont val="Arial"/>
        <family val="2"/>
      </rPr>
      <t>, jolla saat selville kuivurin tuntihinnan; 2.</t>
    </r>
    <r>
      <rPr>
        <b/>
        <sz val="10"/>
        <rFont val="Arial"/>
        <family val="2"/>
      </rPr>
      <t xml:space="preserve"> Kuivurin kokolaskurin</t>
    </r>
    <r>
      <rPr>
        <sz val="10"/>
        <rFont val="Arial"/>
        <family val="2"/>
      </rPr>
      <t>, jolla selvität kuivurin kokotarpeen; 3.</t>
    </r>
    <r>
      <rPr>
        <b/>
        <sz val="10"/>
        <rFont val="Arial"/>
        <family val="2"/>
      </rPr>
      <t xml:space="preserve"> Kuivurin ajankäyttölaskurin</t>
    </r>
    <r>
      <rPr>
        <sz val="10"/>
        <rFont val="Arial"/>
        <family val="2"/>
      </rPr>
      <t xml:space="preserve"> , jolla selvität käyttötunnit; 4. </t>
    </r>
    <r>
      <rPr>
        <b/>
        <sz val="10"/>
        <rFont val="Arial"/>
        <family val="2"/>
      </rPr>
      <t>Kuivauksen öljyntarpeen laskurin</t>
    </r>
    <r>
      <rPr>
        <sz val="10"/>
        <rFont val="Arial"/>
        <family val="2"/>
      </rPr>
      <t>.</t>
    </r>
  </si>
  <si>
    <t>1. Kuivurin kustannuslaskelma</t>
  </si>
  <si>
    <t>Lasketaanko rakennus mukaan? K/E</t>
  </si>
  <si>
    <t>Kytke kuivuriin: K/E</t>
  </si>
  <si>
    <t>Viljankuivuri 1</t>
  </si>
  <si>
    <t>Pakettikuivaamo</t>
  </si>
  <si>
    <t>Kuivurikoneisto</t>
  </si>
  <si>
    <t>Siilot (varastona)</t>
  </si>
  <si>
    <t>Lajiitelija</t>
  </si>
  <si>
    <t>Tilavuus</t>
  </si>
  <si>
    <t>Laske kokolaskurilla</t>
  </si>
  <si>
    <t>m3</t>
  </si>
  <si>
    <t>hl</t>
  </si>
  <si>
    <t>Arvioitu käyttöaika vuosina</t>
  </si>
  <si>
    <t>Laske Ajankäyttölaskurilla</t>
  </si>
  <si>
    <t>Hankintahinta alv</t>
  </si>
  <si>
    <t>Hankintahinta alv 0 % (Laskennan peruste)</t>
  </si>
  <si>
    <t>Jäännösarvo (Arvio arvosta se myytäessä)</t>
  </si>
  <si>
    <t>Vakuutus €/v</t>
  </si>
  <si>
    <t>Polttoaineen kulutus l/h | hinta/l</t>
  </si>
  <si>
    <t>Katso laskuri</t>
  </si>
  <si>
    <t>Tai biopolttoaine Mwh/h|hinta/Mwh</t>
  </si>
  <si>
    <t>Sähköenergiaa h | €/h</t>
  </si>
  <si>
    <t>Katso sähköenergiaslaskuri</t>
  </si>
  <si>
    <t>Kuivurin työtunnin hinta (yrittäjän oma hinta)</t>
  </si>
  <si>
    <t>Voitto % (kuivaaminen vieraalle)</t>
  </si>
  <si>
    <t>Työlle palkka h ja €/h</t>
  </si>
  <si>
    <t>hl paino</t>
  </si>
  <si>
    <t>per kg</t>
  </si>
  <si>
    <t>Kuivauksen hinta € / h alv 0%</t>
  </si>
  <si>
    <t>Erän kuivaus kestää h</t>
  </si>
  <si>
    <t>Käsisyöttö</t>
  </si>
  <si>
    <t>h/erä</t>
  </si>
  <si>
    <t>Hinta € / erä alv 0%</t>
  </si>
  <si>
    <t>YHT.</t>
  </si>
  <si>
    <t>Erän jäähdytys kestää h</t>
  </si>
  <si>
    <r>
      <t xml:space="preserve">Hinta € / erä alv 0% </t>
    </r>
    <r>
      <rPr>
        <b/>
        <sz val="8"/>
        <rFont val="Arial"/>
        <family val="2"/>
      </rPr>
      <t>(kuivausenergia pois)</t>
    </r>
  </si>
  <si>
    <t>Hinta € / kg alv 0%</t>
  </si>
  <si>
    <t>Kuivauserän koko:</t>
  </si>
  <si>
    <t>Hinta € / tonni alv 0%</t>
  </si>
  <si>
    <t>2. Kuivurin kokolaskuri (arvio)</t>
  </si>
  <si>
    <t>3. Kuivurin ajankäyttölaskuri (arvio)</t>
  </si>
  <si>
    <r>
      <t xml:space="preserve">Tilavuuden mitoitus </t>
    </r>
    <r>
      <rPr>
        <b/>
        <sz val="11"/>
        <rFont val="Arial"/>
        <family val="2"/>
      </rPr>
      <t>m</t>
    </r>
    <r>
      <rPr>
        <b/>
        <vertAlign val="superscript"/>
        <sz val="11"/>
        <rFont val="Arial"/>
        <family val="2"/>
      </rPr>
      <t>3</t>
    </r>
    <r>
      <rPr>
        <sz val="11"/>
        <rFont val="Arial"/>
        <family val="2"/>
      </rPr>
      <t xml:space="preserve"> puimurin päiväpuintikapasiteetti huomioiden</t>
    </r>
  </si>
  <si>
    <t>Tilan oma sato</t>
  </si>
  <si>
    <t>Pinta-ala</t>
  </si>
  <si>
    <t>Sato kg/ha</t>
  </si>
  <si>
    <t>Tilavuuspaino = Hehtolitrapaino kg/100 l (keskim. kuivana)</t>
  </si>
  <si>
    <t>kg / hl</t>
  </si>
  <si>
    <r>
      <t>eli tilavuuspaino kg/m</t>
    </r>
    <r>
      <rPr>
        <vertAlign val="superscript"/>
        <sz val="10"/>
        <rFont val="Arial"/>
        <family val="2"/>
      </rPr>
      <t>3</t>
    </r>
  </si>
  <si>
    <r>
      <t>kg / m</t>
    </r>
    <r>
      <rPr>
        <vertAlign val="superscript"/>
        <sz val="10"/>
        <rFont val="Arial"/>
        <family val="2"/>
      </rPr>
      <t>3</t>
    </r>
  </si>
  <si>
    <t>Kuivattava sato yhteensä</t>
  </si>
  <si>
    <t>Kuivattava omaa satoa yht. kg</t>
  </si>
  <si>
    <t>kg / vuosi</t>
  </si>
  <si>
    <t>Rahtiuivausta kg / vuosi</t>
  </si>
  <si>
    <t>litraa</t>
  </si>
  <si>
    <t>Kuivattavaa satoa yhteensä kg / v</t>
  </si>
  <si>
    <t>Puintikosteus %</t>
  </si>
  <si>
    <t>Puimurien puintikapasiteetti ha/h</t>
  </si>
  <si>
    <t>ha / h</t>
  </si>
  <si>
    <t>Tavoite varastointikosteus %</t>
  </si>
  <si>
    <t>Puimurit pui päivässä h</t>
  </si>
  <si>
    <t>Vettä poistetaan kuivaamalla:</t>
  </si>
  <si>
    <t>Puimurien puintikapasiteetti kg / pv (paine kuivurille)</t>
  </si>
  <si>
    <t>kg /pv</t>
  </si>
  <si>
    <t>Kuivumisen nopeus %/h</t>
  </si>
  <si>
    <t>% / h</t>
  </si>
  <si>
    <t>kg / ha</t>
  </si>
  <si>
    <t>Kuivurin käyntiaika h/kuivauserä</t>
  </si>
  <si>
    <t>Kuivaukseen tulossa viljaa</t>
  </si>
  <si>
    <t>kg / pv</t>
  </si>
  <si>
    <t>Hehtolitrapaino keskim.</t>
  </si>
  <si>
    <t>Kuivurin kuivauserien lkm/vrk</t>
  </si>
  <si>
    <t>erää / vrk</t>
  </si>
  <si>
    <t>kg / erä</t>
  </si>
  <si>
    <t>Kuivurilla kuivataan satoa hl /vuosi</t>
  </si>
  <si>
    <t>hl / erä</t>
  </si>
  <si>
    <t>eli m3</t>
  </si>
  <si>
    <t>litraa / erä</t>
  </si>
  <si>
    <t>Kuivurin koko</t>
  </si>
  <si>
    <r>
      <t>Puimuria kohden on kuivurikapasiteetin oltava m</t>
    </r>
    <r>
      <rPr>
        <b/>
        <vertAlign val="superscript"/>
        <sz val="10"/>
        <rFont val="Arial"/>
        <family val="2"/>
      </rPr>
      <t>3</t>
    </r>
    <r>
      <rPr>
        <b/>
        <sz val="10"/>
        <rFont val="Arial"/>
        <family val="2"/>
      </rPr>
      <t>/vrk:</t>
    </r>
  </si>
  <si>
    <r>
      <t>m</t>
    </r>
    <r>
      <rPr>
        <vertAlign val="superscript"/>
        <sz val="10"/>
        <rFont val="Arial"/>
        <family val="2"/>
      </rPr>
      <t xml:space="preserve">3 </t>
    </r>
    <r>
      <rPr>
        <sz val="10"/>
        <rFont val="Arial"/>
        <family val="2"/>
      </rPr>
      <t>/ erä / vrk</t>
    </r>
  </si>
  <si>
    <t>Kuivurin koko hl</t>
  </si>
  <si>
    <t>Puimurien puintiaika h yhteensä</t>
  </si>
  <si>
    <t>Puimurien puintiaika pv yhteensä</t>
  </si>
  <si>
    <t>Puintiaikaa pv:</t>
  </si>
  <si>
    <t>pv</t>
  </si>
  <si>
    <t>Kuivurilla kuivauseriä kpl/vuosi</t>
  </si>
  <si>
    <t>Puimurilta kuivaamolle siirtokertoja?</t>
  </si>
  <si>
    <t>Kuivurin käyttö yhteensä h / vuosi</t>
  </si>
  <si>
    <t xml:space="preserve"> Perävaunun koko m3?</t>
  </si>
  <si>
    <r>
      <t>m</t>
    </r>
    <r>
      <rPr>
        <vertAlign val="superscript"/>
        <sz val="10"/>
        <rFont val="Arial"/>
        <family val="2"/>
      </rPr>
      <t xml:space="preserve">3 </t>
    </r>
    <r>
      <rPr>
        <sz val="10"/>
        <rFont val="Arial"/>
        <family val="2"/>
      </rPr>
      <t>/ vaunu</t>
    </r>
  </si>
  <si>
    <t>Päivää / vuosi</t>
  </si>
  <si>
    <t>h/pv</t>
  </si>
  <si>
    <t>Traktorin perävaunu kippaa krt / päivä</t>
  </si>
  <si>
    <t>krt / päivä</t>
  </si>
  <si>
    <t>Kuivausaika h / tonni</t>
  </si>
  <si>
    <t>h  / tonni</t>
  </si>
  <si>
    <t>Traktorin perävaunu kippaa krt / koko sato</t>
  </si>
  <si>
    <t>krt / koko sato</t>
  </si>
  <si>
    <t>Viljaa kuivuu Tonnia / h</t>
  </si>
  <si>
    <t>tn / h</t>
  </si>
  <si>
    <t>4. Viljankuivauksen polttoöljyn ja sähköenergian tarvelaskenta kuivurille (arvio)</t>
  </si>
  <si>
    <r>
      <t xml:space="preserve">5. Biopolttoaineen tarve </t>
    </r>
    <r>
      <rPr>
        <b/>
        <sz val="10"/>
        <rFont val="Arial"/>
        <family val="2"/>
      </rPr>
      <t>(polttoöljyn korvaaja)</t>
    </r>
    <r>
      <rPr>
        <b/>
        <sz val="12"/>
        <rFont val="Arial"/>
        <family val="2"/>
      </rPr>
      <t xml:space="preserve"> (arvio)</t>
    </r>
  </si>
  <si>
    <t>Energiaa MWh/tn</t>
  </si>
  <si>
    <t>Energiaan tarve MWh</t>
  </si>
  <si>
    <t>Viljahehtaarit</t>
  </si>
  <si>
    <t>Polttoöljyä tarvitaan</t>
  </si>
  <si>
    <t>Puintikosteus:</t>
  </si>
  <si>
    <r>
      <t xml:space="preserve">Polttoöljyn </t>
    </r>
    <r>
      <rPr>
        <b/>
        <u/>
        <sz val="10"/>
        <rFont val="Arial"/>
        <family val="2"/>
      </rPr>
      <t>korvaaminen</t>
    </r>
    <r>
      <rPr>
        <b/>
        <sz val="10"/>
        <rFont val="Arial"/>
        <family val="2"/>
      </rPr>
      <t xml:space="preserve"> hakkeella:</t>
    </r>
  </si>
  <si>
    <t>Tavoite varastointikosteus</t>
  </si>
  <si>
    <r>
      <t>Hakkeen energiasisältö MWh / i-m</t>
    </r>
    <r>
      <rPr>
        <vertAlign val="superscript"/>
        <sz val="10"/>
        <rFont val="Arial"/>
        <family val="2"/>
      </rPr>
      <t>3</t>
    </r>
  </si>
  <si>
    <t>Satotaso keskimäärin kuivana kg/ha</t>
  </si>
  <si>
    <t>Hakkeen hyötysuhde</t>
  </si>
  <si>
    <t>jolloin haketta tarvitaan:</t>
  </si>
  <si>
    <t>Suuntaa antava arvio, joka riippuu uunista ja hakkeesta</t>
  </si>
  <si>
    <t xml:space="preserve">Kuivattava sato yhteensä </t>
  </si>
  <si>
    <t>hl paino:</t>
  </si>
  <si>
    <t>Kuivurin tunnit vuodessa</t>
  </si>
  <si>
    <t>h/v</t>
  </si>
  <si>
    <t>%/h</t>
  </si>
  <si>
    <t>Polttoainetarvearvio i-m3/tunti</t>
  </si>
  <si>
    <r>
      <t>i-m</t>
    </r>
    <r>
      <rPr>
        <vertAlign val="superscript"/>
        <sz val="10"/>
        <rFont val="Arial"/>
        <family val="2"/>
      </rPr>
      <t xml:space="preserve">3 </t>
    </r>
    <r>
      <rPr>
        <sz val="10"/>
        <rFont val="Arial"/>
        <family val="2"/>
      </rPr>
      <t>/ h</t>
    </r>
  </si>
  <si>
    <t>Polttoöljyn tiheys g/l</t>
  </si>
  <si>
    <t>g/l</t>
  </si>
  <si>
    <t>Kuivuri käyttää öljyä kuivaamiseen g/vesikg</t>
  </si>
  <si>
    <t>g/dm3 (litra)</t>
  </si>
  <si>
    <t>kpl / vuosi</t>
  </si>
  <si>
    <t>Polttoöljyn korvaaminen:</t>
  </si>
  <si>
    <t>Maakaasu tms</t>
  </si>
  <si>
    <t>Aikaa kuivaamiseen kuluu h / kuivauserä</t>
  </si>
  <si>
    <t>h / kuivauserä</t>
  </si>
  <si>
    <t>MWh/tonni</t>
  </si>
  <si>
    <t>Kuivurin käyntiaika yhteensä tuntia vuodessa</t>
  </si>
  <si>
    <t>h / vuosi</t>
  </si>
  <si>
    <t>Hyötysuhde</t>
  </si>
  <si>
    <t>Jäähdytysaika-arvio h/kuivauserä | Kuivatustunnit</t>
  </si>
  <si>
    <t>tonnia</t>
  </si>
  <si>
    <t>Arvio</t>
  </si>
  <si>
    <t>Aikaa kuivaamiseen kuluu h / kuivauserä jäähdytys huomioiden</t>
  </si>
  <si>
    <t>Polttoaineen tarvearvio tn/tunti</t>
  </si>
  <si>
    <r>
      <t>tn</t>
    </r>
    <r>
      <rPr>
        <vertAlign val="superscript"/>
        <sz val="10"/>
        <rFont val="Arial"/>
        <family val="2"/>
      </rPr>
      <t xml:space="preserve"> </t>
    </r>
    <r>
      <rPr>
        <sz val="10"/>
        <rFont val="Arial"/>
        <family val="2"/>
      </rPr>
      <t>/ h</t>
    </r>
  </si>
  <si>
    <t>Kuivurin käyntiaika + jäähdytysaika-arvio</t>
  </si>
  <si>
    <t>l / h</t>
  </si>
  <si>
    <t>Sähkömoottori(e)n teho(t) yhteensä kW</t>
  </si>
  <si>
    <t>kW</t>
  </si>
  <si>
    <t>Sähkömoottorin käyntitunnit</t>
  </si>
  <si>
    <t>Sähköenergian tarvearvio</t>
  </si>
  <si>
    <t>kWh/h</t>
  </si>
  <si>
    <t>Polttoöljyn tarve tilalla l / kuivauserä:</t>
  </si>
  <si>
    <t>l / erä</t>
  </si>
  <si>
    <t>Polttoöljyn tarve tilalla kg / vuosi:</t>
  </si>
  <si>
    <t>kg / vuosi  arvio</t>
  </si>
  <si>
    <t>Polttoöljyn tarve tilalla l / vuosi:</t>
  </si>
  <si>
    <t>l / vuosi  arvio</t>
  </si>
  <si>
    <t>Litraa/ha</t>
  </si>
  <si>
    <t>litraa/ha arvio</t>
  </si>
  <si>
    <t>Litraa/kg</t>
  </si>
  <si>
    <t>litraa/kg arvio</t>
  </si>
  <si>
    <t>Litraa/kuivaustunti</t>
  </si>
  <si>
    <t>litraa / h arvio</t>
  </si>
  <si>
    <t xml:space="preserve">Lähde ja innoittaja: </t>
  </si>
  <si>
    <t>Maatilakuivurit; HAUTALA M., JOKINIEMI T. JA AHOKAS J.; Helsingin yliopisto 2013</t>
  </si>
  <si>
    <t>Paikannusjärjestelmä</t>
  </si>
  <si>
    <t>Telat</t>
  </si>
  <si>
    <t>Lavettikuljetus yms</t>
  </si>
  <si>
    <t>Lasketaanko auto mukaan? K/E</t>
  </si>
  <si>
    <t>Kytke autoon : K/E</t>
  </si>
  <si>
    <t>Kuorma-auto</t>
  </si>
  <si>
    <t>Volvo</t>
  </si>
  <si>
    <t>Kuormain</t>
  </si>
  <si>
    <t>Km/vuosi</t>
  </si>
  <si>
    <t>Tuntia/vuosi</t>
  </si>
  <si>
    <t>Liikennevakuutus/bonus%/€/v</t>
  </si>
  <si>
    <t>Yrityksen peruskulut</t>
  </si>
  <si>
    <t>Polttoaineen kulutus l/100 km hinta/l</t>
  </si>
  <si>
    <t>Palkat h/vuosi; €/h; %-osuus</t>
  </si>
  <si>
    <t>km-hinta</t>
  </si>
  <si>
    <t>tuntihinta</t>
  </si>
  <si>
    <t>Koneen hinta (yrittäjän oma hinta)</t>
  </si>
  <si>
    <t>kk</t>
  </si>
  <si>
    <t>€/kk</t>
  </si>
  <si>
    <t>vk/kk</t>
  </si>
  <si>
    <t>€/vk</t>
  </si>
  <si>
    <t>pv/vk</t>
  </si>
  <si>
    <t>€/pv</t>
  </si>
  <si>
    <t>€/h</t>
  </si>
  <si>
    <t>NewHolland</t>
  </si>
  <si>
    <t>Kaava: (Bruttohinta/(100%+Alv %)*Alv %</t>
  </si>
  <si>
    <t>Liikennevakuutus/bonus%/€</t>
  </si>
  <si>
    <t>vuodessa</t>
  </si>
  <si>
    <t>Vahinkovakuutus Kasko (Osakasko:Palo- ja varkausvakuutus)</t>
  </si>
  <si>
    <t>Muuttuvat kustannukset</t>
  </si>
  <si>
    <t>Kunnossapitokustannus</t>
  </si>
  <si>
    <t>Kustannukset yhteensä (kiinteät ja muuttuvat kustannukset)</t>
  </si>
  <si>
    <t>tai yrittäjän oma palkka + myel</t>
  </si>
  <si>
    <t>Yhteensä (hinta ulos alv 0%)</t>
  </si>
  <si>
    <t>Moto</t>
  </si>
  <si>
    <t>Ponsse</t>
  </si>
  <si>
    <t>Renkaat, telat + muut</t>
  </si>
  <si>
    <t>Ajajan palkka sivukuluineen</t>
  </si>
  <si>
    <t>Vaihteluväli</t>
  </si>
  <si>
    <t>Moton ja kuskin hakkuukapasiteetti m3/h (riippuu kohteesta ja puutavaralajista)</t>
  </si>
  <si>
    <t>-</t>
  </si>
  <si>
    <t>Moto tuottavassa työssä h/pv keskimäärin</t>
  </si>
  <si>
    <t>Työpäivät pv / vuosi keskimäärin</t>
  </si>
  <si>
    <t>Moton ja kuskin kyvyt ja kapasiteetti: m3 / vuosi (laskennallinen)</t>
  </si>
  <si>
    <t>Moton kyky ja kapasiteetti m3 / pv</t>
  </si>
  <si>
    <t>Moton hakkuuaika h yhteensä</t>
  </si>
  <si>
    <t>Keskimääräinen m3 taksa:</t>
  </si>
  <si>
    <t>€ / m3 alv 0%</t>
  </si>
  <si>
    <t>€ / m3 sis alv.</t>
  </si>
  <si>
    <t>Ajokone</t>
  </si>
  <si>
    <t>AdBlue 1</t>
  </si>
  <si>
    <r>
      <t xml:space="preserve">Kapasiteetti </t>
    </r>
    <r>
      <rPr>
        <b/>
        <sz val="10"/>
        <rFont val="Arial"/>
        <family val="2"/>
      </rPr>
      <t>m3/h</t>
    </r>
    <r>
      <rPr>
        <sz val="10"/>
        <rFont val="Arial"/>
        <family val="2"/>
      </rPr>
      <t xml:space="preserve"> (riippuu kohteesta ja puutavaralajista)</t>
    </r>
  </si>
  <si>
    <t>Ajaa päivässä h</t>
  </si>
  <si>
    <t>Ajopäivät pv / vuosi</t>
  </si>
  <si>
    <t>Ajokapasiteetti m3 / vuosi</t>
  </si>
  <si>
    <t>Kapasiteetti m3 / pv</t>
  </si>
  <si>
    <t>Ajokoneen h yhteensä</t>
  </si>
  <si>
    <t>Ajokone 2</t>
  </si>
  <si>
    <t>Ponsse 2</t>
  </si>
  <si>
    <t>Koneiden ketjutus urakkalaskentaa varten</t>
  </si>
  <si>
    <t>Työsaavutus m3/h</t>
  </si>
  <si>
    <t>Ajomatka-arvio (tiedoksi)</t>
  </si>
  <si>
    <r>
      <t>Kuorman koko keskim. m</t>
    </r>
    <r>
      <rPr>
        <b/>
        <vertAlign val="superscript"/>
        <sz val="8"/>
        <rFont val="Arial"/>
        <family val="2"/>
      </rPr>
      <t>3</t>
    </r>
  </si>
  <si>
    <t>€ total</t>
  </si>
  <si>
    <r>
      <t>€ / m</t>
    </r>
    <r>
      <rPr>
        <b/>
        <vertAlign val="superscript"/>
        <sz val="10"/>
        <rFont val="Arial"/>
        <family val="2"/>
      </rPr>
      <t>3</t>
    </r>
  </si>
  <si>
    <t>Ajokertoja kpl</t>
  </si>
  <si>
    <t>Arvioi (siirto) ajonopeus km/h</t>
  </si>
  <si>
    <t>%-osuus</t>
  </si>
  <si>
    <t>MäK</t>
  </si>
  <si>
    <t>KuK</t>
  </si>
  <si>
    <t>KoK</t>
  </si>
  <si>
    <t>MäT</t>
  </si>
  <si>
    <t>KuT</t>
  </si>
  <si>
    <t>KoT</t>
  </si>
  <si>
    <t>Energiapuu seka</t>
  </si>
  <si>
    <t>Kytke eli ketjuta koneet ketjut laittamalla K. Tai kytke kone pois ketjusta valitsemalla E.</t>
  </si>
  <si>
    <t>KoneKetju 1</t>
  </si>
  <si>
    <t>KoneKetju 2</t>
  </si>
  <si>
    <t>KoneKetju 3</t>
  </si>
  <si>
    <t>Ketjuta ketjut: Anna nimi</t>
  </si>
  <si>
    <t>Järjestys</t>
  </si>
  <si>
    <t>Työvaihe 11 kirjoita tarvittaessa itse</t>
  </si>
  <si>
    <t>Työvaihe 12 kirjoita tarvittaessa itse</t>
  </si>
  <si>
    <t>Työvaihe 13 kirjoita tarvittaessa itse</t>
  </si>
  <si>
    <t>Työvaihe 14 kirjoita  tarvittaessa itse</t>
  </si>
  <si>
    <t>Ketjutettu koneet:</t>
  </si>
  <si>
    <t>Arvio urakan kokonaishinnasta €</t>
  </si>
  <si>
    <t>Koneiden ketjutuksesta sait €</t>
  </si>
  <si>
    <t xml:space="preserve">Ero </t>
  </si>
  <si>
    <t>Tuntien kertymäarvio puutavaralajeittain:</t>
  </si>
  <si>
    <t>Syöttämäsi tunnit ketjutukseen</t>
  </si>
  <si>
    <t xml:space="preserve">Tuloslaskelmakeräily </t>
  </si>
  <si>
    <t>Kaikki yhteensä</t>
  </si>
  <si>
    <t>Muut muuttuvat</t>
  </si>
  <si>
    <t>Husqvarna</t>
  </si>
  <si>
    <t>Honda</t>
  </si>
  <si>
    <t>Yamaha</t>
  </si>
  <si>
    <t>Työtunnit (h) lajeittain laskenta:</t>
  </si>
  <si>
    <r>
      <t>Määrä m</t>
    </r>
    <r>
      <rPr>
        <b/>
        <vertAlign val="superscript"/>
        <sz val="9"/>
        <rFont val="Arial"/>
        <family val="2"/>
      </rPr>
      <t>3</t>
    </r>
    <r>
      <rPr>
        <b/>
        <sz val="9"/>
        <rFont val="Arial"/>
        <family val="2"/>
      </rPr>
      <t xml:space="preserve"> (puuta)</t>
    </r>
  </si>
  <si>
    <t>Ajomatka km</t>
  </si>
  <si>
    <t>Ajomatkan vaikutus h</t>
  </si>
  <si>
    <r>
      <t>Alla näet kustannusvaikutteisen hinnan puutavaralajeittain eri koneille. Sinun tulisi laskuttaa vähintään mainittu €-määrä / m</t>
    </r>
    <r>
      <rPr>
        <vertAlign val="superscript"/>
        <sz val="10"/>
        <rFont val="Arial"/>
        <family val="2"/>
      </rPr>
      <t>3</t>
    </r>
    <r>
      <rPr>
        <sz val="10"/>
        <rFont val="Arial"/>
        <family val="2"/>
      </rPr>
      <t>. Tämä on pohjana hintaneuvotteluille.</t>
    </r>
  </si>
  <si>
    <t>Yhteensä tuntia</t>
  </si>
  <si>
    <t>Yhtensä €/m3</t>
  </si>
  <si>
    <t>Yhteensä  urakka €</t>
  </si>
  <si>
    <t>Hinnoittelukerroin</t>
  </si>
  <si>
    <t>Jos suuri ero, johtu se yleesä maasto ja hintakertoimista, jotka vaikuttavat kuutiotaksaan mutta eivät ketjutuksen tuntihintaan.</t>
  </si>
  <si>
    <t>Jos ero pieni, kyseessä pyöristysero. Ei merkitystä.</t>
  </si>
  <si>
    <t>Tai olet lisännyt extratunteja ketjutukseen, joita ei ole huomioitu m3-taksassa.</t>
  </si>
  <si>
    <t>Olosuhdevaikeuskerroin</t>
  </si>
  <si>
    <t>Keskiarvo</t>
  </si>
  <si>
    <t>€</t>
  </si>
  <si>
    <t>Muut kiinteät kustannukset</t>
  </si>
  <si>
    <t>Puutavaralajit</t>
  </si>
  <si>
    <t>Koneiden siirto kohteeseen</t>
  </si>
  <si>
    <t>Koneiden siirtotyö kohteelle</t>
  </si>
  <si>
    <t>Vaihe 1/5</t>
  </si>
  <si>
    <t>Vaihe 2/5</t>
  </si>
  <si>
    <t>Vaihe 3/5</t>
  </si>
  <si>
    <t>Vaihe 4/5</t>
  </si>
  <si>
    <t xml:space="preserve">Tee pikavertailu. </t>
  </si>
  <si>
    <t>Oikealla näet urakan koosteen kokonaishinnan ja ketjutushinnan. Vertaile lukuja</t>
  </si>
  <si>
    <t>Tai olet lisännyt Koneiden siirto kohteeseen kustannuksen (TEE SE!), joka ei ole m3-taksassa mukana!</t>
  </si>
  <si>
    <t>Vaihe 5/5</t>
  </si>
  <si>
    <t>Tarkastele urakkaa Tuloslaskelmalta. Saitko urakan kannattavaksi?</t>
  </si>
  <si>
    <r>
      <t xml:space="preserve">Kuljettajien ja koneiden tuottokyky, työsaavutus </t>
    </r>
    <r>
      <rPr>
        <b/>
        <sz val="11"/>
        <rFont val="Arial"/>
        <family val="2"/>
      </rPr>
      <t>m</t>
    </r>
    <r>
      <rPr>
        <b/>
        <vertAlign val="superscript"/>
        <sz val="11"/>
        <rFont val="Arial"/>
        <family val="2"/>
      </rPr>
      <t>3</t>
    </r>
    <r>
      <rPr>
        <b/>
        <sz val="11"/>
        <rFont val="Arial"/>
        <family val="2"/>
      </rPr>
      <t xml:space="preserve">/h halutulle </t>
    </r>
    <r>
      <rPr>
        <sz val="11"/>
        <rFont val="Arial"/>
        <family val="2"/>
      </rPr>
      <t xml:space="preserve">määrälle. Syötä vähintään yhden rivn tiedot, mutta voit halutessasi eritellä arvioidun puumäärän </t>
    </r>
    <r>
      <rPr>
        <sz val="11"/>
        <color rgb="FFFF0000"/>
        <rFont val="Arial"/>
        <family val="2"/>
      </rPr>
      <t>vaikeuden ja ajomatkan</t>
    </r>
    <r>
      <rPr>
        <sz val="11"/>
        <rFont val="Arial"/>
        <family val="2"/>
      </rPr>
      <t xml:space="preserve"> mukaan puutavaralajeittain</t>
    </r>
  </si>
  <si>
    <t>Laskentavaihe 1</t>
  </si>
  <si>
    <t>Laskentavaihe 2</t>
  </si>
  <si>
    <t>Laskentavaihe 3</t>
  </si>
  <si>
    <t>Laskentavaihe 4</t>
  </si>
  <si>
    <t>Laskentavaihe 5</t>
  </si>
  <si>
    <r>
      <t>Päälle (</t>
    </r>
    <r>
      <rPr>
        <b/>
        <sz val="8"/>
        <rFont val="Arial"/>
        <family val="2"/>
      </rPr>
      <t>X</t>
    </r>
    <r>
      <rPr>
        <sz val="8"/>
        <rFont val="Arial"/>
        <family val="2"/>
      </rPr>
      <t>) / Pois</t>
    </r>
  </si>
  <si>
    <t>Ajokoneiden ajomatkan ja sen kustannuksen huomiointi (ei motolle)</t>
  </si>
  <si>
    <t>Laskentavaihe 6</t>
  </si>
  <si>
    <t>Laskentavaihe 7</t>
  </si>
  <si>
    <t>Laskentavaihe 8</t>
  </si>
  <si>
    <t>Laskentavaihe 9</t>
  </si>
  <si>
    <t>Laskentavaihe 10</t>
  </si>
  <si>
    <t>Laskentavaihe 11</t>
  </si>
  <si>
    <t>Laskentavaihe 12</t>
  </si>
  <si>
    <t>Laskentavaihe 13</t>
  </si>
  <si>
    <t>Laskentavaihe 14</t>
  </si>
  <si>
    <t>Laskentavaihe 15</t>
  </si>
  <si>
    <t>Laskentavaihe 16</t>
  </si>
  <si>
    <t>Laskentavaihe 17</t>
  </si>
  <si>
    <t>Laskentavaihe 18</t>
  </si>
  <si>
    <t>Lisää kullekin koneelle tunnit työvaiheisiin. Tuntiehdotus siirtyy laskelmalle.</t>
  </si>
  <si>
    <t>Muista lisätä koneiden siirto (esim. vuokralavetti) €!</t>
  </si>
  <si>
    <t>Muut yrityksen kulut hallinto yms. Jaa yhteiskustannus koneille</t>
  </si>
  <si>
    <t>Laskutettavat tunnit (koneella tyhjäkäyntiä, siirtoajoa, omia töitä)</t>
  </si>
  <si>
    <t>Hyötytunnit</t>
  </si>
  <si>
    <t>Moton tuntihinta</t>
  </si>
  <si>
    <t>Ajokoneen 1 tuntihinta</t>
  </si>
  <si>
    <t>Ajokoneen 2 tuntihinta</t>
  </si>
  <si>
    <t>Kaivurin tuntihinta</t>
  </si>
  <si>
    <t>Kuorma-autnn (esim. lavetti) km-hinta</t>
  </si>
  <si>
    <t>Mönkijä</t>
  </si>
  <si>
    <t>Siirry metsäkoneketjujen ketjutuksen tekoon ja urakkahinnan määrittelyyn</t>
  </si>
  <si>
    <r>
      <t>Vaiheessa 2/5 kytket koneet päälle tai pois. Oletuksena on, että Moto j aajokone 1 ovat kytkettyinä ketjuun.</t>
    </r>
    <r>
      <rPr>
        <b/>
        <sz val="11"/>
        <color rgb="FFFF0000"/>
        <rFont val="Arial"/>
        <family val="2"/>
      </rPr>
      <t xml:space="preserve"> Kytke tarvittaessa ajokone2 ketjuun mukaan kohdassa 2/5.</t>
    </r>
  </si>
  <si>
    <t>Siirry Metsäkoneketjujen ketjutus laskelmalle (ojhje alla)</t>
  </si>
  <si>
    <t>Ketjuta ketjut: Tien hoito koneketjutus</t>
  </si>
  <si>
    <t>Työlaji</t>
  </si>
  <si>
    <t>Lanaus</t>
  </si>
  <si>
    <t>Työtunnit (h) työlajeittain laskenta:</t>
  </si>
  <si>
    <t>Tien pituus km</t>
  </si>
  <si>
    <t>€/km keskiarvo</t>
  </si>
  <si>
    <t>Työ 5</t>
  </si>
  <si>
    <t>Työ 6</t>
  </si>
  <si>
    <t>Työ 7</t>
  </si>
  <si>
    <t>Toimisto</t>
  </si>
  <si>
    <t>Markkinointi</t>
  </si>
  <si>
    <t>Työpäiviä yhteensä</t>
  </si>
  <si>
    <t>Vapaata yhteensä</t>
  </si>
  <si>
    <t>Työpäivien lukumäärä työlajeittain</t>
  </si>
  <si>
    <t>Päivää</t>
  </si>
  <si>
    <t>Tammikuu</t>
  </si>
  <si>
    <t>Helmikuu</t>
  </si>
  <si>
    <t>Maaliskuu</t>
  </si>
  <si>
    <t>Huhtikuu</t>
  </si>
  <si>
    <t>Toukokuu</t>
  </si>
  <si>
    <t>Kesäkuu</t>
  </si>
  <si>
    <t>Heinäkuu</t>
  </si>
  <si>
    <t>Elokuu</t>
  </si>
  <si>
    <t>Syyskuu</t>
  </si>
  <si>
    <t>Lokakuu</t>
  </si>
  <si>
    <t>Marraskuu</t>
  </si>
  <si>
    <t>Joulukuu</t>
  </si>
  <si>
    <t>Työpäiviä yhteensä/vuosi</t>
  </si>
  <si>
    <t>Työpäivän keskim. pituus, jolloin työtunteja kertyy</t>
  </si>
  <si>
    <t>Työpäiviä viikossa, jolloin saat selville työviikkojen lukumäärän</t>
  </si>
  <si>
    <t>viikkoa</t>
  </si>
  <si>
    <t>Vapaapäiviä vuodessa</t>
  </si>
  <si>
    <t>Laskutuspäiviä % -arvio</t>
  </si>
  <si>
    <t>jolloin laskutustunteja syntyy</t>
  </si>
  <si>
    <t>Työ 8</t>
  </si>
  <si>
    <t>Työ 9</t>
  </si>
  <si>
    <t>Työ 10</t>
  </si>
  <si>
    <t>Työ 11</t>
  </si>
  <si>
    <t>Työ 12</t>
  </si>
  <si>
    <t>Valtra T-sarja</t>
  </si>
  <si>
    <t>Valtra Tiesarja</t>
  </si>
  <si>
    <t>Ajetaan juoksukilomerit (oletus 2=tien molemmat puolet. 
1=vain yhteen suuntaan)</t>
  </si>
  <si>
    <t>Etuaura</t>
  </si>
  <si>
    <t>Auraustyö  etuauralla</t>
  </si>
  <si>
    <t>Auraustyö lingolla</t>
  </si>
  <si>
    <t>Tienvarsiniitot</t>
  </si>
  <si>
    <t>Ammattilaisen lumilinko</t>
  </si>
  <si>
    <t>Traktori ja tiekoneita</t>
  </si>
  <si>
    <t>Traktori ja auraus- ja tiekoneita</t>
  </si>
  <si>
    <t>Valtra tiesarja</t>
  </si>
  <si>
    <t>Lana Ammattilaisen versio</t>
  </si>
  <si>
    <t>Tienvarsiniitto kone</t>
  </si>
  <si>
    <t>Muistio-ohje: 
Huomaathan että voit kytkeä ketjuja päälle ja pois. Voit laskea ha-taksan täten vaikkapa koneketju kerrallaan tai yhdistää ne yhdeksiketjujen  ketjuksi.</t>
  </si>
  <si>
    <t>€/km minimi tuotoksella</t>
  </si>
  <si>
    <t>€/km maksimi tuotoksella</t>
  </si>
  <si>
    <t>Km yht</t>
  </si>
  <si>
    <t>€ / km</t>
  </si>
  <si>
    <t>€ maksimi tuotoksella 
(€/h * tunnit)</t>
  </si>
  <si>
    <t>Oletus 0 €</t>
  </si>
  <si>
    <t>€ minimi tuotoksella 
(€/h * tunnit)</t>
  </si>
  <si>
    <t>alusterä</t>
  </si>
  <si>
    <t>Auraus soratiet etuauralla (+alusterä)</t>
  </si>
  <si>
    <t>€ yhteensä (€/h * tunnit)</t>
  </si>
  <si>
    <t>Aloitusmaksu € / kerta
Esim. paljon pieniä aurauspätkiä</t>
  </si>
  <si>
    <t>Linkous km-taksalla</t>
  </si>
  <si>
    <t>Tuntitaksalla aurausta yms</t>
  </si>
  <si>
    <t>Tulos €</t>
  </si>
  <si>
    <t>Mukut  
€  yhteensä</t>
  </si>
  <si>
    <r>
      <t xml:space="preserve">Minimituotoksella </t>
    </r>
    <r>
      <rPr>
        <b/>
        <sz val="10"/>
        <rFont val="Arial"/>
        <family val="2"/>
      </rPr>
      <t>h</t>
    </r>
  </si>
  <si>
    <r>
      <t>Maksimi tuotoksella</t>
    </r>
    <r>
      <rPr>
        <b/>
        <sz val="10"/>
        <rFont val="Arial"/>
        <family val="2"/>
      </rPr>
      <t xml:space="preserve"> h</t>
    </r>
  </si>
  <si>
    <t>Tuloslaskelmakeräily ja -simulointi</t>
  </si>
  <si>
    <t>Tavarat, palvelut ostot</t>
  </si>
  <si>
    <t>Vaativuuskerroin (1,00=normaali) (&gt;1 hidastavia esteitä)</t>
  </si>
  <si>
    <t>Palkat €</t>
  </si>
  <si>
    <t>Kikut (ei palkat)
€  yhteensä</t>
  </si>
  <si>
    <t>Mukut + Kikut +Palkat
€  yhteensä</t>
  </si>
  <si>
    <r>
      <t xml:space="preserve">Laskelmassa käytettävä tuntihinta </t>
    </r>
    <r>
      <rPr>
        <b/>
        <sz val="10"/>
        <rFont val="Arial"/>
        <family val="2"/>
      </rPr>
      <t>€ / h</t>
    </r>
  </si>
  <si>
    <r>
      <t xml:space="preserve">Laskelmassa käytettävä Muku hinta </t>
    </r>
    <r>
      <rPr>
        <b/>
        <sz val="10"/>
        <rFont val="Arial"/>
        <family val="2"/>
      </rPr>
      <t>€ / h</t>
    </r>
  </si>
  <si>
    <r>
      <t xml:space="preserve">Laskelmassa käytettävä Kiku-hinta </t>
    </r>
    <r>
      <rPr>
        <b/>
        <sz val="10"/>
        <rFont val="Arial"/>
        <family val="2"/>
      </rPr>
      <t>€ / h</t>
    </r>
  </si>
  <si>
    <t>Kihniö 2019 https://www.kihnio.fi/agenda/829</t>
  </si>
  <si>
    <t>Kerroin</t>
  </si>
  <si>
    <t>Arvaus ajokerroista kaudella (ei pakollinen, oletus 1)</t>
  </si>
  <si>
    <t>Ohita pakottamalla oma arvo (simuloi)</t>
  </si>
  <si>
    <t>Ohita (simuloi)</t>
  </si>
  <si>
    <t>Auraus</t>
  </si>
  <si>
    <t>Harjaus</t>
  </si>
  <si>
    <t>Lanaus, tienvarsiniitot</t>
  </si>
  <si>
    <t>Arvioi työkohteita</t>
  </si>
  <si>
    <t>Työkohteita7työpäivä kpl</t>
  </si>
  <si>
    <t>Kpl / päivä</t>
  </si>
  <si>
    <t>Kpl tai km</t>
  </si>
  <si>
    <t>Koneiden tuotot eli liikevaihto</t>
  </si>
  <si>
    <r>
      <rPr>
        <b/>
        <sz val="9"/>
        <color rgb="FFFF0000"/>
        <rFont val="Arial"/>
        <family val="2"/>
      </rPr>
      <t>Korvaa</t>
    </r>
    <r>
      <rPr>
        <sz val="9"/>
        <rFont val="Arial"/>
        <family val="2"/>
      </rPr>
      <t xml:space="preserve"> </t>
    </r>
    <r>
      <rPr>
        <b/>
        <sz val="9"/>
        <rFont val="Arial"/>
        <family val="2"/>
      </rPr>
      <t>tuntihinta</t>
    </r>
    <r>
      <rPr>
        <sz val="9"/>
        <rFont val="Arial"/>
        <family val="2"/>
      </rPr>
      <t xml:space="preserve"> pakottamalla luku (Talleta eri laskelmaversioiden lukuja</t>
    </r>
  </si>
  <si>
    <r>
      <rPr>
        <b/>
        <sz val="9"/>
        <color rgb="FFFF0000"/>
        <rFont val="Arial"/>
        <family val="2"/>
      </rPr>
      <t>Korvaa</t>
    </r>
    <r>
      <rPr>
        <sz val="9"/>
        <rFont val="Arial"/>
        <family val="2"/>
      </rPr>
      <t xml:space="preserve"> </t>
    </r>
    <r>
      <rPr>
        <b/>
        <sz val="9"/>
        <rFont val="Arial"/>
        <family val="2"/>
      </rPr>
      <t xml:space="preserve">ketjun tuntihinnan </t>
    </r>
    <r>
      <rPr>
        <b/>
        <sz val="9"/>
        <color rgb="FFFF0000"/>
        <rFont val="Arial"/>
        <family val="2"/>
      </rPr>
      <t>KIKU</t>
    </r>
    <r>
      <rPr>
        <sz val="9"/>
        <rFont val="Arial"/>
        <family val="2"/>
      </rPr>
      <t xml:space="preserve"> pakottamalla luku (Eli talleta laskelman luku*)</t>
    </r>
  </si>
  <si>
    <r>
      <rPr>
        <b/>
        <sz val="9"/>
        <color rgb="FFFF0000"/>
        <rFont val="Arial"/>
        <family val="2"/>
      </rPr>
      <t>Korvaa</t>
    </r>
    <r>
      <rPr>
        <sz val="9"/>
        <rFont val="Arial"/>
        <family val="2"/>
      </rPr>
      <t xml:space="preserve"> </t>
    </r>
    <r>
      <rPr>
        <b/>
        <sz val="9"/>
        <rFont val="Arial"/>
        <family val="2"/>
      </rPr>
      <t xml:space="preserve">ketjun tuntihinnan </t>
    </r>
    <r>
      <rPr>
        <b/>
        <sz val="9"/>
        <color rgb="FFFF0000"/>
        <rFont val="Arial"/>
        <family val="2"/>
      </rPr>
      <t>MUKU</t>
    </r>
    <r>
      <rPr>
        <sz val="9"/>
        <rFont val="Arial"/>
        <family val="2"/>
      </rPr>
      <t xml:space="preserve"> pakottamalla luku (Eli talleta laskelman luku*)</t>
    </r>
  </si>
  <si>
    <t>Mukana laskelmassa</t>
  </si>
  <si>
    <r>
      <rPr>
        <b/>
        <sz val="10"/>
        <color rgb="FFFF0000"/>
        <rFont val="Arial"/>
        <family val="2"/>
      </rPr>
      <t xml:space="preserve">X </t>
    </r>
    <r>
      <rPr>
        <sz val="10"/>
        <rFont val="Arial"/>
        <family val="2"/>
      </rPr>
      <t>=Mukana laskelmassa</t>
    </r>
  </si>
  <si>
    <t>Summat</t>
  </si>
  <si>
    <t>Keskiarvot</t>
  </si>
  <si>
    <t>Muut työt</t>
  </si>
  <si>
    <t>Ketjuta ketjuja? Siirry tiekoneketjujen ketjuun tuntiurakan laskentaan tai tekemään vertailua</t>
  </si>
  <si>
    <t>Tieharjauslaite</t>
  </si>
  <si>
    <t>2024.12</t>
  </si>
  <si>
    <t xml:space="preserve">Aloitusmaksut </t>
  </si>
  <si>
    <t>Tulot aloitusmaksuista</t>
  </si>
  <si>
    <t xml:space="preserve">Tulot urakasta yhteensä € </t>
  </si>
  <si>
    <t>Sumamt</t>
  </si>
  <si>
    <t>Lanaus tie 1</t>
  </si>
  <si>
    <t>Lanaus tie 2</t>
  </si>
  <si>
    <t>Lanaus tie 3</t>
  </si>
  <si>
    <t>Lanaus tie 4</t>
  </si>
  <si>
    <t>Lanaus tie 5</t>
  </si>
  <si>
    <t>Lanaus tie 6</t>
  </si>
  <si>
    <t>Lanaus tie 7</t>
  </si>
  <si>
    <t>Lanaus tie 8</t>
  </si>
  <si>
    <t>Lanaus tie 9</t>
  </si>
  <si>
    <t>Lanaus tie 10</t>
  </si>
  <si>
    <t>Auraus pintatiet (asfaltti) Alue 2</t>
  </si>
  <si>
    <t>Auraus soratiet etuauralla (ei alusterää) Alue  1</t>
  </si>
  <si>
    <t>Tulot urakasta yhteensä € arvio (keskiarvotuotoksella)</t>
  </si>
  <si>
    <t>Tienvarsiniitto alue 1</t>
  </si>
  <si>
    <t>Tienvarsiniitto alue 2</t>
  </si>
  <si>
    <t>Tienvarsiniitto alue 3</t>
  </si>
  <si>
    <t>Tienvarsiniitto alue 4</t>
  </si>
  <si>
    <t>Tienharjaus tie 1</t>
  </si>
  <si>
    <t>Tienharjaus tie 2</t>
  </si>
  <si>
    <t>Tienharjaus tie 3</t>
  </si>
  <si>
    <t>Tienharjaus tie 4</t>
  </si>
  <si>
    <t>TIE</t>
  </si>
  <si>
    <r>
      <t xml:space="preserve">Traktorin tuntihinta ketju 1, ketju 2, ketju ja ketju 4 linkittyvät </t>
    </r>
    <r>
      <rPr>
        <b/>
        <sz val="10"/>
        <rFont val="Arial"/>
        <family val="2"/>
      </rPr>
      <t>Koneketjujen tieketju</t>
    </r>
    <r>
      <rPr>
        <sz val="10"/>
        <rFont val="Arial"/>
        <family val="2"/>
      </rPr>
      <t xml:space="preserve"> tauluun, jossa saat tehtyä urakkalaskentaa</t>
    </r>
  </si>
  <si>
    <t>Kunkin tuntihinnan jälkeen voit laskea tie- työmaakohteille km-hinnan.</t>
  </si>
  <si>
    <t>Koneen tuntihintalaskuri (TIE) mahdollistaa mm. seuraavat asiat:</t>
  </si>
  <si>
    <r>
      <t xml:space="preserve">Tiekilometrin hintamäärittely tapahtuu kunkin koneketjun alaosassa. Täytä keltaiset solut. </t>
    </r>
    <r>
      <rPr>
        <b/>
        <sz val="16"/>
        <color rgb="FFFF0000"/>
        <rFont val="Arial"/>
        <family val="2"/>
      </rPr>
      <t>X</t>
    </r>
    <r>
      <rPr>
        <b/>
        <sz val="16"/>
        <rFont val="Arial"/>
        <family val="2"/>
      </rPr>
      <t>=</t>
    </r>
    <r>
      <rPr>
        <sz val="10"/>
        <rFont val="Arial"/>
        <family val="2"/>
      </rPr>
      <t>otat rivin laskentaan mukaan.</t>
    </r>
  </si>
  <si>
    <t>Esimerkki tieurakoista j aniiden hinnoittelusta</t>
  </si>
  <si>
    <r>
      <rPr>
        <b/>
        <sz val="10"/>
        <rFont val="Arial"/>
        <family val="2"/>
      </rPr>
      <t>FMG lana:</t>
    </r>
    <r>
      <rPr>
        <sz val="10"/>
        <rFont val="Arial"/>
        <family val="2"/>
      </rPr>
      <t xml:space="preserve">
Kuvakaappaus </t>
    </r>
    <r>
      <rPr>
        <b/>
        <sz val="10"/>
        <rFont val="Arial"/>
        <family val="2"/>
      </rPr>
      <t>Valtran lanausvideolt</t>
    </r>
    <r>
      <rPr>
        <sz val="10"/>
        <rFont val="Arial"/>
        <family val="2"/>
      </rPr>
      <t>a:
https://www.youtube.com/watch?v=LKtB0EwZzgo</t>
    </r>
  </si>
  <si>
    <r>
      <t xml:space="preserve">Kuvat: Alkuperäinen kuvasta muokattu: 
</t>
    </r>
    <r>
      <rPr>
        <b/>
        <sz val="10"/>
        <rFont val="Arial"/>
        <family val="2"/>
      </rPr>
      <t>Esko 1232 lumilinko</t>
    </r>
    <r>
      <rPr>
        <sz val="10"/>
        <rFont val="Arial"/>
        <family val="2"/>
      </rPr>
      <t>: lantmannenagrokauppa.fi</t>
    </r>
  </si>
  <si>
    <t>Muut yrityksen kulut hallinto yms. Jaa koneille</t>
  </si>
  <si>
    <t>Ojan kaivaminen metrihinnalla</t>
  </si>
  <si>
    <t>Ajetaan juoksumetrit (oletus 2=tien molemmat puolet. 
1=vain yhteen suuntaan)</t>
  </si>
  <si>
    <t>Arvaus kerroista kaudella (ei pakollinen, oletus 1)</t>
  </si>
  <si>
    <t>€ / m keskiarvo</t>
  </si>
  <si>
    <t>€ / m maksimi tuotoksella</t>
  </si>
  <si>
    <t>€ / m minimi tuotoksella</t>
  </si>
  <si>
    <t>Pituus metriä</t>
  </si>
  <si>
    <t>m</t>
  </si>
  <si>
    <t xml:space="preserve">Tuntitaksalla </t>
  </si>
  <si>
    <t xml:space="preserve">5. Saat selville kilometrihinnan tai kaivurilla metrihinnan </t>
  </si>
  <si>
    <t>Traktorin tuntihinta tieketju 1 - 4 = Voit laskea traktorin + halutessasi laskea ja kytkeä työkoneita kiinni traktoriveturiin</t>
  </si>
  <si>
    <t>metriä / h</t>
  </si>
  <si>
    <t>Työsaavutus</t>
  </si>
  <si>
    <t>minimi</t>
  </si>
  <si>
    <t>maksimi</t>
  </si>
  <si>
    <t>keskiarvo</t>
  </si>
  <si>
    <t>Oletus 1 m, muuta kohteelle (tarvittaessa)</t>
  </si>
  <si>
    <t>Tienvarsiojat saneeraus</t>
  </si>
  <si>
    <t>Hitachi 16 t</t>
  </si>
  <si>
    <t>km / h</t>
  </si>
  <si>
    <t>Oletus 1 km, muuta kohteelle (tarvittaessa)</t>
  </si>
  <si>
    <t>Lanaus tie 11</t>
  </si>
  <si>
    <t>Lanaus tie 12</t>
  </si>
  <si>
    <t>Lanaus tie 13</t>
  </si>
  <si>
    <t>Lanaus tie 14</t>
  </si>
  <si>
    <t>Tienvarsiniitto alue 5</t>
  </si>
  <si>
    <t>Tienvarsiniitto alue 6</t>
  </si>
  <si>
    <t>Tienvarsiniitto alue 7</t>
  </si>
  <si>
    <t>Tienvarsiniitto alue 8</t>
  </si>
  <si>
    <t>Tienvarsiniitto alue 9</t>
  </si>
  <si>
    <t>Tienvarsiniitto alue 10</t>
  </si>
  <si>
    <t>Tienvarsiniitto alue 11</t>
  </si>
  <si>
    <t>Tienvarsiniitto alue 12</t>
  </si>
  <si>
    <t>Tienvarsiniitto alue 13</t>
  </si>
  <si>
    <t>Tienvarsiniitto alue 14</t>
  </si>
  <si>
    <t>Metsäojat</t>
  </si>
  <si>
    <t>Hitachi 16 t vanha</t>
  </si>
  <si>
    <t>Metsäautotien rakentaminen kaivinkonetyö haastava</t>
  </si>
  <si>
    <t>Metsäautotien rakentaminen kaivinkonetyö perus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</si>
</sst>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7" formatCode="#,##0.00\ &quot;€&quot;;\-#,##0.00\ &quot;€&quot;"/>
    <numFmt numFmtId="44" formatCode="_-* #,##0.00\ &quot;€&quot;_-;\-* #,##0.00\ &quot;€&quot;_-;_-* &quot;-&quot;??\ &quot;€&quot;_-;_-@_-"/>
    <numFmt numFmtId="164" formatCode="_-* #,##0.00\ _€_-;\-* #,##0.00\ _€_-;_-* &quot;-&quot;??\ _€_-;_-@_-"/>
    <numFmt numFmtId="165" formatCode="#,##0.00\ &quot;€&quot;"/>
    <numFmt numFmtId="166" formatCode="_-* #,##0.00&quot; €&quot;_-;\-* #,##0.00&quot; €&quot;_-;_-* \-??&quot; €&quot;_-;_-@_-"/>
    <numFmt numFmtId="167" formatCode="#,##0.00_);\(#,##0.00\)"/>
    <numFmt numFmtId="168" formatCode="\$#,##0.00_);&quot;($&quot;#,##0.00\)"/>
    <numFmt numFmtId="169" formatCode="mmmm\ d&quot;, &quot;yyyy"/>
    <numFmt numFmtId="170" formatCode="_-* #,##0.00\ _€_-;\-* #,##0.00\ _€_-;_-* \-??\ _€_-;_-@_-"/>
    <numFmt numFmtId="171" formatCode="0.00%"/>
    <numFmt numFmtId="172" formatCode="0%"/>
    <numFmt numFmtId="173" formatCode="#,##0.00&quot; €&quot;"/>
    <numFmt numFmtId="174" formatCode="0.0"/>
    <numFmt numFmtId="175" formatCode="0.0000"/>
    <numFmt numFmtId="176" formatCode="_-* #,##0\ _€_-;\-* #,##0\ _€_-;_-* &quot;-&quot;??\ _€_-;_-@_-"/>
    <numFmt numFmtId="177" formatCode="0.000"/>
    <numFmt numFmtId="178" formatCode="_-* #,##0.0\ _€_-;\-* #,##0.0\ _€_-;_-* &quot;-&quot;??\ _€_-;_-@_-"/>
    <numFmt numFmtId="179" formatCode="_-* #,##0\ _€_-;\-* #,##0\ _€_-;_-* \-??\ _€_-;_-@_-"/>
    <numFmt numFmtId="180" formatCode="_-* #,##0&quot; €&quot;_-;\-* #,##0&quot; €&quot;_-;_-* \-??&quot; €&quot;_-;_-@_-"/>
    <numFmt numFmtId="181" formatCode="_-* #,##0.0\ _€_-;\-* #,##0.0\ _€_-;_-* \-??\ _€_-;_-@_-"/>
    <numFmt numFmtId="182" formatCode="_-* #,##0.000\ &quot;€&quot;_-;\-* #,##0.000\ &quot;€&quot;_-;_-* &quot;-&quot;??\ &quot;€&quot;_-;_-@_-"/>
    <numFmt numFmtId="183" formatCode="0.0\ %"/>
    <numFmt numFmtId="184" formatCode="_-* #,##0.00\ [$€-40B]_-;\-* #,##0.00\ [$€-40B]_-;_-* &quot;-&quot;??\ [$€-40B]_-;_-@_-"/>
    <numFmt numFmtId="185" formatCode="_-* #,##0.00\ [$€-1]_-;\-* #,##0.00\ [$€-1]_-;_-* &quot;-&quot;??\ [$€-1]_-;_-@_-"/>
    <numFmt numFmtId="186" formatCode="0.0%"/>
    <numFmt numFmtId="187" formatCode="_-* #,##0.0\ &quot;€&quot;_-;\-* #,##0.0\ &quot;€&quot;_-;_-* &quot;-&quot;??\ &quot;€&quot;_-;_-@_-"/>
    <numFmt numFmtId="188" formatCode="_-* #,##0.0\ &quot;€&quot;_-;\-* #,##0.0\ &quot;€&quot;_-;_-* &quot;-&quot;?\ &quot;€&quot;_-;_-@_-"/>
  </numFmts>
  <fonts count="8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8"/>
      <name val="Arial"/>
      <family val="2"/>
    </font>
    <font>
      <sz val="10"/>
      <color indexed="10"/>
      <name val="Arial"/>
      <family val="2"/>
    </font>
    <font>
      <b/>
      <sz val="10"/>
      <color indexed="10"/>
      <name val="Arial"/>
      <family val="2"/>
    </font>
    <font>
      <b/>
      <u/>
      <sz val="10"/>
      <name val="Arial"/>
      <family val="2"/>
    </font>
    <font>
      <b/>
      <sz val="8"/>
      <name val="Arial"/>
      <family val="2"/>
    </font>
    <font>
      <sz val="10"/>
      <name val="Arial"/>
      <family val="2"/>
    </font>
    <font>
      <b/>
      <sz val="12"/>
      <name val="Arial"/>
      <family val="2"/>
    </font>
    <font>
      <sz val="12"/>
      <name val="Arial"/>
      <family val="2"/>
    </font>
    <font>
      <sz val="10"/>
      <name val="Arial"/>
      <family val="2"/>
    </font>
    <font>
      <b/>
      <sz val="18"/>
      <name val="Arial"/>
      <family val="2"/>
    </font>
    <font>
      <b/>
      <sz val="10"/>
      <color rgb="FFFF0000"/>
      <name val="Arial"/>
      <family val="2"/>
    </font>
    <font>
      <sz val="10"/>
      <color rgb="FFFF0000"/>
      <name val="Arial"/>
      <family val="2"/>
    </font>
    <font>
      <b/>
      <sz val="12"/>
      <color rgb="FFFF0000"/>
      <name val="Arial"/>
      <family val="2"/>
    </font>
    <font>
      <i/>
      <sz val="8"/>
      <name val="Arial"/>
      <family val="2"/>
    </font>
    <font>
      <b/>
      <sz val="9"/>
      <color indexed="81"/>
      <name val="Tahoma"/>
      <family val="2"/>
    </font>
    <font>
      <sz val="9"/>
      <name val="Arial"/>
      <family val="2"/>
    </font>
    <font>
      <u/>
      <sz val="10"/>
      <color theme="10"/>
      <name val="Arial"/>
      <family val="2"/>
    </font>
    <font>
      <sz val="12"/>
      <color rgb="FF222222"/>
      <name val="Arial"/>
      <family val="2"/>
    </font>
    <font>
      <sz val="9"/>
      <color rgb="FF222222"/>
      <name val="Arial"/>
      <family val="2"/>
    </font>
    <font>
      <b/>
      <sz val="11"/>
      <name val="Arial"/>
      <family val="2"/>
    </font>
    <font>
      <b/>
      <sz val="9"/>
      <name val="Arial"/>
      <family val="2"/>
    </font>
    <font>
      <b/>
      <sz val="14"/>
      <name val="Arial"/>
      <family val="2"/>
    </font>
    <font>
      <strike/>
      <sz val="10"/>
      <name val="Arial"/>
      <family val="2"/>
    </font>
    <font>
      <vertAlign val="superscript"/>
      <sz val="10"/>
      <name val="Arial"/>
      <family val="2"/>
    </font>
    <font>
      <sz val="23"/>
      <name val="Arial"/>
      <family val="2"/>
    </font>
    <font>
      <sz val="26"/>
      <name val="Arial"/>
      <family val="2"/>
    </font>
    <font>
      <b/>
      <vertAlign val="superscript"/>
      <sz val="10"/>
      <name val="Arial"/>
      <family val="2"/>
    </font>
    <font>
      <sz val="11"/>
      <name val="Arial"/>
      <family val="2"/>
    </font>
    <font>
      <b/>
      <vertAlign val="superscript"/>
      <sz val="11"/>
      <name val="Arial"/>
      <family val="2"/>
    </font>
    <font>
      <b/>
      <u/>
      <sz val="12"/>
      <name val="Arial"/>
      <family val="2"/>
    </font>
    <font>
      <sz val="9"/>
      <color indexed="81"/>
      <name val="Tahoma"/>
      <family val="2"/>
    </font>
    <font>
      <b/>
      <i/>
      <sz val="10"/>
      <name val="Arial"/>
      <family val="2"/>
    </font>
    <font>
      <b/>
      <sz val="11"/>
      <color rgb="FFFF0000"/>
      <name val="Arial"/>
      <family val="2"/>
    </font>
    <font>
      <b/>
      <u val="singleAccounting"/>
      <sz val="12"/>
      <color rgb="FFFF0000"/>
      <name val="Arial"/>
      <family val="2"/>
    </font>
    <font>
      <b/>
      <u/>
      <sz val="12"/>
      <color rgb="FFFF0000"/>
      <name val="Arial"/>
      <family val="2"/>
    </font>
    <font>
      <b/>
      <sz val="9"/>
      <color rgb="FFFF0000"/>
      <name val="Arial"/>
      <family val="2"/>
    </font>
    <font>
      <u val="singleAccounting"/>
      <sz val="10"/>
      <color rgb="FFFF0000"/>
      <name val="Arial"/>
      <family val="2"/>
    </font>
    <font>
      <i/>
      <sz val="10"/>
      <name val="Arial"/>
      <family val="2"/>
    </font>
    <font>
      <sz val="8"/>
      <color rgb="FFFF0000"/>
      <name val="Arial"/>
      <family val="2"/>
    </font>
    <font>
      <sz val="8"/>
      <color indexed="10"/>
      <name val="Arial"/>
      <family val="2"/>
    </font>
    <font>
      <b/>
      <sz val="16"/>
      <name val="Arial"/>
      <family val="2"/>
    </font>
    <font>
      <sz val="10"/>
      <color rgb="FF00B050"/>
      <name val="Arial"/>
      <family val="2"/>
    </font>
    <font>
      <sz val="10"/>
      <color theme="0"/>
      <name val="Arial"/>
      <family val="2"/>
    </font>
    <font>
      <b/>
      <sz val="10"/>
      <color theme="0"/>
      <name val="Arial"/>
      <family val="2"/>
    </font>
    <font>
      <sz val="10"/>
      <color theme="1"/>
      <name val="Arial"/>
      <family val="2"/>
    </font>
    <font>
      <sz val="16"/>
      <name val="Arial"/>
      <family val="2"/>
    </font>
    <font>
      <sz val="11"/>
      <color rgb="FFFF0000"/>
      <name val="Arial"/>
      <family val="2"/>
    </font>
    <font>
      <u/>
      <sz val="14"/>
      <color theme="10"/>
      <name val="Arial"/>
      <family val="2"/>
    </font>
    <font>
      <sz val="14"/>
      <name val="Arial"/>
      <family val="2"/>
    </font>
    <font>
      <b/>
      <sz val="20"/>
      <name val="Arial"/>
      <family val="2"/>
    </font>
    <font>
      <b/>
      <sz val="11"/>
      <color indexed="81"/>
      <name val="Tahoma"/>
      <family val="2"/>
    </font>
    <font>
      <b/>
      <vertAlign val="superscript"/>
      <sz val="8"/>
      <name val="Arial"/>
      <family val="2"/>
    </font>
    <font>
      <b/>
      <sz val="13"/>
      <name val="Arial"/>
      <family val="2"/>
    </font>
    <font>
      <b/>
      <vertAlign val="superscript"/>
      <sz val="9"/>
      <name val="Arial"/>
      <family val="2"/>
    </font>
    <font>
      <b/>
      <sz val="10"/>
      <color theme="1"/>
      <name val="Arial"/>
      <family val="2"/>
    </font>
    <font>
      <i/>
      <sz val="9"/>
      <name val="Arial"/>
      <family val="2"/>
    </font>
    <font>
      <b/>
      <sz val="14"/>
      <color rgb="FFFF0000"/>
      <name val="Arial"/>
      <family val="2"/>
    </font>
    <font>
      <i/>
      <sz val="7"/>
      <name val="Arial"/>
      <family val="2"/>
    </font>
    <font>
      <u/>
      <sz val="16"/>
      <color theme="10"/>
      <name val="Arial"/>
      <family val="2"/>
    </font>
    <font>
      <b/>
      <sz val="11"/>
      <color theme="1"/>
      <name val="Calibri"/>
      <family val="2"/>
      <scheme val="minor"/>
    </font>
    <font>
      <b/>
      <sz val="12"/>
      <color theme="1"/>
      <name val="Calibri"/>
      <family val="2"/>
      <scheme val="minor"/>
    </font>
    <font>
      <b/>
      <sz val="9"/>
      <color theme="1"/>
      <name val="Calibri"/>
      <family val="2"/>
      <scheme val="minor"/>
    </font>
    <font>
      <sz val="8"/>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sz val="8"/>
      <name val="Arial"/>
    </font>
    <font>
      <b/>
      <sz val="10"/>
      <color theme="1"/>
      <name val="Calibri"/>
      <family val="2"/>
      <scheme val="minor"/>
    </font>
    <font>
      <sz val="9"/>
      <color rgb="FFFF0000"/>
      <name val="Arial"/>
      <family val="2"/>
    </font>
    <font>
      <i/>
      <strike/>
      <sz val="10"/>
      <name val="Arial"/>
      <family val="2"/>
    </font>
    <font>
      <b/>
      <sz val="18"/>
      <color rgb="FFFF0000"/>
      <name val="Arial"/>
      <family val="2"/>
    </font>
    <font>
      <b/>
      <sz val="16"/>
      <color rgb="FFFF0000"/>
      <name val="Arial"/>
      <family val="2"/>
    </font>
    <font>
      <b/>
      <sz val="20"/>
      <color rgb="FFFF0000"/>
      <name val="Arial"/>
      <family val="2"/>
    </font>
    <font>
      <sz val="11"/>
      <color rgb="FF0061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bgColor indexed="34"/>
      </patternFill>
    </fill>
    <fill>
      <patternFill patternType="solid">
        <fgColor indexed="9"/>
        <bgColor indexed="26"/>
      </patternFill>
    </fill>
    <fill>
      <patternFill patternType="solid">
        <fgColor indexed="22"/>
        <bgColor indexed="31"/>
      </patternFill>
    </fill>
    <fill>
      <patternFill patternType="solid">
        <fgColor theme="0"/>
        <bgColor indexed="34"/>
      </patternFill>
    </fill>
    <fill>
      <patternFill patternType="solid">
        <fgColor rgb="FF00B050"/>
        <bgColor indexed="64"/>
      </patternFill>
    </fill>
    <fill>
      <patternFill patternType="solid">
        <fgColor theme="9"/>
        <bgColor indexed="64"/>
      </patternFill>
    </fill>
    <fill>
      <patternFill patternType="solid">
        <fgColor rgb="FFC6EFCE"/>
      </patternFill>
    </fill>
  </fills>
  <borders count="104">
    <border>
      <left/>
      <right/>
      <top/>
      <bottom/>
      <diagonal/>
    </border>
    <border>
      <left/>
      <right/>
      <top style="thin">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medium">
        <color indexed="8"/>
      </left>
      <right/>
      <top style="medium">
        <color indexed="8"/>
      </top>
      <bottom/>
      <diagonal/>
    </border>
    <border>
      <left/>
      <right/>
      <top style="medium">
        <color indexed="8"/>
      </top>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style="thin">
        <color indexed="8"/>
      </bottom>
      <diagonal/>
    </border>
    <border>
      <left style="medium">
        <color indexed="8"/>
      </left>
      <right/>
      <top style="medium">
        <color indexed="8"/>
      </top>
      <bottom style="medium">
        <color indexed="8"/>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8"/>
      </left>
      <right/>
      <top/>
      <bottom style="medium">
        <color indexed="8"/>
      </bottom>
      <diagonal/>
    </border>
    <border>
      <left/>
      <right/>
      <top style="thin">
        <color indexed="8"/>
      </top>
      <bottom style="thin">
        <color indexed="8"/>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bottom style="medium">
        <color indexed="8"/>
      </bottom>
      <diagonal/>
    </border>
    <border>
      <left style="thin">
        <color indexed="8"/>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thick">
        <color indexed="64"/>
      </right>
      <top/>
      <bottom style="thin">
        <color indexed="64"/>
      </bottom>
      <diagonal/>
    </border>
    <border>
      <left/>
      <right style="thin">
        <color indexed="8"/>
      </right>
      <top/>
      <bottom style="thin">
        <color indexed="8"/>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8"/>
      </left>
      <right/>
      <top style="thin">
        <color indexed="8"/>
      </top>
      <bottom/>
      <diagonal/>
    </border>
  </borders>
  <cellStyleXfs count="39">
    <xf numFmtId="0" fontId="0" fillId="0" borderId="0"/>
    <xf numFmtId="0" fontId="14" fillId="0" borderId="0" applyNumberFormat="0" applyFill="0" applyBorder="0" applyAlignment="0" applyProtection="0"/>
    <xf numFmtId="167" fontId="14" fillId="0" borderId="0" applyFill="0" applyBorder="0" applyAlignment="0" applyProtection="0"/>
    <xf numFmtId="168" fontId="14" fillId="0" borderId="0" applyFill="0" applyBorder="0" applyAlignment="0" applyProtection="0"/>
    <xf numFmtId="169" fontId="14" fillId="0" borderId="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70" fontId="5" fillId="0" borderId="0" applyFill="0" applyBorder="0" applyAlignment="0" applyProtection="0"/>
    <xf numFmtId="44" fontId="3" fillId="0" borderId="0" applyFont="0" applyFill="0" applyBorder="0" applyAlignment="0" applyProtection="0"/>
    <xf numFmtId="44" fontId="12"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2" fontId="14" fillId="0" borderId="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15" fillId="0" borderId="0"/>
    <xf numFmtId="0" fontId="14" fillId="0" borderId="0" applyNumberFormat="0" applyFill="0" applyBorder="0" applyAlignment="0" applyProtection="0"/>
    <xf numFmtId="171" fontId="14" fillId="0" borderId="0" applyFill="0" applyBorder="0" applyAlignment="0" applyProtection="0"/>
    <xf numFmtId="164"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172" fontId="5" fillId="0" borderId="0" applyFill="0" applyBorder="0" applyAlignment="0" applyProtection="0"/>
    <xf numFmtId="0" fontId="14" fillId="0" borderId="1" applyNumberFormat="0" applyFill="0" applyAlignment="0" applyProtection="0"/>
    <xf numFmtId="44" fontId="3"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166" fontId="5" fillId="0" borderId="0" applyFill="0" applyBorder="0" applyAlignment="0" applyProtection="0"/>
    <xf numFmtId="170" fontId="5" fillId="0" borderId="0" applyFill="0" applyBorder="0" applyAlignment="0" applyProtection="0"/>
    <xf numFmtId="166" fontId="5" fillId="0" borderId="0" applyFill="0" applyBorder="0" applyAlignment="0" applyProtection="0"/>
    <xf numFmtId="0" fontId="23" fillId="0" borderId="0" applyNumberFormat="0" applyFill="0" applyBorder="0" applyAlignment="0" applyProtection="0"/>
    <xf numFmtId="0" fontId="2" fillId="0" borderId="0"/>
    <xf numFmtId="0" fontId="72" fillId="0" borderId="0" applyNumberFormat="0" applyFill="0" applyBorder="0" applyAlignment="0" applyProtection="0"/>
    <xf numFmtId="9" fontId="2" fillId="0" borderId="0" applyFont="0" applyFill="0" applyBorder="0" applyAlignment="0" applyProtection="0"/>
    <xf numFmtId="0" fontId="80" fillId="10" borderId="0" applyNumberFormat="0" applyBorder="0" applyAlignment="0" applyProtection="0"/>
  </cellStyleXfs>
  <cellXfs count="1185">
    <xf numFmtId="0" fontId="0" fillId="0" borderId="0" xfId="0"/>
    <xf numFmtId="0" fontId="0" fillId="0" borderId="2" xfId="0" applyBorder="1"/>
    <xf numFmtId="0" fontId="4" fillId="0" borderId="0" xfId="0" applyFont="1"/>
    <xf numFmtId="0" fontId="8" fillId="0" borderId="0" xfId="0" applyFont="1"/>
    <xf numFmtId="0" fontId="5" fillId="0" borderId="0" xfId="16"/>
    <xf numFmtId="2" fontId="4" fillId="0" borderId="0" xfId="0" applyNumberFormat="1" applyFont="1"/>
    <xf numFmtId="0" fontId="4" fillId="0" borderId="0" xfId="16" applyFont="1"/>
    <xf numFmtId="2" fontId="5" fillId="0" borderId="0" xfId="16" applyNumberFormat="1"/>
    <xf numFmtId="166" fontId="5" fillId="0" borderId="0" xfId="29"/>
    <xf numFmtId="0" fontId="10" fillId="0" borderId="0" xfId="16" applyFont="1"/>
    <xf numFmtId="0" fontId="7" fillId="0" borderId="0" xfId="16" applyFont="1"/>
    <xf numFmtId="0" fontId="8" fillId="0" borderId="0" xfId="16" applyFont="1"/>
    <xf numFmtId="0" fontId="11" fillId="0" borderId="0" xfId="16" applyFont="1"/>
    <xf numFmtId="2" fontId="4" fillId="0" borderId="0" xfId="16" applyNumberFormat="1" applyFont="1"/>
    <xf numFmtId="0" fontId="0" fillId="0" borderId="12" xfId="0" applyBorder="1"/>
    <xf numFmtId="0" fontId="5" fillId="2" borderId="2" xfId="16" applyFill="1" applyBorder="1" applyAlignment="1" applyProtection="1">
      <alignment horizontal="center"/>
      <protection locked="0"/>
    </xf>
    <xf numFmtId="0" fontId="5" fillId="4" borderId="23" xfId="16" applyFill="1" applyBorder="1" applyProtection="1">
      <protection locked="0"/>
    </xf>
    <xf numFmtId="1" fontId="5" fillId="4" borderId="23" xfId="16" applyNumberFormat="1" applyFill="1" applyBorder="1" applyProtection="1">
      <protection locked="0"/>
    </xf>
    <xf numFmtId="166" fontId="0" fillId="4" borderId="23" xfId="31" applyFont="1" applyFill="1" applyBorder="1" applyAlignment="1" applyProtection="1">
      <protection locked="0"/>
    </xf>
    <xf numFmtId="166" fontId="0" fillId="0" borderId="0" xfId="31" applyFont="1" applyFill="1" applyBorder="1" applyAlignment="1" applyProtection="1"/>
    <xf numFmtId="172" fontId="5" fillId="4" borderId="0" xfId="16" applyNumberFormat="1" applyFill="1" applyAlignment="1" applyProtection="1">
      <alignment horizontal="center"/>
      <protection locked="0"/>
    </xf>
    <xf numFmtId="166" fontId="0" fillId="5" borderId="23" xfId="31" applyFont="1" applyFill="1" applyBorder="1" applyAlignment="1" applyProtection="1"/>
    <xf numFmtId="172" fontId="5" fillId="0" borderId="0" xfId="16" applyNumberFormat="1"/>
    <xf numFmtId="166" fontId="5" fillId="0" borderId="0" xfId="29" applyFill="1" applyBorder="1" applyAlignment="1" applyProtection="1"/>
    <xf numFmtId="0" fontId="10" fillId="0" borderId="24" xfId="16" applyFont="1" applyBorder="1"/>
    <xf numFmtId="0" fontId="5" fillId="0" borderId="25" xfId="16" applyBorder="1"/>
    <xf numFmtId="0" fontId="5" fillId="0" borderId="26" xfId="16" applyBorder="1"/>
    <xf numFmtId="0" fontId="5" fillId="0" borderId="26" xfId="16" applyBorder="1" applyAlignment="1">
      <alignment horizontal="right"/>
    </xf>
    <xf numFmtId="171" fontId="5" fillId="4" borderId="23" xfId="16" applyNumberFormat="1" applyFill="1" applyBorder="1" applyProtection="1">
      <protection locked="0"/>
    </xf>
    <xf numFmtId="166" fontId="0" fillId="5" borderId="27" xfId="31" applyFont="1" applyFill="1" applyBorder="1" applyAlignment="1" applyProtection="1"/>
    <xf numFmtId="0" fontId="5" fillId="0" borderId="28" xfId="16" applyBorder="1" applyAlignment="1">
      <alignment horizontal="left"/>
    </xf>
    <xf numFmtId="166" fontId="5" fillId="5" borderId="29" xfId="16" applyNumberFormat="1" applyFill="1" applyBorder="1"/>
    <xf numFmtId="0" fontId="5" fillId="0" borderId="30" xfId="16" applyBorder="1" applyAlignment="1">
      <alignment horizontal="left"/>
    </xf>
    <xf numFmtId="0" fontId="5" fillId="0" borderId="31" xfId="16" applyBorder="1"/>
    <xf numFmtId="166" fontId="5" fillId="0" borderId="32" xfId="16" applyNumberFormat="1" applyBorder="1"/>
    <xf numFmtId="0" fontId="5" fillId="0" borderId="0" xfId="16" applyAlignment="1">
      <alignment horizontal="left"/>
    </xf>
    <xf numFmtId="166" fontId="5" fillId="0" borderId="0" xfId="16" applyNumberFormat="1"/>
    <xf numFmtId="0" fontId="5" fillId="5" borderId="23" xfId="16" applyFill="1" applyBorder="1"/>
    <xf numFmtId="166" fontId="0" fillId="4" borderId="33" xfId="31" applyFont="1" applyFill="1" applyBorder="1" applyAlignment="1" applyProtection="1">
      <protection locked="0"/>
    </xf>
    <xf numFmtId="173" fontId="5" fillId="0" borderId="0" xfId="16" applyNumberFormat="1"/>
    <xf numFmtId="0" fontId="5" fillId="0" borderId="22" xfId="16" applyBorder="1" applyAlignment="1">
      <alignment horizontal="left"/>
    </xf>
    <xf numFmtId="0" fontId="5" fillId="0" borderId="22" xfId="16" applyBorder="1"/>
    <xf numFmtId="0" fontId="5" fillId="5" borderId="22" xfId="16" applyFill="1" applyBorder="1"/>
    <xf numFmtId="0" fontId="5" fillId="0" borderId="23" xfId="16" applyBorder="1"/>
    <xf numFmtId="0" fontId="5" fillId="5" borderId="0" xfId="16" applyFill="1"/>
    <xf numFmtId="172" fontId="7" fillId="0" borderId="0" xfId="16" applyNumberFormat="1" applyFont="1"/>
    <xf numFmtId="2" fontId="4" fillId="6" borderId="34" xfId="16" applyNumberFormat="1" applyFont="1" applyFill="1" applyBorder="1"/>
    <xf numFmtId="173" fontId="7" fillId="0" borderId="0" xfId="16" applyNumberFormat="1" applyFont="1"/>
    <xf numFmtId="171" fontId="5" fillId="4" borderId="0" xfId="16" applyNumberFormat="1" applyFill="1" applyProtection="1">
      <protection locked="0"/>
    </xf>
    <xf numFmtId="166" fontId="0" fillId="0" borderId="33" xfId="31" applyFont="1" applyFill="1" applyBorder="1" applyAlignment="1" applyProtection="1"/>
    <xf numFmtId="0" fontId="4" fillId="0" borderId="35" xfId="16" applyFont="1" applyBorder="1"/>
    <xf numFmtId="0" fontId="5" fillId="0" borderId="35" xfId="16" applyBorder="1"/>
    <xf numFmtId="0" fontId="5" fillId="0" borderId="36" xfId="16" applyBorder="1"/>
    <xf numFmtId="170" fontId="4" fillId="0" borderId="37" xfId="32" applyFont="1" applyFill="1" applyBorder="1" applyAlignment="1" applyProtection="1"/>
    <xf numFmtId="166" fontId="11" fillId="0" borderId="0" xfId="31" applyFont="1" applyFill="1" applyBorder="1" applyAlignment="1" applyProtection="1"/>
    <xf numFmtId="166" fontId="4" fillId="0" borderId="0" xfId="31" applyFont="1" applyFill="1" applyBorder="1" applyAlignment="1" applyProtection="1"/>
    <xf numFmtId="0" fontId="5" fillId="4" borderId="0" xfId="16" applyFill="1" applyProtection="1">
      <protection locked="0"/>
    </xf>
    <xf numFmtId="2" fontId="5" fillId="4" borderId="0" xfId="16" applyNumberFormat="1" applyFill="1" applyProtection="1">
      <protection locked="0"/>
    </xf>
    <xf numFmtId="2" fontId="5" fillId="5" borderId="23" xfId="16" applyNumberFormat="1" applyFill="1" applyBorder="1"/>
    <xf numFmtId="166" fontId="0" fillId="5" borderId="33" xfId="31" applyFont="1" applyFill="1" applyBorder="1" applyAlignment="1" applyProtection="1">
      <protection locked="0"/>
    </xf>
    <xf numFmtId="0" fontId="9" fillId="0" borderId="38" xfId="16" applyFont="1" applyBorder="1"/>
    <xf numFmtId="166" fontId="17" fillId="0" borderId="8" xfId="31" applyFont="1" applyFill="1" applyBorder="1" applyAlignment="1" applyProtection="1"/>
    <xf numFmtId="166" fontId="4" fillId="0" borderId="39" xfId="31" applyFont="1" applyFill="1" applyBorder="1" applyAlignment="1" applyProtection="1"/>
    <xf numFmtId="2" fontId="4" fillId="0" borderId="23" xfId="16" applyNumberFormat="1" applyFont="1" applyBorder="1"/>
    <xf numFmtId="172" fontId="5" fillId="4" borderId="0" xfId="16" applyNumberFormat="1" applyFill="1" applyProtection="1">
      <protection locked="0"/>
    </xf>
    <xf numFmtId="2" fontId="5" fillId="4" borderId="23" xfId="16" applyNumberFormat="1" applyFill="1" applyBorder="1" applyProtection="1">
      <protection locked="0"/>
    </xf>
    <xf numFmtId="2" fontId="4" fillId="0" borderId="36" xfId="16" applyNumberFormat="1" applyFont="1" applyBorder="1"/>
    <xf numFmtId="172" fontId="5" fillId="2" borderId="0" xfId="16" applyNumberFormat="1" applyFill="1" applyAlignment="1" applyProtection="1">
      <alignment horizontal="center"/>
      <protection locked="0"/>
    </xf>
    <xf numFmtId="2" fontId="5" fillId="0" borderId="40" xfId="16" applyNumberFormat="1" applyBorder="1"/>
    <xf numFmtId="0" fontId="4" fillId="0" borderId="31" xfId="16" applyFont="1" applyBorder="1"/>
    <xf numFmtId="0" fontId="5" fillId="2" borderId="21" xfId="16" applyFill="1" applyBorder="1" applyAlignment="1" applyProtection="1">
      <alignment horizontal="center"/>
      <protection locked="0"/>
    </xf>
    <xf numFmtId="0" fontId="5" fillId="0" borderId="13" xfId="16" applyBorder="1"/>
    <xf numFmtId="0" fontId="5" fillId="0" borderId="12" xfId="16" applyBorder="1"/>
    <xf numFmtId="0" fontId="5" fillId="0" borderId="15" xfId="16" applyBorder="1"/>
    <xf numFmtId="0" fontId="5" fillId="0" borderId="0" xfId="16" applyAlignment="1">
      <alignment horizontal="center"/>
    </xf>
    <xf numFmtId="0" fontId="5" fillId="4" borderId="2" xfId="16" applyFill="1" applyBorder="1" applyProtection="1">
      <protection locked="0"/>
    </xf>
    <xf numFmtId="1" fontId="5" fillId="4" borderId="2" xfId="16" applyNumberFormat="1" applyFill="1" applyBorder="1" applyProtection="1">
      <protection locked="0"/>
    </xf>
    <xf numFmtId="166" fontId="0" fillId="4" borderId="2" xfId="31" applyFont="1" applyFill="1" applyBorder="1" applyAlignment="1" applyProtection="1">
      <protection locked="0"/>
    </xf>
    <xf numFmtId="166" fontId="0" fillId="5" borderId="2" xfId="31" applyFont="1" applyFill="1" applyBorder="1" applyAlignment="1" applyProtection="1"/>
    <xf numFmtId="2" fontId="5" fillId="0" borderId="15" xfId="16" applyNumberFormat="1" applyBorder="1"/>
    <xf numFmtId="166" fontId="4" fillId="5" borderId="2" xfId="31" applyFont="1" applyFill="1" applyBorder="1" applyAlignment="1" applyProtection="1"/>
    <xf numFmtId="166" fontId="4" fillId="0" borderId="2" xfId="29" applyFont="1" applyFill="1" applyBorder="1" applyAlignment="1" applyProtection="1"/>
    <xf numFmtId="0" fontId="5" fillId="0" borderId="2" xfId="16" applyBorder="1"/>
    <xf numFmtId="171" fontId="5" fillId="4" borderId="43" xfId="16" applyNumberFormat="1" applyFill="1" applyBorder="1" applyProtection="1">
      <protection locked="0"/>
    </xf>
    <xf numFmtId="166" fontId="5" fillId="5" borderId="2" xfId="16" applyNumberFormat="1" applyFill="1" applyBorder="1"/>
    <xf numFmtId="0" fontId="7" fillId="0" borderId="15" xfId="16" applyFont="1" applyBorder="1"/>
    <xf numFmtId="166" fontId="5" fillId="0" borderId="2" xfId="16" applyNumberFormat="1" applyBorder="1"/>
    <xf numFmtId="0" fontId="5" fillId="5" borderId="43" xfId="16" applyFill="1" applyBorder="1"/>
    <xf numFmtId="165" fontId="5" fillId="4" borderId="2" xfId="29" applyNumberFormat="1" applyFill="1" applyBorder="1" applyAlignment="1" applyProtection="1">
      <protection locked="0"/>
    </xf>
    <xf numFmtId="0" fontId="5" fillId="0" borderId="43" xfId="16" applyBorder="1"/>
    <xf numFmtId="2" fontId="4" fillId="6" borderId="2" xfId="16" applyNumberFormat="1" applyFont="1" applyFill="1" applyBorder="1"/>
    <xf numFmtId="170" fontId="4" fillId="0" borderId="31" xfId="32" applyFont="1" applyFill="1" applyBorder="1" applyAlignment="1" applyProtection="1"/>
    <xf numFmtId="166" fontId="11" fillId="0" borderId="2" xfId="31" applyFont="1" applyFill="1" applyBorder="1" applyAlignment="1" applyProtection="1"/>
    <xf numFmtId="170" fontId="4" fillId="0" borderId="35" xfId="32" applyFont="1" applyFill="1" applyBorder="1" applyAlignment="1" applyProtection="1"/>
    <xf numFmtId="166" fontId="4" fillId="0" borderId="0" xfId="16" applyNumberFormat="1" applyFont="1"/>
    <xf numFmtId="166" fontId="4" fillId="0" borderId="14" xfId="16" applyNumberFormat="1" applyFont="1" applyBorder="1" applyAlignment="1">
      <alignment horizontal="left" vertical="center"/>
    </xf>
    <xf numFmtId="2" fontId="4" fillId="6" borderId="24" xfId="16" applyNumberFormat="1" applyFont="1" applyFill="1" applyBorder="1"/>
    <xf numFmtId="166" fontId="4" fillId="0" borderId="15" xfId="31" applyFont="1" applyFill="1" applyBorder="1" applyAlignment="1" applyProtection="1"/>
    <xf numFmtId="2" fontId="4" fillId="6" borderId="0" xfId="16" applyNumberFormat="1" applyFont="1" applyFill="1"/>
    <xf numFmtId="173" fontId="7" fillId="0" borderId="15" xfId="16" applyNumberFormat="1" applyFont="1" applyBorder="1"/>
    <xf numFmtId="166" fontId="0" fillId="5" borderId="2" xfId="31" applyFont="1" applyFill="1" applyBorder="1" applyAlignment="1" applyProtection="1">
      <protection locked="0"/>
    </xf>
    <xf numFmtId="173" fontId="5" fillId="0" borderId="15" xfId="16" applyNumberFormat="1" applyBorder="1"/>
    <xf numFmtId="166" fontId="5" fillId="7" borderId="0" xfId="29" applyFill="1" applyBorder="1" applyProtection="1">
      <protection locked="0"/>
    </xf>
    <xf numFmtId="166" fontId="17" fillId="0" borderId="2" xfId="31" applyFont="1" applyFill="1" applyBorder="1" applyAlignment="1" applyProtection="1"/>
    <xf numFmtId="166" fontId="17" fillId="0" borderId="0" xfId="31" applyFont="1" applyFill="1" applyBorder="1" applyAlignment="1" applyProtection="1"/>
    <xf numFmtId="166" fontId="4" fillId="0" borderId="8" xfId="16" applyNumberFormat="1" applyFont="1" applyBorder="1" applyAlignment="1">
      <alignment horizontal="left"/>
    </xf>
    <xf numFmtId="166" fontId="4" fillId="0" borderId="44" xfId="31" applyFont="1" applyFill="1" applyBorder="1" applyAlignment="1" applyProtection="1"/>
    <xf numFmtId="0" fontId="11" fillId="0" borderId="15" xfId="16" applyFont="1" applyBorder="1"/>
    <xf numFmtId="166" fontId="4" fillId="0" borderId="8" xfId="16" applyNumberFormat="1" applyFont="1" applyBorder="1"/>
    <xf numFmtId="0" fontId="20" fillId="0" borderId="0" xfId="16" applyFont="1"/>
    <xf numFmtId="2" fontId="4" fillId="0" borderId="8" xfId="16" applyNumberFormat="1" applyFont="1" applyBorder="1"/>
    <xf numFmtId="0" fontId="7" fillId="0" borderId="45" xfId="16" applyFont="1" applyBorder="1"/>
    <xf numFmtId="0" fontId="11" fillId="0" borderId="17" xfId="16" applyFont="1" applyBorder="1"/>
    <xf numFmtId="0" fontId="11" fillId="0" borderId="4" xfId="16" applyFont="1" applyBorder="1"/>
    <xf numFmtId="0" fontId="4" fillId="0" borderId="4" xfId="16" applyFont="1" applyBorder="1"/>
    <xf numFmtId="0" fontId="5" fillId="0" borderId="24" xfId="16" applyBorder="1"/>
    <xf numFmtId="0" fontId="4" fillId="0" borderId="24" xfId="16" applyFont="1" applyBorder="1"/>
    <xf numFmtId="2" fontId="4" fillId="0" borderId="46" xfId="16" applyNumberFormat="1" applyFont="1" applyBorder="1"/>
    <xf numFmtId="166" fontId="5" fillId="0" borderId="46" xfId="16" applyNumberFormat="1" applyBorder="1"/>
    <xf numFmtId="0" fontId="5" fillId="0" borderId="14" xfId="16" applyBorder="1"/>
    <xf numFmtId="166" fontId="5" fillId="0" borderId="15" xfId="16" applyNumberFormat="1" applyBorder="1"/>
    <xf numFmtId="0" fontId="4" fillId="0" borderId="16" xfId="16" applyFont="1" applyBorder="1"/>
    <xf numFmtId="0" fontId="4" fillId="0" borderId="0" xfId="0" applyFont="1" applyAlignment="1">
      <alignment horizontal="center" vertical="center"/>
    </xf>
    <xf numFmtId="9" fontId="0" fillId="2" borderId="2" xfId="22" applyFont="1" applyFill="1" applyBorder="1" applyAlignment="1" applyProtection="1">
      <alignment horizontal="center" vertical="center"/>
      <protection locked="0"/>
    </xf>
    <xf numFmtId="174" fontId="0" fillId="2" borderId="2" xfId="0" applyNumberFormat="1" applyFill="1" applyBorder="1" applyAlignment="1" applyProtection="1">
      <alignment horizontal="center" vertical="center"/>
      <protection locked="0"/>
    </xf>
    <xf numFmtId="174" fontId="4" fillId="0" borderId="0" xfId="0" applyNumberFormat="1" applyFont="1" applyAlignment="1">
      <alignment horizontal="center" vertical="center"/>
    </xf>
    <xf numFmtId="0" fontId="4" fillId="0" borderId="2" xfId="0" applyFont="1" applyBorder="1" applyAlignment="1">
      <alignment horizontal="center" vertical="center"/>
    </xf>
    <xf numFmtId="9" fontId="0" fillId="0" borderId="0" xfId="22" applyFont="1" applyAlignment="1">
      <alignment horizontal="center" vertical="center"/>
    </xf>
    <xf numFmtId="0" fontId="22" fillId="0" borderId="50" xfId="0" applyFont="1" applyBorder="1" applyAlignment="1">
      <alignment horizontal="left" vertical="top" wrapText="1"/>
    </xf>
    <xf numFmtId="0" fontId="22" fillId="0" borderId="6" xfId="0" applyFont="1" applyBorder="1" applyAlignment="1">
      <alignment horizontal="left" vertical="top" wrapText="1"/>
    </xf>
    <xf numFmtId="0" fontId="22" fillId="0" borderId="51" xfId="0" applyFont="1" applyBorder="1" applyAlignment="1">
      <alignment horizontal="left" vertical="top" wrapText="1"/>
    </xf>
    <xf numFmtId="0" fontId="22" fillId="0" borderId="47" xfId="0" applyFont="1" applyBorder="1" applyAlignment="1">
      <alignment horizontal="left" vertical="top" wrapText="1"/>
    </xf>
    <xf numFmtId="0" fontId="22" fillId="0" borderId="20" xfId="0" applyFont="1" applyBorder="1" applyAlignment="1">
      <alignment horizontal="left" vertical="top" wrapText="1"/>
    </xf>
    <xf numFmtId="0" fontId="22" fillId="0" borderId="3" xfId="0" applyFont="1" applyBorder="1" applyAlignment="1">
      <alignment horizontal="left" vertical="top" wrapText="1"/>
    </xf>
    <xf numFmtId="0" fontId="0" fillId="0" borderId="49" xfId="0" applyBorder="1"/>
    <xf numFmtId="0" fontId="0" fillId="0" borderId="52" xfId="0" applyBorder="1"/>
    <xf numFmtId="44" fontId="0" fillId="0" borderId="52" xfId="27" applyFont="1" applyBorder="1"/>
    <xf numFmtId="44" fontId="4" fillId="0" borderId="52" xfId="27" applyFont="1" applyBorder="1"/>
    <xf numFmtId="0" fontId="0" fillId="0" borderId="50" xfId="0" applyBorder="1"/>
    <xf numFmtId="44" fontId="0" fillId="0" borderId="51" xfId="27" applyFont="1" applyBorder="1"/>
    <xf numFmtId="44" fontId="4" fillId="0" borderId="51" xfId="27" applyFont="1" applyBorder="1"/>
    <xf numFmtId="0" fontId="0" fillId="0" borderId="51" xfId="0" applyBorder="1"/>
    <xf numFmtId="0" fontId="4" fillId="0" borderId="52" xfId="0" applyFont="1" applyBorder="1" applyAlignment="1">
      <alignment horizontal="center" vertical="center"/>
    </xf>
    <xf numFmtId="44" fontId="4" fillId="0" borderId="52" xfId="0" applyNumberFormat="1" applyFont="1" applyBorder="1"/>
    <xf numFmtId="44" fontId="4" fillId="0" borderId="5" xfId="0" applyNumberFormat="1" applyFont="1" applyBorder="1"/>
    <xf numFmtId="44" fontId="17" fillId="0" borderId="52" xfId="27" applyFont="1" applyBorder="1"/>
    <xf numFmtId="44" fontId="17" fillId="0" borderId="51" xfId="27" applyFont="1" applyBorder="1"/>
    <xf numFmtId="44" fontId="18" fillId="0" borderId="2" xfId="0" applyNumberFormat="1" applyFont="1" applyBorder="1"/>
    <xf numFmtId="44" fontId="18" fillId="0" borderId="21" xfId="0" applyNumberFormat="1" applyFont="1" applyBorder="1"/>
    <xf numFmtId="2" fontId="0" fillId="2" borderId="2" xfId="0" applyNumberFormat="1" applyFill="1" applyBorder="1" applyAlignment="1" applyProtection="1">
      <alignment horizontal="center" vertical="center"/>
      <protection locked="0"/>
    </xf>
    <xf numFmtId="0" fontId="23" fillId="0" borderId="0" xfId="34"/>
    <xf numFmtId="0" fontId="0" fillId="2" borderId="2" xfId="0" applyFill="1" applyBorder="1" applyProtection="1">
      <protection locked="0"/>
    </xf>
    <xf numFmtId="0" fontId="4" fillId="0" borderId="0" xfId="16" applyFont="1" applyAlignment="1">
      <alignment vertical="center" wrapText="1"/>
    </xf>
    <xf numFmtId="0" fontId="4" fillId="0" borderId="0" xfId="16" applyFont="1" applyAlignment="1">
      <alignment horizontal="center" vertical="center" wrapText="1"/>
    </xf>
    <xf numFmtId="0" fontId="3" fillId="0" borderId="0" xfId="0" applyFont="1"/>
    <xf numFmtId="0" fontId="3" fillId="2" borderId="2" xfId="0" applyFont="1" applyFill="1" applyBorder="1" applyProtection="1">
      <protection locked="0"/>
    </xf>
    <xf numFmtId="174" fontId="3" fillId="2" borderId="2" xfId="0" applyNumberFormat="1" applyFont="1" applyFill="1" applyBorder="1" applyAlignment="1" applyProtection="1">
      <alignment horizontal="center" vertical="center"/>
      <protection locked="0"/>
    </xf>
    <xf numFmtId="2" fontId="3" fillId="2" borderId="2" xfId="0" applyNumberFormat="1" applyFont="1" applyFill="1" applyBorder="1" applyAlignment="1" applyProtection="1">
      <alignment horizontal="center" vertical="center"/>
      <protection locked="0"/>
    </xf>
    <xf numFmtId="0" fontId="5" fillId="0" borderId="0" xfId="16" applyProtection="1">
      <protection locked="0"/>
    </xf>
    <xf numFmtId="0" fontId="3" fillId="0" borderId="0" xfId="16" applyFont="1" applyAlignment="1">
      <alignment vertical="center"/>
    </xf>
    <xf numFmtId="0" fontId="3" fillId="0" borderId="0" xfId="16" applyFont="1"/>
    <xf numFmtId="177" fontId="5" fillId="0" borderId="2" xfId="16" applyNumberFormat="1" applyBorder="1" applyAlignment="1">
      <alignment horizontal="center" vertical="center"/>
    </xf>
    <xf numFmtId="176" fontId="5" fillId="0" borderId="2" xfId="16" applyNumberFormat="1" applyBorder="1"/>
    <xf numFmtId="176" fontId="13" fillId="0" borderId="2" xfId="5" applyNumberFormat="1" applyFont="1" applyBorder="1" applyAlignment="1">
      <alignment horizontal="center" vertical="center"/>
    </xf>
    <xf numFmtId="164" fontId="13" fillId="0" borderId="2" xfId="5" applyFont="1" applyBorder="1" applyAlignment="1">
      <alignment horizontal="center" vertical="center"/>
    </xf>
    <xf numFmtId="0" fontId="17" fillId="2" borderId="2" xfId="16" applyFont="1" applyFill="1" applyBorder="1" applyProtection="1">
      <protection locked="0"/>
    </xf>
    <xf numFmtId="0" fontId="27" fillId="0" borderId="0" xfId="16" applyFont="1"/>
    <xf numFmtId="2" fontId="26" fillId="0" borderId="2" xfId="16" applyNumberFormat="1" applyFont="1" applyBorder="1" applyAlignment="1">
      <alignment horizontal="center" vertical="center"/>
    </xf>
    <xf numFmtId="176" fontId="13" fillId="0" borderId="2" xfId="5" applyNumberFormat="1" applyFont="1" applyBorder="1" applyAlignment="1">
      <alignment vertical="center"/>
    </xf>
    <xf numFmtId="2" fontId="3" fillId="0" borderId="0" xfId="0" applyNumberFormat="1" applyFont="1"/>
    <xf numFmtId="0" fontId="27" fillId="0" borderId="0" xfId="0" applyFont="1" applyAlignment="1">
      <alignment horizontal="center" vertical="center"/>
    </xf>
    <xf numFmtId="0" fontId="0" fillId="0" borderId="0" xfId="0" applyAlignment="1">
      <alignment horizontal="center" vertical="center"/>
    </xf>
    <xf numFmtId="174" fontId="5" fillId="3" borderId="0" xfId="16" applyNumberFormat="1" applyFill="1" applyAlignment="1" applyProtection="1">
      <alignment horizontal="center" vertical="center"/>
      <protection locked="0"/>
    </xf>
    <xf numFmtId="9" fontId="4" fillId="0" borderId="0" xfId="22" applyFont="1" applyAlignment="1">
      <alignment horizontal="center" vertical="center"/>
    </xf>
    <xf numFmtId="0" fontId="3" fillId="0" borderId="22" xfId="16" applyFont="1" applyBorder="1" applyAlignment="1">
      <alignment horizontal="left"/>
    </xf>
    <xf numFmtId="0" fontId="4" fillId="2" borderId="2" xfId="16" applyFont="1" applyFill="1" applyBorder="1" applyAlignment="1" applyProtection="1">
      <alignment horizontal="center"/>
      <protection locked="0"/>
    </xf>
    <xf numFmtId="174" fontId="5" fillId="2" borderId="2" xfId="16" applyNumberFormat="1" applyFill="1" applyBorder="1" applyProtection="1">
      <protection locked="0"/>
    </xf>
    <xf numFmtId="2" fontId="5" fillId="2" borderId="2" xfId="16" applyNumberFormat="1" applyFill="1" applyBorder="1" applyProtection="1">
      <protection locked="0"/>
    </xf>
    <xf numFmtId="176" fontId="3" fillId="0" borderId="2" xfId="16" applyNumberFormat="1" applyFont="1" applyBorder="1"/>
    <xf numFmtId="0" fontId="31" fillId="0" borderId="0" xfId="0" applyFont="1" applyAlignment="1">
      <alignment vertical="center"/>
    </xf>
    <xf numFmtId="0" fontId="32" fillId="0" borderId="0" xfId="0" applyFont="1" applyAlignment="1">
      <alignment vertical="center"/>
    </xf>
    <xf numFmtId="2" fontId="3" fillId="2" borderId="2" xfId="22" applyNumberFormat="1" applyFill="1" applyBorder="1" applyAlignment="1" applyProtection="1">
      <alignment horizontal="right"/>
      <protection locked="0"/>
    </xf>
    <xf numFmtId="2" fontId="3" fillId="3" borderId="2" xfId="22" applyNumberFormat="1" applyFill="1" applyBorder="1" applyAlignment="1" applyProtection="1">
      <alignment horizontal="center" vertical="center"/>
      <protection locked="0"/>
    </xf>
    <xf numFmtId="1" fontId="3" fillId="2" borderId="2" xfId="22" applyNumberFormat="1" applyFill="1" applyBorder="1" applyAlignment="1" applyProtection="1">
      <alignment horizontal="center" vertical="center"/>
      <protection locked="0"/>
    </xf>
    <xf numFmtId="179" fontId="3" fillId="0" borderId="2" xfId="5" applyNumberFormat="1" applyBorder="1" applyAlignment="1">
      <alignment horizontal="right"/>
    </xf>
    <xf numFmtId="179" fontId="3" fillId="2" borderId="2" xfId="5" applyNumberFormat="1" applyFill="1" applyBorder="1" applyAlignment="1" applyProtection="1">
      <alignment horizontal="center" vertical="center"/>
      <protection locked="0"/>
    </xf>
    <xf numFmtId="1" fontId="0" fillId="0" borderId="2" xfId="0" applyNumberFormat="1" applyBorder="1" applyAlignment="1">
      <alignment horizontal="center" vertical="center"/>
    </xf>
    <xf numFmtId="2" fontId="0" fillId="2" borderId="2" xfId="0" applyNumberFormat="1" applyFill="1" applyBorder="1" applyAlignment="1" applyProtection="1">
      <alignment horizontal="right"/>
      <protection locked="0"/>
    </xf>
    <xf numFmtId="1" fontId="3" fillId="2" borderId="2" xfId="22" applyNumberFormat="1" applyFill="1" applyBorder="1" applyAlignment="1" applyProtection="1">
      <alignment horizontal="right"/>
      <protection locked="0"/>
    </xf>
    <xf numFmtId="1" fontId="4" fillId="0" borderId="2" xfId="0" applyNumberFormat="1" applyFont="1" applyBorder="1" applyAlignment="1">
      <alignment horizontal="center" vertical="center"/>
    </xf>
    <xf numFmtId="1" fontId="0" fillId="0" borderId="2" xfId="0" applyNumberFormat="1" applyBorder="1" applyAlignment="1">
      <alignment horizontal="right"/>
    </xf>
    <xf numFmtId="177" fontId="0" fillId="0" borderId="2" xfId="0" applyNumberFormat="1" applyBorder="1" applyAlignment="1">
      <alignment horizontal="center" vertical="center"/>
    </xf>
    <xf numFmtId="0" fontId="3" fillId="0" borderId="2" xfId="0" applyFont="1" applyBorder="1"/>
    <xf numFmtId="174" fontId="0" fillId="0" borderId="2" xfId="0" applyNumberFormat="1" applyBorder="1" applyAlignment="1">
      <alignment horizontal="right"/>
    </xf>
    <xf numFmtId="0" fontId="9" fillId="0" borderId="56" xfId="16" applyFont="1" applyBorder="1"/>
    <xf numFmtId="0" fontId="8" fillId="2" borderId="2" xfId="16" applyFont="1" applyFill="1" applyBorder="1" applyProtection="1">
      <protection locked="0"/>
    </xf>
    <xf numFmtId="174" fontId="5" fillId="4" borderId="2" xfId="16" applyNumberFormat="1" applyFill="1" applyBorder="1" applyProtection="1">
      <protection locked="0"/>
    </xf>
    <xf numFmtId="166" fontId="5" fillId="4" borderId="2" xfId="29" applyFill="1" applyBorder="1" applyProtection="1">
      <protection locked="0"/>
    </xf>
    <xf numFmtId="0" fontId="5" fillId="5" borderId="33" xfId="16" applyFill="1" applyBorder="1"/>
    <xf numFmtId="0" fontId="29" fillId="2" borderId="2" xfId="16" applyFont="1" applyFill="1" applyBorder="1" applyAlignment="1" applyProtection="1">
      <alignment horizontal="left"/>
      <protection locked="0"/>
    </xf>
    <xf numFmtId="174" fontId="0" fillId="3" borderId="2" xfId="0" applyNumberFormat="1" applyFill="1" applyBorder="1" applyAlignment="1">
      <alignment horizontal="right"/>
    </xf>
    <xf numFmtId="176" fontId="4" fillId="0" borderId="2" xfId="16" applyNumberFormat="1" applyFont="1" applyBorder="1"/>
    <xf numFmtId="178" fontId="13" fillId="0" borderId="2" xfId="16" applyNumberFormat="1" applyFont="1" applyBorder="1"/>
    <xf numFmtId="172" fontId="5" fillId="4" borderId="2" xfId="16" applyNumberFormat="1" applyFill="1" applyBorder="1" applyProtection="1">
      <protection locked="0"/>
    </xf>
    <xf numFmtId="174" fontId="3" fillId="2" borderId="2" xfId="22" applyNumberFormat="1" applyFill="1" applyBorder="1" applyAlignment="1" applyProtection="1">
      <alignment horizontal="right"/>
      <protection locked="0"/>
    </xf>
    <xf numFmtId="0" fontId="5" fillId="2" borderId="2" xfId="16" applyFill="1" applyBorder="1" applyAlignment="1" applyProtection="1">
      <alignment horizontal="center" vertical="center"/>
      <protection locked="0"/>
    </xf>
    <xf numFmtId="174" fontId="5" fillId="2" borderId="2" xfId="16" applyNumberFormat="1" applyFill="1" applyBorder="1" applyAlignment="1" applyProtection="1">
      <alignment horizontal="right"/>
      <protection locked="0"/>
    </xf>
    <xf numFmtId="166" fontId="4" fillId="0" borderId="46" xfId="16" applyNumberFormat="1" applyFont="1" applyBorder="1"/>
    <xf numFmtId="0" fontId="18" fillId="0" borderId="15" xfId="16" applyFont="1" applyBorder="1" applyAlignment="1">
      <alignment horizontal="center"/>
    </xf>
    <xf numFmtId="166" fontId="11" fillId="0" borderId="21" xfId="31" applyFont="1" applyFill="1" applyBorder="1" applyAlignment="1" applyProtection="1"/>
    <xf numFmtId="166" fontId="17" fillId="0" borderId="21" xfId="31" applyFont="1" applyFill="1" applyBorder="1" applyAlignment="1" applyProtection="1"/>
    <xf numFmtId="166" fontId="4" fillId="0" borderId="10" xfId="16" applyNumberFormat="1" applyFont="1" applyBorder="1" applyAlignment="1">
      <alignment horizontal="left"/>
    </xf>
    <xf numFmtId="0" fontId="5" fillId="0" borderId="46" xfId="16" applyBorder="1"/>
    <xf numFmtId="0" fontId="4" fillId="0" borderId="59" xfId="16" applyFont="1" applyBorder="1"/>
    <xf numFmtId="0" fontId="3" fillId="0" borderId="59" xfId="16" applyFont="1" applyBorder="1"/>
    <xf numFmtId="0" fontId="5" fillId="0" borderId="59" xfId="16" applyBorder="1"/>
    <xf numFmtId="166" fontId="5" fillId="0" borderId="59" xfId="16" applyNumberFormat="1" applyBorder="1"/>
    <xf numFmtId="166" fontId="5" fillId="0" borderId="59" xfId="29" applyBorder="1"/>
    <xf numFmtId="166" fontId="4" fillId="0" borderId="59" xfId="16" applyNumberFormat="1" applyFont="1" applyBorder="1"/>
    <xf numFmtId="0" fontId="3" fillId="0" borderId="49" xfId="16" applyFont="1" applyBorder="1" applyAlignment="1">
      <alignment horizontal="right"/>
    </xf>
    <xf numFmtId="1" fontId="5" fillId="4" borderId="0" xfId="16" applyNumberFormat="1" applyFill="1" applyProtection="1">
      <protection locked="0"/>
    </xf>
    <xf numFmtId="1" fontId="5" fillId="4" borderId="3" xfId="16" applyNumberFormat="1" applyFill="1" applyBorder="1" applyProtection="1">
      <protection locked="0"/>
    </xf>
    <xf numFmtId="166" fontId="0" fillId="5" borderId="7" xfId="31" applyFont="1" applyFill="1" applyBorder="1" applyAlignment="1" applyProtection="1"/>
    <xf numFmtId="166" fontId="4" fillId="0" borderId="7" xfId="29" applyFont="1" applyFill="1" applyBorder="1" applyAlignment="1" applyProtection="1"/>
    <xf numFmtId="0" fontId="5" fillId="0" borderId="49" xfId="16" applyBorder="1"/>
    <xf numFmtId="172" fontId="5" fillId="4" borderId="2" xfId="16" applyNumberFormat="1" applyFill="1" applyBorder="1" applyAlignment="1" applyProtection="1">
      <alignment horizontal="center"/>
      <protection locked="0"/>
    </xf>
    <xf numFmtId="171" fontId="5" fillId="4" borderId="2" xfId="16" applyNumberFormat="1" applyFill="1" applyBorder="1" applyProtection="1">
      <protection locked="0"/>
    </xf>
    <xf numFmtId="0" fontId="3" fillId="0" borderId="0" xfId="16" applyFont="1" applyAlignment="1">
      <alignment horizontal="center"/>
    </xf>
    <xf numFmtId="178" fontId="4" fillId="0" borderId="2" xfId="5" applyNumberFormat="1" applyFont="1" applyBorder="1"/>
    <xf numFmtId="44" fontId="4" fillId="0" borderId="2" xfId="27" applyFont="1" applyBorder="1"/>
    <xf numFmtId="0" fontId="4" fillId="0" borderId="0" xfId="16" applyFont="1" applyAlignment="1">
      <alignment horizontal="center" vertical="center"/>
    </xf>
    <xf numFmtId="176" fontId="3" fillId="0" borderId="2" xfId="5" applyNumberFormat="1" applyFont="1" applyBorder="1"/>
    <xf numFmtId="0" fontId="13" fillId="0" borderId="0" xfId="16" applyFont="1"/>
    <xf numFmtId="166" fontId="5" fillId="4" borderId="21" xfId="29" applyFill="1" applyBorder="1" applyProtection="1">
      <protection locked="0"/>
    </xf>
    <xf numFmtId="2" fontId="5" fillId="0" borderId="2" xfId="16" applyNumberFormat="1" applyBorder="1"/>
    <xf numFmtId="2" fontId="4" fillId="0" borderId="2" xfId="16" applyNumberFormat="1" applyFont="1" applyBorder="1"/>
    <xf numFmtId="0" fontId="4" fillId="0" borderId="0" xfId="16" applyFont="1" applyAlignment="1">
      <alignment horizontal="center"/>
    </xf>
    <xf numFmtId="2" fontId="39" fillId="0" borderId="0" xfId="16" applyNumberFormat="1" applyFont="1" applyAlignment="1">
      <alignment horizontal="center"/>
    </xf>
    <xf numFmtId="0" fontId="36" fillId="0" borderId="11" xfId="16" applyFont="1" applyBorder="1"/>
    <xf numFmtId="0" fontId="34" fillId="0" borderId="14" xfId="16" applyFont="1" applyBorder="1"/>
    <xf numFmtId="0" fontId="3" fillId="0" borderId="14" xfId="16" applyFont="1" applyBorder="1"/>
    <xf numFmtId="0" fontId="18" fillId="0" borderId="15" xfId="16" applyFont="1" applyBorder="1"/>
    <xf numFmtId="0" fontId="4" fillId="0" borderId="14" xfId="16" applyFont="1" applyBorder="1"/>
    <xf numFmtId="0" fontId="38" fillId="0" borderId="0" xfId="16" applyFont="1"/>
    <xf numFmtId="0" fontId="5" fillId="0" borderId="16" xfId="16" applyBorder="1"/>
    <xf numFmtId="0" fontId="5" fillId="0" borderId="4" xfId="16" applyBorder="1"/>
    <xf numFmtId="0" fontId="5" fillId="0" borderId="17" xfId="16" applyBorder="1"/>
    <xf numFmtId="0" fontId="36" fillId="0" borderId="12" xfId="16" applyFont="1" applyBorder="1"/>
    <xf numFmtId="0" fontId="4" fillId="0" borderId="15" xfId="16" applyFont="1" applyBorder="1"/>
    <xf numFmtId="0" fontId="3" fillId="0" borderId="15" xfId="16" applyFont="1" applyBorder="1"/>
    <xf numFmtId="0" fontId="3" fillId="0" borderId="14" xfId="0" applyFont="1" applyBorder="1"/>
    <xf numFmtId="0" fontId="0" fillId="0" borderId="14" xfId="0" applyBorder="1"/>
    <xf numFmtId="174" fontId="5" fillId="0" borderId="2" xfId="16" applyNumberFormat="1" applyBorder="1"/>
    <xf numFmtId="174" fontId="13" fillId="0" borderId="2" xfId="16" applyNumberFormat="1" applyFont="1" applyBorder="1"/>
    <xf numFmtId="1" fontId="5" fillId="0" borderId="2" xfId="16" applyNumberFormat="1" applyBorder="1"/>
    <xf numFmtId="178" fontId="5" fillId="0" borderId="2" xfId="16" applyNumberFormat="1" applyBorder="1"/>
    <xf numFmtId="0" fontId="5" fillId="0" borderId="58" xfId="16" applyBorder="1"/>
    <xf numFmtId="176" fontId="13" fillId="0" borderId="2" xfId="16" applyNumberFormat="1" applyFont="1" applyBorder="1"/>
    <xf numFmtId="0" fontId="13" fillId="0" borderId="11" xfId="0" applyFont="1" applyBorder="1"/>
    <xf numFmtId="0" fontId="13" fillId="0" borderId="14" xfId="0" applyFont="1" applyBorder="1"/>
    <xf numFmtId="0" fontId="3" fillId="0" borderId="0" xfId="16" applyFont="1" applyAlignment="1">
      <alignment horizontal="right"/>
    </xf>
    <xf numFmtId="174" fontId="17" fillId="4" borderId="2" xfId="16" applyNumberFormat="1" applyFont="1" applyFill="1" applyBorder="1" applyProtection="1">
      <protection locked="0"/>
    </xf>
    <xf numFmtId="174" fontId="42" fillId="4" borderId="2" xfId="16" applyNumberFormat="1" applyFont="1" applyFill="1" applyBorder="1" applyProtection="1">
      <protection locked="0"/>
    </xf>
    <xf numFmtId="179" fontId="5" fillId="0" borderId="2" xfId="16" applyNumberFormat="1" applyBorder="1"/>
    <xf numFmtId="164" fontId="5" fillId="0" borderId="2" xfId="16" applyNumberFormat="1" applyBorder="1"/>
    <xf numFmtId="0" fontId="3" fillId="0" borderId="2" xfId="16" applyFont="1" applyBorder="1"/>
    <xf numFmtId="170" fontId="5" fillId="0" borderId="2" xfId="16" applyNumberFormat="1" applyBorder="1"/>
    <xf numFmtId="164" fontId="43" fillId="0" borderId="2" xfId="16" applyNumberFormat="1" applyFont="1" applyBorder="1"/>
    <xf numFmtId="177" fontId="5" fillId="2" borderId="2" xfId="16" applyNumberFormat="1" applyFill="1" applyBorder="1" applyProtection="1">
      <protection locked="0"/>
    </xf>
    <xf numFmtId="0" fontId="3" fillId="2" borderId="2" xfId="16" applyFont="1" applyFill="1" applyBorder="1" applyProtection="1">
      <protection locked="0"/>
    </xf>
    <xf numFmtId="0" fontId="3" fillId="2" borderId="2" xfId="16" applyFont="1" applyFill="1" applyBorder="1" applyAlignment="1" applyProtection="1">
      <alignment horizontal="right"/>
      <protection locked="0"/>
    </xf>
    <xf numFmtId="0" fontId="3" fillId="0" borderId="0" xfId="16" applyFont="1" applyAlignment="1">
      <alignment wrapText="1"/>
    </xf>
    <xf numFmtId="0" fontId="3" fillId="0" borderId="14" xfId="16" applyFont="1" applyBorder="1" applyAlignment="1">
      <alignment horizontal="right"/>
    </xf>
    <xf numFmtId="0" fontId="4" fillId="3" borderId="61" xfId="16" applyFont="1" applyFill="1" applyBorder="1" applyAlignment="1" applyProtection="1">
      <alignment vertical="top"/>
      <protection locked="0"/>
    </xf>
    <xf numFmtId="164" fontId="43" fillId="0" borderId="49" xfId="16" applyNumberFormat="1" applyFont="1" applyBorder="1"/>
    <xf numFmtId="0" fontId="3" fillId="0" borderId="3" xfId="16" applyFont="1" applyBorder="1"/>
    <xf numFmtId="164" fontId="5" fillId="0" borderId="20" xfId="16" applyNumberFormat="1" applyBorder="1"/>
    <xf numFmtId="0" fontId="3" fillId="2" borderId="6" xfId="16" applyFont="1" applyFill="1" applyBorder="1" applyProtection="1">
      <protection locked="0"/>
    </xf>
    <xf numFmtId="0" fontId="18" fillId="0" borderId="0" xfId="16" applyFont="1" applyAlignment="1">
      <alignment horizontal="center"/>
    </xf>
    <xf numFmtId="0" fontId="13" fillId="0" borderId="0" xfId="0" applyFont="1"/>
    <xf numFmtId="44" fontId="0" fillId="0" borderId="2" xfId="0" applyNumberFormat="1" applyBorder="1"/>
    <xf numFmtId="178" fontId="5" fillId="0" borderId="49" xfId="16" applyNumberFormat="1" applyBorder="1"/>
    <xf numFmtId="174" fontId="5" fillId="0" borderId="5" xfId="16" applyNumberFormat="1" applyBorder="1"/>
    <xf numFmtId="0" fontId="18" fillId="0" borderId="9" xfId="16" applyFont="1" applyBorder="1"/>
    <xf numFmtId="178" fontId="40" fillId="0" borderId="54" xfId="16" applyNumberFormat="1" applyFont="1" applyBorder="1"/>
    <xf numFmtId="0" fontId="4" fillId="0" borderId="9" xfId="16" applyFont="1" applyBorder="1"/>
    <xf numFmtId="177" fontId="0" fillId="0" borderId="49" xfId="0" applyNumberFormat="1" applyBorder="1" applyAlignment="1">
      <alignment horizontal="right"/>
    </xf>
    <xf numFmtId="0" fontId="17" fillId="0" borderId="9" xfId="0" applyFont="1" applyBorder="1"/>
    <xf numFmtId="0" fontId="5" fillId="0" borderId="63" xfId="16" applyBorder="1"/>
    <xf numFmtId="2" fontId="5" fillId="5" borderId="57" xfId="16" applyNumberFormat="1" applyFill="1" applyBorder="1"/>
    <xf numFmtId="166" fontId="0" fillId="0" borderId="7" xfId="31" applyFont="1" applyFill="1" applyBorder="1" applyAlignment="1" applyProtection="1"/>
    <xf numFmtId="2" fontId="5" fillId="0" borderId="59" xfId="16" applyNumberFormat="1" applyBorder="1"/>
    <xf numFmtId="2" fontId="5" fillId="4" borderId="2" xfId="16" applyNumberFormat="1" applyFill="1" applyBorder="1" applyProtection="1">
      <protection locked="0"/>
    </xf>
    <xf numFmtId="2" fontId="4" fillId="0" borderId="59" xfId="16" applyNumberFormat="1" applyFont="1" applyBorder="1"/>
    <xf numFmtId="2" fontId="5" fillId="4" borderId="64" xfId="16" applyNumberFormat="1" applyFill="1" applyBorder="1" applyProtection="1">
      <protection locked="0"/>
    </xf>
    <xf numFmtId="172" fontId="5" fillId="4" borderId="21" xfId="16" applyNumberFormat="1" applyFill="1" applyBorder="1" applyProtection="1">
      <protection locked="0"/>
    </xf>
    <xf numFmtId="2" fontId="4" fillId="0" borderId="49" xfId="16" applyNumberFormat="1" applyFont="1" applyBorder="1"/>
    <xf numFmtId="2" fontId="5" fillId="0" borderId="52" xfId="16" applyNumberFormat="1" applyBorder="1"/>
    <xf numFmtId="0" fontId="3" fillId="0" borderId="0" xfId="16" applyFont="1" applyAlignment="1">
      <alignment vertical="top"/>
    </xf>
    <xf numFmtId="0" fontId="5" fillId="0" borderId="0" xfId="16" applyAlignment="1">
      <alignment vertical="top"/>
    </xf>
    <xf numFmtId="2" fontId="5" fillId="5" borderId="24" xfId="16" applyNumberFormat="1" applyFill="1" applyBorder="1"/>
    <xf numFmtId="166" fontId="4" fillId="0" borderId="25" xfId="31" applyFont="1" applyFill="1" applyBorder="1" applyAlignment="1" applyProtection="1"/>
    <xf numFmtId="2" fontId="4" fillId="0" borderId="5" xfId="16" applyNumberFormat="1" applyFont="1" applyBorder="1"/>
    <xf numFmtId="2" fontId="3" fillId="0" borderId="2" xfId="16" applyNumberFormat="1" applyFont="1" applyBorder="1" applyAlignment="1">
      <alignment horizontal="center" vertical="center"/>
    </xf>
    <xf numFmtId="2" fontId="4" fillId="0" borderId="2" xfId="16" applyNumberFormat="1" applyFont="1" applyBorder="1" applyAlignment="1">
      <alignment horizontal="center" vertical="center"/>
    </xf>
    <xf numFmtId="0" fontId="4" fillId="0" borderId="41" xfId="16" applyFont="1" applyBorder="1" applyAlignment="1">
      <alignment horizontal="center" vertical="center"/>
    </xf>
    <xf numFmtId="0" fontId="4" fillId="0" borderId="54" xfId="16" applyFont="1" applyBorder="1" applyAlignment="1">
      <alignment horizontal="center" vertical="center"/>
    </xf>
    <xf numFmtId="2" fontId="5" fillId="7" borderId="2" xfId="16" applyNumberFormat="1" applyFill="1" applyBorder="1"/>
    <xf numFmtId="2" fontId="5" fillId="7" borderId="64" xfId="16" applyNumberFormat="1" applyFill="1" applyBorder="1"/>
    <xf numFmtId="2" fontId="17" fillId="0" borderId="2" xfId="31" applyNumberFormat="1" applyFont="1" applyFill="1" applyBorder="1" applyAlignment="1" applyProtection="1"/>
    <xf numFmtId="0" fontId="3" fillId="2" borderId="2" xfId="0" applyFont="1" applyFill="1" applyBorder="1" applyAlignment="1" applyProtection="1">
      <alignment horizontal="center" vertical="center"/>
      <protection locked="0"/>
    </xf>
    <xf numFmtId="173" fontId="3" fillId="0" borderId="15" xfId="16" applyNumberFormat="1" applyFont="1" applyBorder="1"/>
    <xf numFmtId="0" fontId="8" fillId="0" borderId="0" xfId="16" applyFont="1" applyAlignment="1">
      <alignment horizontal="left"/>
    </xf>
    <xf numFmtId="44" fontId="4" fillId="0" borderId="2" xfId="0" applyNumberFormat="1" applyFont="1" applyBorder="1"/>
    <xf numFmtId="0" fontId="4" fillId="0" borderId="14" xfId="0" applyFont="1" applyBorder="1"/>
    <xf numFmtId="44" fontId="0" fillId="0" borderId="2" xfId="27" applyFont="1" applyBorder="1"/>
    <xf numFmtId="180" fontId="0" fillId="4" borderId="2" xfId="31" applyNumberFormat="1" applyFont="1" applyFill="1" applyBorder="1" applyAlignment="1" applyProtection="1">
      <protection locked="0"/>
    </xf>
    <xf numFmtId="2" fontId="5" fillId="0" borderId="2" xfId="16" applyNumberFormat="1" applyBorder="1" applyAlignment="1">
      <alignment horizontal="center" vertical="center"/>
    </xf>
    <xf numFmtId="174" fontId="5" fillId="2" borderId="2" xfId="16" applyNumberFormat="1" applyFill="1" applyBorder="1" applyAlignment="1" applyProtection="1">
      <alignment horizontal="center" vertical="center"/>
      <protection locked="0"/>
    </xf>
    <xf numFmtId="0" fontId="3" fillId="2" borderId="2" xfId="16" applyFont="1" applyFill="1" applyBorder="1" applyAlignment="1" applyProtection="1">
      <alignment wrapText="1"/>
      <protection locked="0"/>
    </xf>
    <xf numFmtId="0" fontId="3" fillId="2" borderId="68" xfId="16" applyFont="1" applyFill="1" applyBorder="1" applyProtection="1">
      <protection locked="0"/>
    </xf>
    <xf numFmtId="0" fontId="44" fillId="0" borderId="0" xfId="16" applyFont="1"/>
    <xf numFmtId="0" fontId="3" fillId="0" borderId="0" xfId="16" applyFont="1" applyAlignment="1">
      <alignment horizontal="left" vertical="top"/>
    </xf>
    <xf numFmtId="174" fontId="19" fillId="0" borderId="2" xfId="0" applyNumberFormat="1" applyFont="1" applyBorder="1" applyAlignment="1">
      <alignment horizontal="right"/>
    </xf>
    <xf numFmtId="177" fontId="45" fillId="0" borderId="7" xfId="0" applyNumberFormat="1" applyFont="1" applyBorder="1" applyAlignment="1">
      <alignment horizontal="center" vertical="center" wrapText="1"/>
    </xf>
    <xf numFmtId="0" fontId="8" fillId="2" borderId="2" xfId="16" applyFont="1" applyFill="1" applyBorder="1" applyAlignment="1" applyProtection="1">
      <alignment wrapText="1"/>
      <protection locked="0"/>
    </xf>
    <xf numFmtId="166" fontId="5" fillId="7" borderId="2" xfId="29" applyFill="1" applyBorder="1" applyProtection="1">
      <protection locked="0"/>
    </xf>
    <xf numFmtId="166" fontId="5" fillId="0" borderId="14" xfId="29" applyBorder="1"/>
    <xf numFmtId="0" fontId="46" fillId="2" borderId="2" xfId="16" applyFont="1" applyFill="1" applyBorder="1" applyProtection="1">
      <protection locked="0"/>
    </xf>
    <xf numFmtId="166" fontId="5" fillId="4" borderId="2" xfId="29" applyFill="1" applyBorder="1" applyAlignment="1" applyProtection="1">
      <alignment horizontal="center" vertical="center"/>
      <protection locked="0"/>
    </xf>
    <xf numFmtId="172" fontId="5" fillId="4" borderId="2" xfId="16" applyNumberFormat="1" applyFill="1" applyBorder="1" applyAlignment="1" applyProtection="1">
      <alignment horizontal="center" vertical="center"/>
      <protection locked="0"/>
    </xf>
    <xf numFmtId="174" fontId="3" fillId="2" borderId="2" xfId="0" applyNumberFormat="1" applyFont="1" applyFill="1" applyBorder="1" applyAlignment="1" applyProtection="1">
      <alignment horizontal="right"/>
      <protection locked="0"/>
    </xf>
    <xf numFmtId="0" fontId="3" fillId="0" borderId="0" xfId="0" applyFont="1" applyAlignment="1">
      <alignment wrapText="1"/>
    </xf>
    <xf numFmtId="1" fontId="5" fillId="3" borderId="2" xfId="16" applyNumberFormat="1" applyFill="1" applyBorder="1" applyAlignment="1" applyProtection="1">
      <alignment horizontal="center" vertical="center"/>
      <protection locked="0"/>
    </xf>
    <xf numFmtId="2" fontId="5" fillId="3" borderId="2" xfId="16" applyNumberFormat="1" applyFill="1" applyBorder="1" applyAlignment="1" applyProtection="1">
      <alignment horizontal="center" vertical="center"/>
      <protection locked="0"/>
    </xf>
    <xf numFmtId="1" fontId="4" fillId="0" borderId="2" xfId="0" applyNumberFormat="1" applyFont="1" applyBorder="1" applyAlignment="1">
      <alignment horizontal="right"/>
    </xf>
    <xf numFmtId="1" fontId="41" fillId="0" borderId="54" xfId="0" applyNumberFormat="1" applyFont="1" applyBorder="1" applyAlignment="1">
      <alignment horizontal="right"/>
    </xf>
    <xf numFmtId="176" fontId="40" fillId="0" borderId="8" xfId="16" applyNumberFormat="1" applyFont="1" applyBorder="1"/>
    <xf numFmtId="1" fontId="5" fillId="2" borderId="2" xfId="16" applyNumberFormat="1" applyFill="1" applyBorder="1" applyProtection="1">
      <protection locked="0"/>
    </xf>
    <xf numFmtId="176" fontId="0" fillId="3" borderId="2" xfId="5" applyNumberFormat="1" applyFont="1" applyFill="1" applyBorder="1" applyAlignment="1" applyProtection="1"/>
    <xf numFmtId="179" fontId="3" fillId="0" borderId="2" xfId="5" applyNumberFormat="1" applyBorder="1" applyAlignment="1"/>
    <xf numFmtId="1" fontId="3" fillId="0" borderId="2" xfId="0" applyNumberFormat="1" applyFont="1" applyBorder="1" applyAlignment="1">
      <alignment horizontal="right"/>
    </xf>
    <xf numFmtId="174" fontId="10" fillId="0" borderId="51" xfId="0" applyNumberFormat="1" applyFont="1" applyBorder="1" applyAlignment="1">
      <alignment horizontal="right"/>
    </xf>
    <xf numFmtId="177" fontId="5" fillId="0" borderId="2" xfId="16" applyNumberFormat="1" applyBorder="1"/>
    <xf numFmtId="181" fontId="5" fillId="2" borderId="2" xfId="16" applyNumberFormat="1" applyFill="1" applyBorder="1" applyAlignment="1" applyProtection="1">
      <alignment horizontal="right"/>
      <protection locked="0"/>
    </xf>
    <xf numFmtId="2" fontId="5" fillId="2" borderId="50" xfId="16" applyNumberFormat="1" applyFill="1" applyBorder="1" applyAlignment="1" applyProtection="1">
      <alignment horizontal="left" vertical="top"/>
      <protection locked="0"/>
    </xf>
    <xf numFmtId="0" fontId="3" fillId="0" borderId="2" xfId="16" applyFont="1" applyBorder="1" applyAlignment="1">
      <alignment horizontal="right"/>
    </xf>
    <xf numFmtId="175" fontId="5" fillId="0" borderId="49" xfId="16" applyNumberFormat="1" applyBorder="1"/>
    <xf numFmtId="44" fontId="39" fillId="0" borderId="0" xfId="27" applyFont="1" applyBorder="1" applyAlignment="1">
      <alignment horizontal="center"/>
    </xf>
    <xf numFmtId="0" fontId="23" fillId="0" borderId="0" xfId="34" applyFill="1"/>
    <xf numFmtId="2" fontId="11" fillId="0" borderId="2" xfId="31" applyNumberFormat="1" applyFont="1" applyFill="1" applyBorder="1" applyAlignment="1" applyProtection="1"/>
    <xf numFmtId="1" fontId="0" fillId="2" borderId="2" xfId="0" applyNumberFormat="1" applyFill="1" applyBorder="1" applyAlignment="1" applyProtection="1">
      <alignment horizontal="center" vertical="center"/>
      <protection locked="0"/>
    </xf>
    <xf numFmtId="166" fontId="5" fillId="0" borderId="0" xfId="29" applyBorder="1"/>
    <xf numFmtId="166" fontId="5" fillId="0" borderId="14" xfId="16" applyNumberFormat="1" applyBorder="1"/>
    <xf numFmtId="0" fontId="4" fillId="0" borderId="2" xfId="16" applyFont="1" applyBorder="1" applyAlignment="1">
      <alignment horizontal="center" vertical="center"/>
    </xf>
    <xf numFmtId="9" fontId="4" fillId="0" borderId="2" xfId="22" applyFont="1" applyBorder="1"/>
    <xf numFmtId="9" fontId="17" fillId="0" borderId="2" xfId="22" applyFont="1" applyBorder="1"/>
    <xf numFmtId="166" fontId="4" fillId="0" borderId="2" xfId="16" applyNumberFormat="1" applyFont="1" applyBorder="1" applyAlignment="1">
      <alignment horizontal="left" vertical="center"/>
    </xf>
    <xf numFmtId="9" fontId="44" fillId="0" borderId="2" xfId="22" applyFont="1" applyBorder="1" applyAlignment="1">
      <alignment horizontal="center" vertical="center" wrapText="1"/>
    </xf>
    <xf numFmtId="44" fontId="39" fillId="0" borderId="12" xfId="27" applyFont="1" applyBorder="1" applyAlignment="1">
      <alignment vertical="center"/>
    </xf>
    <xf numFmtId="0" fontId="3" fillId="0" borderId="2" xfId="16" applyFont="1" applyBorder="1" applyAlignment="1">
      <alignment horizontal="center" vertical="center"/>
    </xf>
    <xf numFmtId="174" fontId="5" fillId="0" borderId="2" xfId="16" applyNumberFormat="1" applyBorder="1" applyAlignment="1">
      <alignment horizontal="center" vertical="center"/>
    </xf>
    <xf numFmtId="175" fontId="34" fillId="0" borderId="2" xfId="16" applyNumberFormat="1" applyFont="1" applyBorder="1"/>
    <xf numFmtId="0" fontId="4" fillId="0" borderId="2" xfId="16" applyFont="1" applyBorder="1"/>
    <xf numFmtId="174" fontId="5" fillId="0" borderId="49" xfId="16" applyNumberFormat="1" applyBorder="1" applyAlignment="1">
      <alignment horizontal="center" vertical="center"/>
    </xf>
    <xf numFmtId="0" fontId="3" fillId="0" borderId="49" xfId="16" applyFont="1" applyBorder="1" applyAlignment="1">
      <alignment horizontal="center" vertical="center"/>
    </xf>
    <xf numFmtId="174" fontId="5" fillId="2" borderId="49" xfId="16" applyNumberFormat="1" applyFill="1" applyBorder="1" applyAlignment="1" applyProtection="1">
      <alignment horizontal="center" vertical="center"/>
      <protection locked="0"/>
    </xf>
    <xf numFmtId="175" fontId="34" fillId="0" borderId="49" xfId="16" applyNumberFormat="1" applyFont="1" applyBorder="1"/>
    <xf numFmtId="0" fontId="4" fillId="0" borderId="49" xfId="16" applyFont="1" applyBorder="1" applyAlignment="1">
      <alignment wrapText="1"/>
    </xf>
    <xf numFmtId="2" fontId="39" fillId="0" borderId="4" xfId="16" applyNumberFormat="1" applyFont="1" applyBorder="1" applyAlignment="1">
      <alignment horizontal="center"/>
    </xf>
    <xf numFmtId="177" fontId="39" fillId="0" borderId="4" xfId="16" applyNumberFormat="1" applyFont="1" applyBorder="1" applyAlignment="1">
      <alignment horizontal="center"/>
    </xf>
    <xf numFmtId="44" fontId="39" fillId="0" borderId="13" xfId="27" applyFont="1" applyBorder="1" applyAlignment="1">
      <alignment vertical="center"/>
    </xf>
    <xf numFmtId="176" fontId="3" fillId="0" borderId="5" xfId="5" applyNumberFormat="1" applyFont="1" applyBorder="1" applyAlignment="1">
      <alignment horizontal="center" vertical="center"/>
    </xf>
    <xf numFmtId="175" fontId="39" fillId="0" borderId="2" xfId="16" applyNumberFormat="1" applyFont="1" applyBorder="1"/>
    <xf numFmtId="2" fontId="39" fillId="0" borderId="17" xfId="16" applyNumberFormat="1" applyFont="1" applyBorder="1" applyAlignment="1">
      <alignment horizontal="center"/>
    </xf>
    <xf numFmtId="2" fontId="39" fillId="0" borderId="2" xfId="16" applyNumberFormat="1" applyFont="1" applyBorder="1"/>
    <xf numFmtId="175" fontId="39" fillId="0" borderId="19" xfId="16" applyNumberFormat="1" applyFont="1" applyBorder="1"/>
    <xf numFmtId="2" fontId="39" fillId="0" borderId="19" xfId="16" applyNumberFormat="1" applyFont="1" applyBorder="1"/>
    <xf numFmtId="2" fontId="34" fillId="0" borderId="2" xfId="16" applyNumberFormat="1" applyFont="1" applyBorder="1"/>
    <xf numFmtId="175" fontId="39" fillId="0" borderId="7" xfId="16" applyNumberFormat="1" applyFont="1" applyBorder="1"/>
    <xf numFmtId="2" fontId="34" fillId="0" borderId="5" xfId="16" applyNumberFormat="1" applyFont="1" applyBorder="1"/>
    <xf numFmtId="0" fontId="28" fillId="0" borderId="0" xfId="0" applyFont="1"/>
    <xf numFmtId="0" fontId="11" fillId="0" borderId="0" xfId="0" applyFont="1"/>
    <xf numFmtId="175" fontId="0" fillId="0" borderId="0" xfId="0" applyNumberFormat="1"/>
    <xf numFmtId="0" fontId="23" fillId="0" borderId="0" xfId="34" applyBorder="1"/>
    <xf numFmtId="1" fontId="5" fillId="2" borderId="2" xfId="16" applyNumberFormat="1" applyFill="1" applyBorder="1" applyAlignment="1" applyProtection="1">
      <alignment horizontal="center" vertical="center"/>
      <protection locked="0"/>
    </xf>
    <xf numFmtId="174" fontId="5" fillId="2" borderId="5" xfId="16" applyNumberFormat="1" applyFill="1" applyBorder="1" applyAlignment="1" applyProtection="1">
      <alignment horizontal="center" vertical="center"/>
      <protection locked="0"/>
    </xf>
    <xf numFmtId="0" fontId="22" fillId="0" borderId="0" xfId="16" applyFont="1"/>
    <xf numFmtId="174" fontId="5" fillId="2" borderId="5" xfId="16" applyNumberFormat="1" applyFill="1" applyBorder="1" applyProtection="1">
      <protection locked="0"/>
    </xf>
    <xf numFmtId="166" fontId="0" fillId="4" borderId="5" xfId="31" applyFont="1" applyFill="1" applyBorder="1" applyAlignment="1" applyProtection="1">
      <protection locked="0"/>
    </xf>
    <xf numFmtId="166" fontId="0" fillId="5" borderId="3" xfId="31" applyFont="1" applyFill="1" applyBorder="1" applyAlignment="1" applyProtection="1"/>
    <xf numFmtId="166" fontId="0" fillId="4" borderId="8" xfId="31" applyFont="1" applyFill="1" applyBorder="1" applyAlignment="1" applyProtection="1">
      <protection locked="0"/>
    </xf>
    <xf numFmtId="176" fontId="3" fillId="4" borderId="8" xfId="5" applyNumberFormat="1" applyFont="1" applyFill="1" applyBorder="1" applyProtection="1">
      <protection locked="0"/>
    </xf>
    <xf numFmtId="183" fontId="3" fillId="2" borderId="2" xfId="22" applyNumberFormat="1" applyFont="1" applyFill="1" applyBorder="1" applyAlignment="1" applyProtection="1">
      <alignment wrapText="1"/>
      <protection locked="0"/>
    </xf>
    <xf numFmtId="2" fontId="22" fillId="0" borderId="0" xfId="16" applyNumberFormat="1" applyFont="1" applyAlignment="1">
      <alignment wrapText="1"/>
    </xf>
    <xf numFmtId="166" fontId="0" fillId="0" borderId="2" xfId="31" applyFont="1" applyFill="1" applyBorder="1" applyAlignment="1" applyProtection="1">
      <protection locked="0"/>
    </xf>
    <xf numFmtId="0" fontId="8" fillId="0" borderId="0" xfId="16" applyFont="1" applyProtection="1">
      <protection locked="0"/>
    </xf>
    <xf numFmtId="166" fontId="0" fillId="7" borderId="2" xfId="31" applyFont="1" applyFill="1" applyBorder="1" applyAlignment="1" applyProtection="1"/>
    <xf numFmtId="2" fontId="5" fillId="3" borderId="0" xfId="16" applyNumberFormat="1" applyFill="1" applyAlignment="1" applyProtection="1">
      <alignment horizontal="center" vertical="center"/>
      <protection locked="0"/>
    </xf>
    <xf numFmtId="0" fontId="0" fillId="0" borderId="2" xfId="0" applyBorder="1" applyAlignment="1" applyProtection="1">
      <alignment horizontal="center" vertical="center"/>
      <protection locked="0"/>
    </xf>
    <xf numFmtId="0" fontId="5" fillId="0" borderId="2" xfId="16" applyBorder="1" applyAlignment="1">
      <alignment horizontal="center"/>
    </xf>
    <xf numFmtId="0" fontId="7" fillId="0" borderId="72" xfId="16" applyFont="1" applyBorder="1"/>
    <xf numFmtId="0" fontId="5" fillId="0" borderId="11" xfId="16" applyBorder="1"/>
    <xf numFmtId="0" fontId="5" fillId="0" borderId="14" xfId="16" applyBorder="1" applyAlignment="1">
      <alignment horizontal="center"/>
    </xf>
    <xf numFmtId="2" fontId="5" fillId="0" borderId="14" xfId="16" applyNumberFormat="1" applyBorder="1"/>
    <xf numFmtId="0" fontId="7" fillId="0" borderId="14" xfId="16" applyFont="1" applyBorder="1"/>
    <xf numFmtId="166" fontId="11" fillId="0" borderId="14" xfId="31" applyFont="1" applyFill="1" applyBorder="1" applyAlignment="1" applyProtection="1"/>
    <xf numFmtId="166" fontId="11" fillId="0" borderId="19" xfId="31" applyFont="1" applyFill="1" applyBorder="1" applyAlignment="1" applyProtection="1"/>
    <xf numFmtId="166" fontId="4" fillId="0" borderId="14" xfId="31" applyFont="1" applyFill="1" applyBorder="1" applyAlignment="1" applyProtection="1"/>
    <xf numFmtId="173" fontId="7" fillId="0" borderId="14" xfId="16" applyNumberFormat="1" applyFont="1" applyBorder="1"/>
    <xf numFmtId="174" fontId="5" fillId="4" borderId="66" xfId="16" applyNumberFormat="1" applyFill="1" applyBorder="1" applyProtection="1">
      <protection locked="0"/>
    </xf>
    <xf numFmtId="173" fontId="5" fillId="0" borderId="14" xfId="16" applyNumberFormat="1" applyBorder="1"/>
    <xf numFmtId="0" fontId="18" fillId="0" borderId="0" xfId="16" applyFont="1"/>
    <xf numFmtId="166" fontId="17" fillId="0" borderId="14" xfId="31" applyFont="1" applyFill="1" applyBorder="1" applyAlignment="1" applyProtection="1"/>
    <xf numFmtId="166" fontId="17" fillId="0" borderId="19" xfId="31" applyFont="1" applyFill="1" applyBorder="1" applyAlignment="1" applyProtection="1"/>
    <xf numFmtId="0" fontId="11" fillId="0" borderId="14" xfId="16" applyFont="1" applyBorder="1"/>
    <xf numFmtId="0" fontId="11" fillId="0" borderId="16" xfId="16" applyFont="1" applyBorder="1"/>
    <xf numFmtId="166" fontId="4" fillId="0" borderId="10" xfId="16" applyNumberFormat="1" applyFont="1" applyBorder="1"/>
    <xf numFmtId="166" fontId="5" fillId="0" borderId="13" xfId="16" applyNumberFormat="1" applyBorder="1"/>
    <xf numFmtId="0" fontId="3" fillId="0" borderId="0" xfId="16" applyFont="1" applyAlignment="1">
      <alignment horizontal="left"/>
    </xf>
    <xf numFmtId="0" fontId="3" fillId="4" borderId="2" xfId="16" applyFont="1" applyFill="1" applyBorder="1" applyProtection="1">
      <protection locked="0"/>
    </xf>
    <xf numFmtId="0" fontId="47" fillId="0" borderId="0" xfId="0" applyFont="1"/>
    <xf numFmtId="44" fontId="0" fillId="0" borderId="0" xfId="0" applyNumberFormat="1"/>
    <xf numFmtId="44" fontId="18" fillId="0" borderId="0" xfId="0" applyNumberFormat="1" applyFont="1"/>
    <xf numFmtId="0" fontId="48" fillId="0" borderId="0" xfId="0" applyFont="1"/>
    <xf numFmtId="166" fontId="4" fillId="0" borderId="8" xfId="16" applyNumberFormat="1" applyFont="1" applyBorder="1" applyAlignment="1">
      <alignment horizontal="left" vertical="center"/>
    </xf>
    <xf numFmtId="174" fontId="0" fillId="0" borderId="2" xfId="0" applyNumberFormat="1" applyBorder="1"/>
    <xf numFmtId="9" fontId="0" fillId="2" borderId="2" xfId="22" applyFont="1" applyFill="1" applyBorder="1" applyAlignment="1" applyProtection="1">
      <alignment horizontal="center"/>
      <protection locked="0"/>
    </xf>
    <xf numFmtId="0" fontId="19" fillId="2" borderId="8" xfId="16" applyFont="1" applyFill="1" applyBorder="1" applyAlignment="1" applyProtection="1">
      <alignment horizontal="center"/>
      <protection locked="0"/>
    </xf>
    <xf numFmtId="0" fontId="18" fillId="0" borderId="0" xfId="0" applyFont="1" applyAlignment="1">
      <alignment horizont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75" xfId="0" applyBorder="1"/>
    <xf numFmtId="0" fontId="0" fillId="0" borderId="76" xfId="0" applyBorder="1"/>
    <xf numFmtId="0" fontId="0" fillId="0" borderId="77" xfId="0" applyBorder="1"/>
    <xf numFmtId="44" fontId="0" fillId="0" borderId="0" xfId="27" applyFont="1" applyBorder="1"/>
    <xf numFmtId="44" fontId="0" fillId="0" borderId="77" xfId="27" applyFont="1" applyBorder="1"/>
    <xf numFmtId="44" fontId="0" fillId="0" borderId="75" xfId="0" applyNumberFormat="1" applyBorder="1"/>
    <xf numFmtId="44" fontId="4" fillId="0" borderId="0" xfId="27" applyFont="1" applyBorder="1"/>
    <xf numFmtId="9" fontId="0" fillId="2" borderId="21" xfId="22" applyFont="1" applyFill="1" applyBorder="1" applyAlignment="1" applyProtection="1">
      <alignment horizontal="center" vertical="center"/>
      <protection locked="0"/>
    </xf>
    <xf numFmtId="0" fontId="0" fillId="0" borderId="4" xfId="0" applyBorder="1"/>
    <xf numFmtId="0" fontId="4" fillId="0" borderId="14" xfId="0" applyFont="1" applyBorder="1" applyAlignment="1">
      <alignment horizontal="center" vertical="center"/>
    </xf>
    <xf numFmtId="174" fontId="0" fillId="2" borderId="66" xfId="0" applyNumberFormat="1" applyFill="1" applyBorder="1" applyAlignment="1" applyProtection="1">
      <alignment horizontal="center" vertical="center"/>
      <protection locked="0"/>
    </xf>
    <xf numFmtId="0" fontId="0" fillId="0" borderId="11" xfId="0" applyBorder="1"/>
    <xf numFmtId="0" fontId="4" fillId="0" borderId="16" xfId="0" applyFont="1" applyBorder="1"/>
    <xf numFmtId="0" fontId="0" fillId="0" borderId="46" xfId="0" applyBorder="1"/>
    <xf numFmtId="44" fontId="18" fillId="0" borderId="78" xfId="0" applyNumberFormat="1" applyFont="1" applyBorder="1"/>
    <xf numFmtId="44" fontId="0" fillId="0" borderId="13" xfId="0" applyNumberFormat="1" applyBorder="1"/>
    <xf numFmtId="0" fontId="4" fillId="0" borderId="15" xfId="0" applyFont="1" applyBorder="1" applyAlignment="1">
      <alignment horizontal="center" vertical="center"/>
    </xf>
    <xf numFmtId="44" fontId="4" fillId="0" borderId="79" xfId="0" applyNumberFormat="1" applyFont="1" applyBorder="1"/>
    <xf numFmtId="2" fontId="49" fillId="8" borderId="0" xfId="0" applyNumberFormat="1" applyFont="1" applyFill="1"/>
    <xf numFmtId="9" fontId="49" fillId="8" borderId="0" xfId="22" applyFont="1" applyFill="1" applyAlignment="1">
      <alignment horizontal="center" vertical="center"/>
    </xf>
    <xf numFmtId="2" fontId="50" fillId="8" borderId="0" xfId="0" applyNumberFormat="1" applyFont="1" applyFill="1"/>
    <xf numFmtId="9" fontId="50" fillId="8" borderId="0" xfId="22" applyFont="1" applyFill="1" applyAlignment="1">
      <alignment horizontal="center" vertical="center"/>
    </xf>
    <xf numFmtId="174" fontId="0" fillId="0" borderId="66" xfId="0" applyNumberFormat="1" applyBorder="1"/>
    <xf numFmtId="44" fontId="0" fillId="0" borderId="19" xfId="27" applyFont="1" applyBorder="1" applyAlignment="1">
      <alignment horizontal="center"/>
    </xf>
    <xf numFmtId="44" fontId="4" fillId="0" borderId="19" xfId="27" applyFont="1" applyBorder="1" applyAlignment="1">
      <alignment horizontal="center"/>
    </xf>
    <xf numFmtId="44" fontId="0" fillId="2" borderId="19" xfId="27" applyFont="1" applyFill="1" applyBorder="1" applyAlignment="1" applyProtection="1">
      <alignment horizontal="center"/>
      <protection locked="0"/>
    </xf>
    <xf numFmtId="44" fontId="0" fillId="0" borderId="19" xfId="0" applyNumberFormat="1" applyBorder="1"/>
    <xf numFmtId="174" fontId="0" fillId="0" borderId="62" xfId="0" applyNumberFormat="1" applyBorder="1"/>
    <xf numFmtId="44" fontId="0" fillId="0" borderId="69" xfId="0" applyNumberFormat="1" applyBorder="1"/>
    <xf numFmtId="44" fontId="0" fillId="0" borderId="67" xfId="0" applyNumberFormat="1" applyBorder="1"/>
    <xf numFmtId="0" fontId="0" fillId="0" borderId="13" xfId="0" applyBorder="1"/>
    <xf numFmtId="0" fontId="28" fillId="0" borderId="66" xfId="0" applyFont="1" applyBorder="1" applyAlignment="1">
      <alignment horizontal="center" vertical="center"/>
    </xf>
    <xf numFmtId="0" fontId="4" fillId="0" borderId="19" xfId="0" applyFont="1" applyBorder="1" applyAlignment="1">
      <alignment horizontal="center" vertical="center"/>
    </xf>
    <xf numFmtId="44" fontId="28" fillId="0" borderId="66" xfId="0" applyNumberFormat="1" applyFont="1" applyBorder="1"/>
    <xf numFmtId="44" fontId="28" fillId="0" borderId="62" xfId="0" applyNumberFormat="1" applyFont="1" applyBorder="1"/>
    <xf numFmtId="44" fontId="0" fillId="0" borderId="67" xfId="27" applyFont="1" applyBorder="1"/>
    <xf numFmtId="0" fontId="4" fillId="0" borderId="66" xfId="0" applyFont="1" applyBorder="1"/>
    <xf numFmtId="0" fontId="4" fillId="0" borderId="19" xfId="0" applyFont="1" applyBorder="1"/>
    <xf numFmtId="0" fontId="14" fillId="0" borderId="0" xfId="0" applyFont="1"/>
    <xf numFmtId="0" fontId="52" fillId="0" borderId="0" xfId="0" applyFont="1"/>
    <xf numFmtId="174" fontId="51" fillId="0" borderId="66" xfId="0" applyNumberFormat="1" applyFont="1" applyBorder="1"/>
    <xf numFmtId="44" fontId="51" fillId="0" borderId="2" xfId="0" applyNumberFormat="1" applyFont="1" applyBorder="1"/>
    <xf numFmtId="44" fontId="51" fillId="0" borderId="19" xfId="27" applyFont="1" applyBorder="1" applyAlignment="1">
      <alignment horizontal="center"/>
    </xf>
    <xf numFmtId="0" fontId="50" fillId="8" borderId="0" xfId="0" applyFont="1" applyFill="1"/>
    <xf numFmtId="2" fontId="50" fillId="8" borderId="49" xfId="27" applyNumberFormat="1" applyFont="1" applyFill="1" applyBorder="1" applyAlignment="1">
      <alignment horizontal="center" vertical="center"/>
    </xf>
    <xf numFmtId="175" fontId="50" fillId="8" borderId="49" xfId="27" applyNumberFormat="1" applyFont="1" applyFill="1" applyBorder="1" applyAlignment="1">
      <alignment horizontal="center" vertical="center"/>
    </xf>
    <xf numFmtId="177" fontId="50" fillId="8" borderId="49" xfId="27" applyNumberFormat="1" applyFont="1" applyFill="1" applyBorder="1" applyAlignment="1">
      <alignment horizontal="center" vertical="center"/>
    </xf>
    <xf numFmtId="44" fontId="0" fillId="0" borderId="52" xfId="0" applyNumberFormat="1" applyBorder="1"/>
    <xf numFmtId="164" fontId="0" fillId="2" borderId="20" xfId="5" applyFont="1" applyFill="1" applyBorder="1" applyProtection="1">
      <protection locked="0"/>
    </xf>
    <xf numFmtId="0" fontId="4" fillId="0" borderId="70" xfId="0" applyFont="1" applyBorder="1" applyAlignment="1">
      <alignment horizontal="center" vertical="center"/>
    </xf>
    <xf numFmtId="0" fontId="4" fillId="0" borderId="89" xfId="0" applyFont="1" applyBorder="1" applyAlignment="1">
      <alignment horizontal="center" vertical="center"/>
    </xf>
    <xf numFmtId="164" fontId="0" fillId="2" borderId="90" xfId="5" applyFont="1" applyFill="1" applyBorder="1" applyProtection="1">
      <protection locked="0"/>
    </xf>
    <xf numFmtId="164" fontId="39" fillId="2" borderId="20" xfId="5" applyFont="1" applyFill="1" applyBorder="1" applyProtection="1">
      <protection locked="0"/>
    </xf>
    <xf numFmtId="44" fontId="4" fillId="0" borderId="84" xfId="0" applyNumberFormat="1" applyFont="1" applyBorder="1"/>
    <xf numFmtId="44" fontId="34" fillId="0" borderId="0" xfId="27" applyFont="1" applyBorder="1"/>
    <xf numFmtId="44" fontId="34" fillId="0" borderId="51" xfId="27" applyFont="1" applyBorder="1"/>
    <xf numFmtId="44" fontId="34" fillId="0" borderId="75" xfId="0" applyNumberFormat="1" applyFont="1" applyBorder="1"/>
    <xf numFmtId="44" fontId="26" fillId="0" borderId="0" xfId="27" applyFont="1" applyBorder="1"/>
    <xf numFmtId="174" fontId="0" fillId="2" borderId="74" xfId="0" applyNumberFormat="1" applyFill="1" applyBorder="1" applyAlignment="1" applyProtection="1">
      <alignment horizontal="center" vertical="center"/>
      <protection locked="0"/>
    </xf>
    <xf numFmtId="174" fontId="0" fillId="2" borderId="7" xfId="0" applyNumberFormat="1" applyFill="1" applyBorder="1" applyAlignment="1" applyProtection="1">
      <alignment horizontal="center" vertical="center"/>
      <protection locked="0"/>
    </xf>
    <xf numFmtId="44" fontId="13" fillId="0" borderId="60" xfId="27" applyFont="1" applyBorder="1" applyAlignment="1">
      <alignment horizontal="center" vertical="center"/>
    </xf>
    <xf numFmtId="174" fontId="4" fillId="0" borderId="4" xfId="0" applyNumberFormat="1" applyFont="1" applyBorder="1" applyAlignment="1">
      <alignment horizontal="center" vertical="center"/>
    </xf>
    <xf numFmtId="44" fontId="13" fillId="9" borderId="13" xfId="0" applyNumberFormat="1" applyFont="1" applyFill="1" applyBorder="1"/>
    <xf numFmtId="174" fontId="4" fillId="0" borderId="14" xfId="0" applyNumberFormat="1" applyFont="1" applyBorder="1" applyAlignment="1">
      <alignment horizontal="center" vertical="center"/>
    </xf>
    <xf numFmtId="44" fontId="26" fillId="0" borderId="60" xfId="0" applyNumberFormat="1" applyFont="1" applyBorder="1"/>
    <xf numFmtId="174" fontId="26" fillId="0" borderId="14" xfId="0" applyNumberFormat="1" applyFont="1" applyBorder="1" applyAlignment="1">
      <alignment horizontal="center" vertical="center"/>
    </xf>
    <xf numFmtId="174" fontId="28" fillId="0" borderId="0" xfId="0" applyNumberFormat="1" applyFont="1" applyAlignment="1">
      <alignment horizontal="left" vertical="center"/>
    </xf>
    <xf numFmtId="44" fontId="13" fillId="0" borderId="86" xfId="27" applyFont="1" applyBorder="1" applyAlignment="1">
      <alignment horizontal="center" vertical="center"/>
    </xf>
    <xf numFmtId="44" fontId="13" fillId="0" borderId="59" xfId="27" applyFont="1" applyBorder="1" applyAlignment="1">
      <alignment horizontal="center" vertical="center"/>
    </xf>
    <xf numFmtId="0" fontId="13" fillId="0" borderId="2" xfId="0" applyFont="1" applyBorder="1"/>
    <xf numFmtId="44" fontId="26" fillId="0" borderId="17" xfId="27" applyFont="1" applyBorder="1" applyAlignment="1">
      <alignment horizontal="center" vertical="center"/>
    </xf>
    <xf numFmtId="0" fontId="14" fillId="0" borderId="0" xfId="0" applyFont="1" applyAlignment="1" applyProtection="1">
      <alignment horizontal="left"/>
      <protection locked="0"/>
    </xf>
    <xf numFmtId="0" fontId="13" fillId="0" borderId="0" xfId="0" applyFont="1" applyAlignment="1" applyProtection="1">
      <alignment horizontal="left"/>
      <protection locked="0"/>
    </xf>
    <xf numFmtId="174" fontId="4" fillId="0" borderId="66" xfId="0" applyNumberFormat="1" applyFont="1" applyBorder="1"/>
    <xf numFmtId="174" fontId="3" fillId="0" borderId="2" xfId="0" applyNumberFormat="1" applyFont="1" applyBorder="1"/>
    <xf numFmtId="0" fontId="14" fillId="3" borderId="0" xfId="0" applyFont="1" applyFill="1" applyAlignment="1" applyProtection="1">
      <alignment horizontal="left"/>
      <protection locked="0"/>
    </xf>
    <xf numFmtId="174" fontId="3" fillId="0" borderId="69" xfId="0" applyNumberFormat="1" applyFont="1" applyBorder="1"/>
    <xf numFmtId="0" fontId="26" fillId="0" borderId="0" xfId="0" applyFont="1" applyAlignment="1">
      <alignment horizontal="center" vertical="center"/>
    </xf>
    <xf numFmtId="2" fontId="4" fillId="2" borderId="7" xfId="0" applyNumberFormat="1" applyFont="1" applyFill="1" applyBorder="1" applyProtection="1">
      <protection locked="0"/>
    </xf>
    <xf numFmtId="9" fontId="0" fillId="0" borderId="0" xfId="22" applyFont="1" applyBorder="1" applyAlignment="1">
      <alignment horizontal="center" vertical="center"/>
    </xf>
    <xf numFmtId="174" fontId="4" fillId="9" borderId="66" xfId="0" applyNumberFormat="1" applyFont="1" applyFill="1" applyBorder="1" applyAlignment="1">
      <alignment horizontal="center" vertical="center"/>
    </xf>
    <xf numFmtId="44" fontId="4" fillId="9" borderId="13" xfId="0" applyNumberFormat="1" applyFont="1" applyFill="1" applyBorder="1"/>
    <xf numFmtId="44" fontId="4" fillId="0" borderId="15" xfId="27" applyFont="1" applyBorder="1" applyAlignment="1">
      <alignment horizontal="center" vertical="center"/>
    </xf>
    <xf numFmtId="2" fontId="50" fillId="8" borderId="14" xfId="27" applyNumberFormat="1" applyFont="1" applyFill="1" applyBorder="1"/>
    <xf numFmtId="9" fontId="0" fillId="2" borderId="19" xfId="22" applyFont="1" applyFill="1" applyBorder="1" applyAlignment="1" applyProtection="1">
      <alignment horizontal="center" vertical="center"/>
      <protection locked="0"/>
    </xf>
    <xf numFmtId="0" fontId="0" fillId="0" borderId="15" xfId="0" applyBorder="1"/>
    <xf numFmtId="0" fontId="4" fillId="9" borderId="19" xfId="0" applyFont="1" applyFill="1" applyBorder="1"/>
    <xf numFmtId="174" fontId="0" fillId="2" borderId="78" xfId="0" applyNumberFormat="1" applyFill="1" applyBorder="1" applyAlignment="1" applyProtection="1">
      <alignment horizontal="center" vertical="center"/>
      <protection locked="0"/>
    </xf>
    <xf numFmtId="174" fontId="4" fillId="0" borderId="62" xfId="0" applyNumberFormat="1" applyFont="1" applyBorder="1" applyAlignment="1">
      <alignment horizontal="center" vertical="center"/>
    </xf>
    <xf numFmtId="0" fontId="0" fillId="0" borderId="17" xfId="0" applyBorder="1"/>
    <xf numFmtId="9" fontId="0" fillId="0" borderId="7" xfId="22" applyFont="1" applyBorder="1" applyAlignment="1">
      <alignment horizontal="center" vertical="center"/>
    </xf>
    <xf numFmtId="44" fontId="34" fillId="0" borderId="14" xfId="27" applyFont="1" applyBorder="1"/>
    <xf numFmtId="44" fontId="34" fillId="0" borderId="47" xfId="27" applyFont="1" applyBorder="1"/>
    <xf numFmtId="0" fontId="0" fillId="0" borderId="16" xfId="0" applyBorder="1"/>
    <xf numFmtId="174" fontId="4" fillId="9" borderId="3" xfId="0" applyNumberFormat="1" applyFont="1" applyFill="1" applyBorder="1" applyAlignment="1">
      <alignment horizontal="center" vertical="center"/>
    </xf>
    <xf numFmtId="174" fontId="26" fillId="0" borderId="16" xfId="0" applyNumberFormat="1" applyFont="1" applyBorder="1" applyAlignment="1">
      <alignment horizontal="center" vertical="center"/>
    </xf>
    <xf numFmtId="44" fontId="4" fillId="9" borderId="11" xfId="0" applyNumberFormat="1" applyFont="1" applyFill="1" applyBorder="1"/>
    <xf numFmtId="44" fontId="4" fillId="0" borderId="14" xfId="27" applyFont="1" applyBorder="1" applyAlignment="1">
      <alignment horizontal="center" vertical="center"/>
    </xf>
    <xf numFmtId="44" fontId="13" fillId="0" borderId="15" xfId="27" applyFont="1" applyBorder="1" applyAlignment="1">
      <alignment horizontal="center" vertical="center"/>
    </xf>
    <xf numFmtId="0" fontId="4" fillId="9" borderId="20" xfId="0" applyFont="1" applyFill="1" applyBorder="1"/>
    <xf numFmtId="2" fontId="50" fillId="8" borderId="11" xfId="27" applyNumberFormat="1" applyFont="1" applyFill="1" applyBorder="1"/>
    <xf numFmtId="0" fontId="48" fillId="0" borderId="12" xfId="0" applyFont="1" applyBorder="1"/>
    <xf numFmtId="0" fontId="48" fillId="0" borderId="13" xfId="0" applyFont="1" applyBorder="1"/>
    <xf numFmtId="0" fontId="48" fillId="8" borderId="0" xfId="0" applyFont="1" applyFill="1"/>
    <xf numFmtId="0" fontId="0" fillId="0" borderId="9" xfId="0" applyBorder="1"/>
    <xf numFmtId="0" fontId="26" fillId="0" borderId="58" xfId="0" applyFont="1" applyBorder="1"/>
    <xf numFmtId="44" fontId="26" fillId="0" borderId="41" xfId="27" applyFont="1" applyBorder="1"/>
    <xf numFmtId="44" fontId="26" fillId="0" borderId="58" xfId="27" applyFont="1" applyBorder="1"/>
    <xf numFmtId="44" fontId="26" fillId="0" borderId="53" xfId="27" applyFont="1" applyBorder="1"/>
    <xf numFmtId="44" fontId="26" fillId="0" borderId="73" xfId="27" applyFont="1" applyBorder="1"/>
    <xf numFmtId="44" fontId="26" fillId="0" borderId="54" xfId="0" applyNumberFormat="1" applyFont="1" applyBorder="1"/>
    <xf numFmtId="44" fontId="3" fillId="0" borderId="74" xfId="0" applyNumberFormat="1" applyFont="1" applyBorder="1"/>
    <xf numFmtId="44" fontId="3" fillId="0" borderId="83" xfId="27" applyFont="1" applyBorder="1" applyAlignment="1">
      <alignment horizontal="center" vertical="center"/>
    </xf>
    <xf numFmtId="174" fontId="0" fillId="2" borderId="76" xfId="0" applyNumberFormat="1" applyFill="1" applyBorder="1" applyAlignment="1" applyProtection="1">
      <alignment horizontal="center" vertical="center"/>
      <protection locked="0"/>
    </xf>
    <xf numFmtId="174" fontId="4" fillId="0" borderId="8" xfId="0" applyNumberFormat="1" applyFont="1" applyBorder="1" applyAlignment="1">
      <alignment horizontal="center" vertical="center"/>
    </xf>
    <xf numFmtId="174" fontId="0" fillId="2" borderId="6" xfId="0" applyNumberFormat="1" applyFill="1" applyBorder="1" applyAlignment="1" applyProtection="1">
      <alignment horizontal="center" vertical="center"/>
      <protection locked="0"/>
    </xf>
    <xf numFmtId="185" fontId="26" fillId="3" borderId="74" xfId="27" applyNumberFormat="1" applyFont="1" applyFill="1" applyBorder="1" applyAlignment="1" applyProtection="1">
      <alignment horizontal="center" vertical="center"/>
      <protection locked="0"/>
    </xf>
    <xf numFmtId="44" fontId="18" fillId="0" borderId="74" xfId="0" applyNumberFormat="1" applyFont="1" applyBorder="1"/>
    <xf numFmtId="44" fontId="26" fillId="0" borderId="16" xfId="0" applyNumberFormat="1" applyFont="1" applyBorder="1"/>
    <xf numFmtId="185" fontId="4" fillId="0" borderId="74" xfId="0" applyNumberFormat="1" applyFont="1" applyBorder="1"/>
    <xf numFmtId="9" fontId="4" fillId="0" borderId="85" xfId="22" applyFont="1" applyBorder="1" applyAlignment="1">
      <alignment horizontal="center"/>
    </xf>
    <xf numFmtId="44" fontId="26" fillId="0" borderId="10" xfId="0" applyNumberFormat="1" applyFont="1" applyBorder="1"/>
    <xf numFmtId="44" fontId="4" fillId="0" borderId="80" xfId="27" applyFont="1" applyBorder="1" applyAlignment="1">
      <alignment horizontal="center" vertical="center"/>
    </xf>
    <xf numFmtId="9" fontId="13" fillId="0" borderId="80" xfId="27" applyNumberFormat="1" applyFont="1" applyBorder="1" applyAlignment="1">
      <alignment horizontal="center" vertical="center"/>
    </xf>
    <xf numFmtId="44" fontId="4" fillId="9" borderId="46" xfId="0" applyNumberFormat="1" applyFont="1" applyFill="1" applyBorder="1"/>
    <xf numFmtId="44" fontId="3" fillId="0" borderId="78" xfId="0" applyNumberFormat="1" applyFont="1" applyBorder="1"/>
    <xf numFmtId="44" fontId="3" fillId="0" borderId="86" xfId="27" applyFont="1" applyBorder="1" applyAlignment="1">
      <alignment horizontal="center" vertical="center"/>
    </xf>
    <xf numFmtId="185" fontId="26" fillId="3" borderId="78" xfId="27" applyNumberFormat="1" applyFont="1" applyFill="1" applyBorder="1" applyAlignment="1" applyProtection="1">
      <alignment horizontal="center" vertical="center"/>
      <protection locked="0"/>
    </xf>
    <xf numFmtId="44" fontId="4" fillId="0" borderId="59" xfId="27" applyFont="1" applyBorder="1" applyAlignment="1">
      <alignment horizontal="center" vertical="center"/>
    </xf>
    <xf numFmtId="185" fontId="4" fillId="0" borderId="78" xfId="0" applyNumberFormat="1" applyFont="1" applyBorder="1"/>
    <xf numFmtId="9" fontId="4" fillId="0" borderId="71" xfId="22" applyFont="1" applyBorder="1" applyAlignment="1">
      <alignment horizontal="center"/>
    </xf>
    <xf numFmtId="44" fontId="18" fillId="0" borderId="79" xfId="0" applyNumberFormat="1" applyFont="1" applyBorder="1"/>
    <xf numFmtId="44" fontId="26" fillId="0" borderId="17" xfId="0" applyNumberFormat="1" applyFont="1" applyBorder="1"/>
    <xf numFmtId="44" fontId="3" fillId="0" borderId="79" xfId="0" applyNumberFormat="1" applyFont="1" applyBorder="1"/>
    <xf numFmtId="44" fontId="3" fillId="0" borderId="84" xfId="27" applyFont="1" applyBorder="1" applyAlignment="1">
      <alignment horizontal="center" vertical="center"/>
    </xf>
    <xf numFmtId="185" fontId="26" fillId="3" borderId="79" xfId="27" applyNumberFormat="1" applyFont="1" applyFill="1" applyBorder="1" applyAlignment="1" applyProtection="1">
      <alignment horizontal="center" vertical="center"/>
      <protection locked="0"/>
    </xf>
    <xf numFmtId="185" fontId="4" fillId="0" borderId="79" xfId="0" applyNumberFormat="1" applyFont="1" applyBorder="1"/>
    <xf numFmtId="9" fontId="4" fillId="0" borderId="80" xfId="22" applyFont="1" applyBorder="1" applyAlignment="1">
      <alignment horizontal="center"/>
    </xf>
    <xf numFmtId="9" fontId="0" fillId="2" borderId="79" xfId="22" applyFont="1" applyFill="1" applyBorder="1" applyAlignment="1" applyProtection="1">
      <alignment horizontal="center" vertical="center"/>
      <protection locked="0"/>
    </xf>
    <xf numFmtId="185" fontId="4" fillId="0" borderId="7" xfId="0" applyNumberFormat="1" applyFont="1" applyBorder="1"/>
    <xf numFmtId="174" fontId="0" fillId="2" borderId="65" xfId="0" applyNumberFormat="1" applyFill="1" applyBorder="1" applyAlignment="1" applyProtection="1">
      <alignment horizontal="center" vertical="center"/>
      <protection locked="0"/>
    </xf>
    <xf numFmtId="9" fontId="0" fillId="2" borderId="18" xfId="22" applyFont="1" applyFill="1" applyBorder="1" applyAlignment="1" applyProtection="1">
      <alignment horizontal="center" vertical="center"/>
      <protection locked="0"/>
    </xf>
    <xf numFmtId="0" fontId="0" fillId="0" borderId="59" xfId="0" applyBorder="1"/>
    <xf numFmtId="44" fontId="18" fillId="0" borderId="82" xfId="0" applyNumberFormat="1" applyFont="1" applyBorder="1"/>
    <xf numFmtId="9" fontId="0" fillId="2" borderId="89" xfId="22" applyFont="1" applyFill="1" applyBorder="1" applyAlignment="1" applyProtection="1">
      <alignment horizontal="center" vertical="center"/>
      <protection locked="0"/>
    </xf>
    <xf numFmtId="44" fontId="18" fillId="0" borderId="81" xfId="0" applyNumberFormat="1" applyFont="1" applyBorder="1"/>
    <xf numFmtId="44" fontId="18" fillId="0" borderId="70" xfId="0" applyNumberFormat="1" applyFont="1" applyBorder="1"/>
    <xf numFmtId="44" fontId="4" fillId="0" borderId="82" xfId="0" applyNumberFormat="1" applyFont="1" applyBorder="1"/>
    <xf numFmtId="9" fontId="4" fillId="0" borderId="6" xfId="22" applyFont="1" applyBorder="1" applyAlignment="1">
      <alignment horizontal="center"/>
    </xf>
    <xf numFmtId="0" fontId="54" fillId="0" borderId="0" xfId="34" applyFont="1" applyAlignment="1" applyProtection="1"/>
    <xf numFmtId="0" fontId="55" fillId="0" borderId="0" xfId="16" applyFont="1"/>
    <xf numFmtId="0" fontId="56" fillId="0" borderId="0" xfId="0" applyFont="1"/>
    <xf numFmtId="0" fontId="4" fillId="0" borderId="7" xfId="0" applyFont="1" applyBorder="1"/>
    <xf numFmtId="174" fontId="0" fillId="0" borderId="7" xfId="0" applyNumberFormat="1" applyBorder="1"/>
    <xf numFmtId="0" fontId="0" fillId="0" borderId="93" xfId="0" applyBorder="1"/>
    <xf numFmtId="44" fontId="18" fillId="0" borderId="48" xfId="0" applyNumberFormat="1" applyFont="1" applyBorder="1"/>
    <xf numFmtId="183" fontId="13" fillId="2" borderId="8" xfId="22" applyNumberFormat="1" applyFont="1" applyFill="1" applyBorder="1" applyAlignment="1" applyProtection="1">
      <alignment horizontal="center" vertical="center"/>
      <protection locked="0"/>
    </xf>
    <xf numFmtId="186" fontId="5" fillId="2" borderId="21" xfId="16" applyNumberFormat="1" applyFill="1" applyBorder="1" applyAlignment="1" applyProtection="1">
      <alignment horizontal="center"/>
      <protection locked="0"/>
    </xf>
    <xf numFmtId="186" fontId="5" fillId="3" borderId="0" xfId="16" applyNumberFormat="1" applyFill="1" applyAlignment="1" applyProtection="1">
      <alignment horizontal="center"/>
      <protection locked="0"/>
    </xf>
    <xf numFmtId="2" fontId="5" fillId="0" borderId="94" xfId="16" applyNumberFormat="1" applyBorder="1"/>
    <xf numFmtId="171" fontId="5" fillId="2" borderId="21" xfId="16" applyNumberFormat="1" applyFill="1" applyBorder="1" applyAlignment="1" applyProtection="1">
      <alignment horizontal="center"/>
      <protection locked="0"/>
    </xf>
    <xf numFmtId="171" fontId="5" fillId="3" borderId="0" xfId="16" applyNumberFormat="1" applyFill="1" applyAlignment="1" applyProtection="1">
      <alignment horizontal="center"/>
      <protection locked="0"/>
    </xf>
    <xf numFmtId="171" fontId="5" fillId="2" borderId="8" xfId="16" applyNumberFormat="1" applyFill="1" applyBorder="1" applyAlignment="1" applyProtection="1">
      <alignment horizontal="center"/>
      <protection locked="0"/>
    </xf>
    <xf numFmtId="171" fontId="5" fillId="2" borderId="0" xfId="16" applyNumberFormat="1" applyFill="1" applyAlignment="1" applyProtection="1">
      <alignment horizontal="center"/>
      <protection locked="0"/>
    </xf>
    <xf numFmtId="171" fontId="5" fillId="4" borderId="2" xfId="16" applyNumberFormat="1" applyFill="1" applyBorder="1" applyAlignment="1" applyProtection="1">
      <alignment horizontal="center"/>
      <protection locked="0"/>
    </xf>
    <xf numFmtId="171" fontId="5" fillId="4" borderId="0" xfId="16" applyNumberFormat="1" applyFill="1" applyAlignment="1" applyProtection="1">
      <alignment horizontal="center"/>
      <protection locked="0"/>
    </xf>
    <xf numFmtId="44" fontId="18" fillId="0" borderId="2" xfId="27" applyFont="1" applyBorder="1"/>
    <xf numFmtId="0" fontId="0" fillId="0" borderId="52" xfId="0" applyBorder="1" applyAlignment="1">
      <alignment horizontal="center"/>
    </xf>
    <xf numFmtId="44" fontId="0" fillId="0" borderId="52" xfId="27" applyFont="1" applyBorder="1" applyAlignment="1">
      <alignment horizontal="center"/>
    </xf>
    <xf numFmtId="2" fontId="0" fillId="0" borderId="52" xfId="0" applyNumberFormat="1" applyBorder="1" applyAlignment="1">
      <alignment horizontal="left"/>
    </xf>
    <xf numFmtId="2" fontId="50" fillId="8" borderId="52" xfId="27" applyNumberFormat="1" applyFont="1" applyFill="1" applyBorder="1" applyAlignment="1">
      <alignment horizontal="left"/>
    </xf>
    <xf numFmtId="2" fontId="50" fillId="8" borderId="51" xfId="27" applyNumberFormat="1" applyFont="1" applyFill="1" applyBorder="1" applyAlignment="1">
      <alignment horizontal="left"/>
    </xf>
    <xf numFmtId="0" fontId="0" fillId="2" borderId="2" xfId="0" applyFill="1" applyBorder="1" applyAlignment="1">
      <alignment horizontal="center"/>
    </xf>
    <xf numFmtId="0" fontId="0" fillId="0" borderId="2" xfId="0" applyBorder="1" applyAlignment="1">
      <alignment horizontal="center"/>
    </xf>
    <xf numFmtId="174" fontId="0" fillId="2" borderId="2" xfId="0" applyNumberFormat="1" applyFill="1" applyBorder="1" applyAlignment="1" applyProtection="1">
      <alignment horizontal="center"/>
      <protection locked="0"/>
    </xf>
    <xf numFmtId="0" fontId="0" fillId="2" borderId="5" xfId="0" applyFill="1" applyBorder="1" applyAlignment="1" applyProtection="1">
      <alignment horizontal="center"/>
      <protection locked="0"/>
    </xf>
    <xf numFmtId="0" fontId="17" fillId="0" borderId="0" xfId="0" applyFont="1"/>
    <xf numFmtId="2" fontId="5" fillId="4" borderId="49" xfId="16" applyNumberFormat="1" applyFill="1" applyBorder="1" applyProtection="1">
      <protection locked="0"/>
    </xf>
    <xf numFmtId="2" fontId="4" fillId="0" borderId="60" xfId="16" applyNumberFormat="1" applyFont="1" applyBorder="1"/>
    <xf numFmtId="2" fontId="5" fillId="0" borderId="60" xfId="16" applyNumberFormat="1" applyBorder="1"/>
    <xf numFmtId="174" fontId="3" fillId="0" borderId="0" xfId="0" applyNumberFormat="1" applyFont="1"/>
    <xf numFmtId="1" fontId="4" fillId="0" borderId="67" xfId="0" applyNumberFormat="1" applyFont="1" applyBorder="1"/>
    <xf numFmtId="0" fontId="4" fillId="0" borderId="66" xfId="0" applyFont="1" applyBorder="1" applyAlignment="1">
      <alignment horizontal="center" vertical="center"/>
    </xf>
    <xf numFmtId="0" fontId="34" fillId="0" borderId="14" xfId="0" applyFont="1" applyBorder="1" applyAlignment="1">
      <alignment vertical="center"/>
    </xf>
    <xf numFmtId="0" fontId="0" fillId="2" borderId="2" xfId="0" applyFill="1" applyBorder="1" applyAlignment="1" applyProtection="1">
      <alignment horizontal="center" vertical="center"/>
      <protection locked="0"/>
    </xf>
    <xf numFmtId="183" fontId="0" fillId="3" borderId="20" xfId="22" applyNumberFormat="1" applyFont="1" applyFill="1" applyBorder="1"/>
    <xf numFmtId="0" fontId="0" fillId="2" borderId="52" xfId="0" applyFill="1" applyBorder="1" applyAlignment="1" applyProtection="1">
      <alignment horizontal="center"/>
      <protection locked="0"/>
    </xf>
    <xf numFmtId="0" fontId="4" fillId="0" borderId="58" xfId="0" applyFont="1" applyBorder="1" applyAlignment="1">
      <alignment horizontal="center"/>
    </xf>
    <xf numFmtId="0" fontId="0" fillId="0" borderId="58" xfId="0" applyBorder="1"/>
    <xf numFmtId="0" fontId="4" fillId="0" borderId="12" xfId="0" applyFont="1" applyBorder="1"/>
    <xf numFmtId="174" fontId="0" fillId="2" borderId="66" xfId="0" applyNumberFormat="1" applyFill="1" applyBorder="1" applyAlignment="1" applyProtection="1">
      <alignment horizontal="center"/>
      <protection locked="0"/>
    </xf>
    <xf numFmtId="1" fontId="4" fillId="0" borderId="69" xfId="0" applyNumberFormat="1" applyFont="1" applyBorder="1" applyAlignment="1">
      <alignment horizontal="center"/>
    </xf>
    <xf numFmtId="183" fontId="4" fillId="0" borderId="69" xfId="0" applyNumberFormat="1" applyFont="1" applyBorder="1"/>
    <xf numFmtId="0" fontId="4" fillId="0" borderId="5" xfId="0" applyFont="1" applyBorder="1"/>
    <xf numFmtId="0" fontId="4" fillId="0" borderId="20" xfId="0" applyFont="1" applyBorder="1"/>
    <xf numFmtId="174" fontId="0" fillId="3" borderId="2" xfId="0" applyNumberFormat="1" applyFill="1" applyBorder="1" applyAlignment="1" applyProtection="1">
      <alignment horizontal="center" vertical="center"/>
      <protection locked="0"/>
    </xf>
    <xf numFmtId="0" fontId="4" fillId="0" borderId="2" xfId="0" applyFont="1" applyBorder="1" applyAlignment="1">
      <alignment horizontal="center" wrapText="1"/>
    </xf>
    <xf numFmtId="0" fontId="3" fillId="0" borderId="2" xfId="0" applyFont="1" applyBorder="1" applyAlignment="1">
      <alignment horizontal="center" vertical="center"/>
    </xf>
    <xf numFmtId="44" fontId="0" fillId="2" borderId="2" xfId="27" applyFont="1" applyFill="1" applyBorder="1"/>
    <xf numFmtId="174" fontId="4" fillId="0" borderId="95" xfId="0" applyNumberFormat="1" applyFont="1" applyBorder="1" applyAlignment="1">
      <alignment horizontal="right"/>
    </xf>
    <xf numFmtId="174" fontId="4" fillId="0" borderId="69" xfId="0" applyNumberFormat="1" applyFont="1" applyBorder="1" applyAlignment="1">
      <alignment horizontal="right"/>
    </xf>
    <xf numFmtId="174" fontId="0" fillId="2" borderId="5" xfId="0" applyNumberForma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0" fillId="0" borderId="19" xfId="0" applyBorder="1"/>
    <xf numFmtId="0" fontId="4" fillId="0" borderId="65" xfId="0" applyFont="1" applyBorder="1" applyAlignment="1">
      <alignment horizontal="center" wrapText="1"/>
    </xf>
    <xf numFmtId="0" fontId="4" fillId="0" borderId="96" xfId="0" applyFont="1" applyBorder="1" applyAlignment="1">
      <alignment horizontal="center" wrapText="1"/>
    </xf>
    <xf numFmtId="0" fontId="4" fillId="0" borderId="18" xfId="0" applyFont="1" applyBorder="1" applyAlignment="1">
      <alignment horizontal="center" wrapText="1"/>
    </xf>
    <xf numFmtId="0" fontId="3" fillId="0" borderId="0" xfId="0" applyFont="1" applyAlignment="1">
      <alignment horizontal="right"/>
    </xf>
    <xf numFmtId="176" fontId="3" fillId="4" borderId="2" xfId="5" applyNumberFormat="1" applyFont="1" applyFill="1" applyBorder="1" applyProtection="1">
      <protection locked="0"/>
    </xf>
    <xf numFmtId="176" fontId="3" fillId="0" borderId="0" xfId="5" applyNumberFormat="1" applyFont="1" applyAlignment="1">
      <alignment horizontal="center" vertical="center"/>
    </xf>
    <xf numFmtId="176" fontId="3" fillId="0" borderId="2" xfId="5" applyNumberFormat="1" applyFont="1" applyBorder="1" applyAlignment="1">
      <alignment horizontal="center" vertical="center"/>
    </xf>
    <xf numFmtId="1" fontId="3" fillId="3" borderId="2" xfId="22" applyNumberFormat="1" applyFont="1" applyFill="1" applyBorder="1" applyAlignment="1" applyProtection="1">
      <alignment horizontal="center" wrapText="1"/>
    </xf>
    <xf numFmtId="184" fontId="3" fillId="2" borderId="2" xfId="27" applyNumberFormat="1" applyFont="1" applyFill="1" applyBorder="1" applyAlignment="1" applyProtection="1">
      <alignment horizontal="center"/>
      <protection locked="0"/>
    </xf>
    <xf numFmtId="184" fontId="3" fillId="2" borderId="21" xfId="27" applyNumberFormat="1" applyFont="1" applyFill="1" applyBorder="1" applyAlignment="1" applyProtection="1">
      <alignment horizontal="center"/>
      <protection locked="0"/>
    </xf>
    <xf numFmtId="44" fontId="3" fillId="2" borderId="19" xfId="27" applyFont="1" applyFill="1" applyBorder="1" applyAlignment="1" applyProtection="1">
      <alignment horizontal="center"/>
      <protection locked="0"/>
    </xf>
    <xf numFmtId="176" fontId="3" fillId="4" borderId="2" xfId="5" applyNumberFormat="1" applyFont="1" applyFill="1" applyBorder="1" applyAlignment="1" applyProtection="1">
      <alignment horizontal="center"/>
      <protection locked="0"/>
    </xf>
    <xf numFmtId="176" fontId="3" fillId="2" borderId="2" xfId="5" applyNumberFormat="1" applyFont="1" applyFill="1" applyBorder="1" applyProtection="1">
      <protection locked="0"/>
    </xf>
    <xf numFmtId="9" fontId="3" fillId="2" borderId="65" xfId="22" applyFont="1" applyFill="1" applyBorder="1" applyProtection="1">
      <protection locked="0"/>
    </xf>
    <xf numFmtId="9" fontId="3" fillId="2" borderId="66" xfId="22" applyFont="1" applyFill="1" applyBorder="1" applyProtection="1">
      <protection locked="0"/>
    </xf>
    <xf numFmtId="9" fontId="3" fillId="2" borderId="62" xfId="22" applyFont="1" applyFill="1" applyBorder="1" applyProtection="1">
      <protection locked="0"/>
    </xf>
    <xf numFmtId="178" fontId="3" fillId="0" borderId="2" xfId="5" applyNumberFormat="1" applyFont="1" applyBorder="1"/>
    <xf numFmtId="176" fontId="3" fillId="0" borderId="59" xfId="5" applyNumberFormat="1" applyFont="1" applyBorder="1" applyAlignment="1">
      <alignment horizontal="center" vertical="center"/>
    </xf>
    <xf numFmtId="176" fontId="3" fillId="0" borderId="0" xfId="5" applyNumberFormat="1" applyFont="1" applyBorder="1" applyAlignment="1">
      <alignment horizontal="center" vertical="center"/>
    </xf>
    <xf numFmtId="9" fontId="3" fillId="0" borderId="2" xfId="22" applyFont="1" applyBorder="1"/>
    <xf numFmtId="164" fontId="3" fillId="2" borderId="2" xfId="5" applyFont="1" applyFill="1" applyBorder="1" applyProtection="1">
      <protection locked="0"/>
    </xf>
    <xf numFmtId="176" fontId="3" fillId="2" borderId="7" xfId="5" applyNumberFormat="1" applyFont="1" applyFill="1" applyBorder="1" applyProtection="1">
      <protection locked="0"/>
    </xf>
    <xf numFmtId="176" fontId="3" fillId="0" borderId="0" xfId="5" applyNumberFormat="1" applyFont="1" applyBorder="1"/>
    <xf numFmtId="176" fontId="3" fillId="2" borderId="5" xfId="5" applyNumberFormat="1" applyFont="1" applyFill="1" applyBorder="1" applyProtection="1">
      <protection locked="0"/>
    </xf>
    <xf numFmtId="176" fontId="3" fillId="0" borderId="49" xfId="5" applyNumberFormat="1" applyFont="1" applyBorder="1"/>
    <xf numFmtId="178" fontId="3" fillId="0" borderId="5" xfId="5" applyNumberFormat="1" applyFont="1" applyBorder="1"/>
    <xf numFmtId="9" fontId="3" fillId="2" borderId="2" xfId="22" applyFont="1" applyFill="1" applyBorder="1" applyProtection="1">
      <protection locked="0"/>
    </xf>
    <xf numFmtId="174" fontId="3" fillId="2" borderId="2" xfId="22" applyNumberFormat="1" applyFont="1" applyFill="1" applyBorder="1" applyProtection="1">
      <protection locked="0"/>
    </xf>
    <xf numFmtId="1" fontId="3" fillId="4" borderId="2" xfId="5" applyNumberFormat="1" applyFont="1" applyFill="1" applyBorder="1" applyProtection="1">
      <protection locked="0"/>
    </xf>
    <xf numFmtId="1" fontId="3" fillId="4" borderId="2" xfId="27" applyNumberFormat="1" applyFont="1" applyFill="1" applyBorder="1" applyProtection="1">
      <protection locked="0"/>
    </xf>
    <xf numFmtId="9" fontId="3" fillId="2" borderId="2" xfId="22" applyFont="1" applyFill="1" applyBorder="1" applyAlignment="1" applyProtection="1">
      <alignment horizontal="center" vertical="center"/>
      <protection locked="0"/>
    </xf>
    <xf numFmtId="44" fontId="3" fillId="0" borderId="0" xfId="27" applyFont="1" applyAlignment="1">
      <alignment horizontal="center" vertical="center"/>
    </xf>
    <xf numFmtId="44" fontId="3" fillId="0" borderId="0" xfId="27" applyFont="1"/>
    <xf numFmtId="10" fontId="3" fillId="2" borderId="21" xfId="22" applyNumberFormat="1" applyFont="1" applyFill="1" applyBorder="1" applyAlignment="1" applyProtection="1">
      <alignment horizontal="center"/>
      <protection locked="0"/>
    </xf>
    <xf numFmtId="10" fontId="3" fillId="3" borderId="0" xfId="22" applyNumberFormat="1" applyFont="1" applyFill="1" applyAlignment="1" applyProtection="1">
      <alignment horizontal="center"/>
      <protection locked="0"/>
    </xf>
    <xf numFmtId="0" fontId="27" fillId="0" borderId="8" xfId="0" applyFont="1" applyBorder="1" applyAlignment="1">
      <alignment horizontal="center" vertical="center"/>
    </xf>
    <xf numFmtId="0" fontId="0" fillId="0" borderId="2" xfId="0" applyBorder="1" applyAlignment="1">
      <alignment horizontal="center" vertical="center"/>
    </xf>
    <xf numFmtId="0" fontId="27" fillId="0" borderId="8" xfId="0" applyFont="1" applyBorder="1" applyAlignment="1">
      <alignment horizontal="center" vertical="center" wrapText="1"/>
    </xf>
    <xf numFmtId="174" fontId="0" fillId="2" borderId="49" xfId="0" applyNumberFormat="1" applyFill="1" applyBorder="1" applyAlignment="1" applyProtection="1">
      <alignment horizontal="center" vertical="center"/>
      <protection locked="0"/>
    </xf>
    <xf numFmtId="0" fontId="26" fillId="0" borderId="21" xfId="0" applyFont="1" applyBorder="1" applyAlignment="1">
      <alignment vertical="top" wrapText="1"/>
    </xf>
    <xf numFmtId="0" fontId="26" fillId="0" borderId="48" xfId="0" applyFont="1" applyBorder="1" applyAlignment="1">
      <alignment vertical="top" wrapText="1"/>
    </xf>
    <xf numFmtId="9" fontId="26" fillId="3" borderId="2" xfId="22" applyFont="1" applyFill="1" applyBorder="1" applyAlignment="1">
      <alignment vertical="center" wrapText="1"/>
    </xf>
    <xf numFmtId="9" fontId="26" fillId="2" borderId="2" xfId="22" applyFont="1" applyFill="1" applyBorder="1" applyAlignment="1" applyProtection="1">
      <alignment horizontal="center" vertical="center" wrapText="1"/>
      <protection locked="0"/>
    </xf>
    <xf numFmtId="2" fontId="0" fillId="0" borderId="2" xfId="0" applyNumberFormat="1" applyBorder="1" applyAlignment="1">
      <alignment horizontal="center" vertical="center"/>
    </xf>
    <xf numFmtId="0" fontId="0" fillId="0" borderId="66" xfId="0" applyBorder="1" applyAlignment="1">
      <alignment horizontal="center" vertical="center"/>
    </xf>
    <xf numFmtId="2" fontId="0" fillId="0" borderId="66" xfId="0" applyNumberFormat="1" applyBorder="1" applyAlignment="1">
      <alignment horizontal="center" vertical="center"/>
    </xf>
    <xf numFmtId="0" fontId="0" fillId="0" borderId="7" xfId="0" applyBorder="1" applyAlignment="1">
      <alignment horizontal="center" vertical="center"/>
    </xf>
    <xf numFmtId="2" fontId="0" fillId="0" borderId="7" xfId="0" applyNumberFormat="1" applyBorder="1" applyAlignment="1">
      <alignment horizontal="center" vertical="center"/>
    </xf>
    <xf numFmtId="0" fontId="3" fillId="0" borderId="19" xfId="0" applyFont="1" applyBorder="1" applyAlignment="1">
      <alignment horizontal="center" vertical="center" wrapText="1"/>
    </xf>
    <xf numFmtId="2" fontId="0" fillId="0" borderId="19" xfId="0" applyNumberFormat="1" applyBorder="1" applyAlignment="1">
      <alignment horizontal="center" vertical="center"/>
    </xf>
    <xf numFmtId="2" fontId="0" fillId="0" borderId="62" xfId="0" applyNumberFormat="1" applyBorder="1" applyAlignment="1">
      <alignment horizontal="center" vertical="center"/>
    </xf>
    <xf numFmtId="2" fontId="0" fillId="0" borderId="67" xfId="0" applyNumberFormat="1" applyBorder="1" applyAlignment="1">
      <alignment horizontal="center" vertical="center"/>
    </xf>
    <xf numFmtId="0" fontId="3" fillId="0" borderId="19" xfId="0" applyFont="1" applyBorder="1" applyAlignment="1">
      <alignment vertical="center"/>
    </xf>
    <xf numFmtId="9" fontId="7" fillId="0" borderId="66" xfId="0" applyNumberFormat="1" applyFont="1" applyBorder="1" applyAlignment="1">
      <alignment horizontal="center" vertical="center"/>
    </xf>
    <xf numFmtId="9" fontId="7" fillId="0" borderId="19" xfId="0" applyNumberFormat="1" applyFont="1" applyBorder="1" applyAlignment="1">
      <alignment horizontal="center" vertical="center" wrapText="1"/>
    </xf>
    <xf numFmtId="9" fontId="7" fillId="0" borderId="7" xfId="0" applyNumberFormat="1" applyFont="1" applyBorder="1" applyAlignment="1">
      <alignment horizontal="center" vertical="center"/>
    </xf>
    <xf numFmtId="9" fontId="7" fillId="0" borderId="2" xfId="0" applyNumberFormat="1" applyFont="1" applyBorder="1" applyAlignment="1">
      <alignment horizontal="center" vertical="center"/>
    </xf>
    <xf numFmtId="9" fontId="4" fillId="0" borderId="19" xfId="0" applyNumberFormat="1" applyFont="1" applyBorder="1" applyAlignment="1">
      <alignment vertical="center"/>
    </xf>
    <xf numFmtId="2" fontId="4" fillId="0" borderId="19" xfId="0" applyNumberFormat="1" applyFont="1" applyBorder="1" applyAlignment="1">
      <alignment vertical="center"/>
    </xf>
    <xf numFmtId="183" fontId="0" fillId="3" borderId="2" xfId="22" applyNumberFormat="1" applyFont="1" applyFill="1" applyBorder="1"/>
    <xf numFmtId="0" fontId="0" fillId="2" borderId="2" xfId="0" applyFill="1" applyBorder="1" applyAlignment="1" applyProtection="1">
      <alignment horizontal="center"/>
      <protection locked="0"/>
    </xf>
    <xf numFmtId="0" fontId="4" fillId="0" borderId="76" xfId="0" applyFont="1" applyBorder="1" applyAlignment="1">
      <alignment horizontal="center" vertical="center"/>
    </xf>
    <xf numFmtId="0" fontId="4" fillId="0" borderId="61" xfId="0" applyFont="1" applyBorder="1" applyAlignment="1">
      <alignment vertical="center" wrapText="1"/>
    </xf>
    <xf numFmtId="0" fontId="4" fillId="0" borderId="72" xfId="0" applyFont="1" applyBorder="1" applyAlignment="1">
      <alignment vertical="center" wrapText="1"/>
    </xf>
    <xf numFmtId="0" fontId="4" fillId="0" borderId="45" xfId="0" applyFont="1" applyBorder="1" applyAlignment="1">
      <alignment vertical="center" wrapText="1"/>
    </xf>
    <xf numFmtId="9" fontId="27" fillId="0" borderId="66" xfId="0" applyNumberFormat="1" applyFont="1" applyBorder="1" applyAlignment="1">
      <alignment horizontal="center" vertical="center"/>
    </xf>
    <xf numFmtId="9" fontId="27" fillId="0" borderId="2" xfId="0" applyNumberFormat="1" applyFont="1" applyBorder="1" applyAlignment="1">
      <alignment horizontal="center" vertical="center"/>
    </xf>
    <xf numFmtId="44" fontId="0" fillId="0" borderId="2" xfId="0" applyNumberFormat="1" applyBorder="1" applyAlignment="1">
      <alignment horizontal="center" vertical="center"/>
    </xf>
    <xf numFmtId="44" fontId="0" fillId="0" borderId="2" xfId="27" applyFont="1" applyBorder="1" applyAlignment="1">
      <alignment horizontal="center" vertical="center"/>
    </xf>
    <xf numFmtId="44" fontId="0" fillId="0" borderId="19" xfId="0" applyNumberFormat="1" applyBorder="1" applyAlignment="1">
      <alignment horizontal="center" vertical="center"/>
    </xf>
    <xf numFmtId="9" fontId="4" fillId="0" borderId="49" xfId="0" applyNumberFormat="1" applyFont="1" applyBorder="1" applyAlignment="1">
      <alignment horizontal="center" vertical="center"/>
    </xf>
    <xf numFmtId="0" fontId="61" fillId="0" borderId="82" xfId="0" applyFont="1" applyBorder="1" applyAlignment="1">
      <alignment vertical="center"/>
    </xf>
    <xf numFmtId="0" fontId="61" fillId="0" borderId="81" xfId="0" applyFont="1" applyBorder="1" applyAlignment="1">
      <alignment horizontal="center" vertical="center" wrapText="1"/>
    </xf>
    <xf numFmtId="0" fontId="61" fillId="0" borderId="8" xfId="0" applyFont="1" applyBorder="1" applyAlignment="1">
      <alignment horizontal="center" vertical="center" wrapText="1"/>
    </xf>
    <xf numFmtId="2" fontId="0" fillId="2" borderId="5" xfId="0" applyNumberFormat="1" applyFill="1" applyBorder="1" applyAlignment="1" applyProtection="1">
      <alignment horizontal="center" vertical="center"/>
      <protection locked="0"/>
    </xf>
    <xf numFmtId="0" fontId="4" fillId="0" borderId="8" xfId="0" applyFont="1" applyBorder="1" applyAlignment="1">
      <alignment wrapText="1"/>
    </xf>
    <xf numFmtId="0" fontId="0" fillId="0" borderId="5" xfId="0" applyBorder="1" applyAlignment="1">
      <alignment horizontal="center" vertical="center"/>
    </xf>
    <xf numFmtId="0" fontId="4" fillId="2" borderId="8" xfId="0" applyFont="1" applyFill="1" applyBorder="1" applyAlignment="1" applyProtection="1">
      <alignment horizontal="center" vertical="center" wrapText="1"/>
      <protection locked="0"/>
    </xf>
    <xf numFmtId="44" fontId="3" fillId="0" borderId="84" xfId="0" applyNumberFormat="1" applyFont="1" applyBorder="1"/>
    <xf numFmtId="0" fontId="3" fillId="0" borderId="9" xfId="0" applyFont="1" applyBorder="1"/>
    <xf numFmtId="44" fontId="0" fillId="0" borderId="10" xfId="0" applyNumberFormat="1" applyBorder="1"/>
    <xf numFmtId="165" fontId="0" fillId="0" borderId="2" xfId="0" applyNumberFormat="1" applyBorder="1"/>
    <xf numFmtId="165" fontId="0" fillId="0" borderId="2" xfId="27" applyNumberFormat="1" applyFont="1" applyBorder="1"/>
    <xf numFmtId="44" fontId="0" fillId="2" borderId="2" xfId="27" applyFont="1" applyFill="1" applyBorder="1" applyProtection="1">
      <protection locked="0"/>
    </xf>
    <xf numFmtId="183" fontId="0" fillId="0" borderId="0" xfId="22" applyNumberFormat="1" applyFont="1"/>
    <xf numFmtId="44" fontId="38" fillId="0" borderId="0" xfId="0" applyNumberFormat="1" applyFont="1"/>
    <xf numFmtId="2" fontId="14" fillId="0" borderId="2" xfId="27" applyNumberFormat="1" applyFont="1" applyBorder="1" applyAlignment="1">
      <alignment horizontal="right"/>
    </xf>
    <xf numFmtId="44" fontId="55" fillId="0" borderId="66" xfId="0" applyNumberFormat="1" applyFont="1" applyBorder="1"/>
    <xf numFmtId="44" fontId="55" fillId="0" borderId="2" xfId="0" applyNumberFormat="1" applyFont="1" applyBorder="1"/>
    <xf numFmtId="44" fontId="28" fillId="0" borderId="19" xfId="0" applyNumberFormat="1" applyFont="1" applyBorder="1"/>
    <xf numFmtId="44" fontId="55" fillId="0" borderId="76" xfId="0" applyNumberFormat="1" applyFont="1" applyBorder="1"/>
    <xf numFmtId="44" fontId="55" fillId="0" borderId="49" xfId="0" applyNumberFormat="1" applyFont="1" applyBorder="1"/>
    <xf numFmtId="44" fontId="28" fillId="0" borderId="97" xfId="0" applyNumberFormat="1" applyFont="1" applyBorder="1"/>
    <xf numFmtId="44" fontId="55" fillId="0" borderId="58" xfId="27" applyFont="1" applyBorder="1"/>
    <xf numFmtId="174" fontId="0" fillId="0" borderId="0" xfId="0" applyNumberFormat="1"/>
    <xf numFmtId="174" fontId="0" fillId="0" borderId="2" xfId="0" applyNumberFormat="1" applyBorder="1" applyAlignment="1">
      <alignment horizontal="center" vertical="center"/>
    </xf>
    <xf numFmtId="9" fontId="0" fillId="2" borderId="2" xfId="0" applyNumberFormat="1" applyFill="1" applyBorder="1" applyAlignment="1" applyProtection="1">
      <alignment horizontal="center" vertical="center"/>
      <protection locked="0"/>
    </xf>
    <xf numFmtId="0" fontId="63" fillId="0" borderId="0" xfId="0" applyFont="1"/>
    <xf numFmtId="9" fontId="0" fillId="2" borderId="49" xfId="22" applyFont="1" applyFill="1" applyBorder="1" applyAlignment="1" applyProtection="1">
      <alignment horizontal="center" vertical="center"/>
      <protection locked="0"/>
    </xf>
    <xf numFmtId="44" fontId="18" fillId="0" borderId="49" xfId="27" applyFont="1" applyBorder="1"/>
    <xf numFmtId="44" fontId="18" fillId="0" borderId="49" xfId="0" applyNumberFormat="1" applyFont="1" applyBorder="1"/>
    <xf numFmtId="44" fontId="18" fillId="0" borderId="50" xfId="0" applyNumberFormat="1" applyFont="1" applyBorder="1"/>
    <xf numFmtId="0" fontId="0" fillId="0" borderId="49" xfId="0" applyBorder="1" applyAlignment="1">
      <alignment horizontal="center"/>
    </xf>
    <xf numFmtId="0" fontId="0" fillId="0" borderId="5" xfId="0" applyBorder="1" applyAlignment="1">
      <alignment horizontal="center"/>
    </xf>
    <xf numFmtId="174" fontId="0" fillId="2" borderId="53" xfId="0" applyNumberFormat="1" applyFill="1" applyBorder="1" applyAlignment="1" applyProtection="1">
      <alignment horizontal="center" vertical="center"/>
      <protection locked="0"/>
    </xf>
    <xf numFmtId="9" fontId="0" fillId="2" borderId="53" xfId="22" applyFont="1" applyFill="1" applyBorder="1" applyAlignment="1" applyProtection="1">
      <alignment horizontal="center" vertical="center"/>
      <protection locked="0"/>
    </xf>
    <xf numFmtId="44" fontId="4" fillId="0" borderId="53" xfId="0" applyNumberFormat="1" applyFont="1" applyBorder="1"/>
    <xf numFmtId="9" fontId="0" fillId="0" borderId="58" xfId="22" applyFont="1" applyBorder="1" applyAlignment="1">
      <alignment horizontal="center" vertical="center"/>
    </xf>
    <xf numFmtId="2" fontId="3" fillId="0" borderId="58" xfId="0" applyNumberFormat="1" applyFont="1" applyBorder="1"/>
    <xf numFmtId="0" fontId="0" fillId="0" borderId="54" xfId="0" applyBorder="1" applyAlignment="1">
      <alignment horizontal="center"/>
    </xf>
    <xf numFmtId="0" fontId="0" fillId="2" borderId="49"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44" fontId="18" fillId="2" borderId="53" xfId="27" applyFont="1" applyFill="1" applyBorder="1" applyProtection="1">
      <protection locked="0"/>
    </xf>
    <xf numFmtId="44" fontId="0" fillId="3" borderId="2" xfId="27" applyFont="1" applyFill="1" applyBorder="1" applyProtection="1">
      <protection locked="0"/>
    </xf>
    <xf numFmtId="44" fontId="4" fillId="0" borderId="12" xfId="0" applyNumberFormat="1" applyFont="1" applyBorder="1"/>
    <xf numFmtId="0" fontId="3" fillId="0" borderId="4" xfId="0" applyFont="1" applyBorder="1"/>
    <xf numFmtId="174" fontId="0" fillId="0" borderId="4" xfId="0" applyNumberFormat="1" applyBorder="1"/>
    <xf numFmtId="0" fontId="63" fillId="0" borderId="11" xfId="0" applyFont="1" applyBorder="1"/>
    <xf numFmtId="0" fontId="3" fillId="0" borderId="12" xfId="0" applyFont="1" applyBorder="1"/>
    <xf numFmtId="174" fontId="0" fillId="0" borderId="12" xfId="0" applyNumberFormat="1" applyBorder="1"/>
    <xf numFmtId="0" fontId="47" fillId="0" borderId="14" xfId="0" applyFont="1" applyBorder="1"/>
    <xf numFmtId="0" fontId="14" fillId="0" borderId="14" xfId="0" applyFont="1" applyBorder="1"/>
    <xf numFmtId="0" fontId="13" fillId="0" borderId="16" xfId="0" applyFont="1" applyBorder="1"/>
    <xf numFmtId="44" fontId="4" fillId="0" borderId="69" xfId="0" applyNumberFormat="1" applyFont="1" applyBorder="1"/>
    <xf numFmtId="0" fontId="34" fillId="0" borderId="11" xfId="0" applyFont="1" applyBorder="1" applyAlignment="1">
      <alignment vertical="center"/>
    </xf>
    <xf numFmtId="2" fontId="14" fillId="0" borderId="19" xfId="0" applyNumberFormat="1" applyFont="1" applyBorder="1"/>
    <xf numFmtId="0" fontId="3" fillId="2" borderId="76" xfId="0" applyFont="1" applyFill="1" applyBorder="1" applyAlignment="1" applyProtection="1">
      <alignment horizontal="center" vertical="center"/>
      <protection locked="0"/>
    </xf>
    <xf numFmtId="2" fontId="0" fillId="0" borderId="4" xfId="0" applyNumberFormat="1" applyBorder="1" applyAlignment="1">
      <alignment horizontal="center" vertical="center"/>
    </xf>
    <xf numFmtId="0" fontId="3" fillId="0" borderId="11" xfId="0" applyFont="1" applyBorder="1"/>
    <xf numFmtId="0" fontId="17" fillId="0" borderId="16" xfId="0" applyFont="1" applyBorder="1"/>
    <xf numFmtId="0" fontId="50" fillId="8" borderId="14" xfId="0" applyFont="1" applyFill="1" applyBorder="1"/>
    <xf numFmtId="44" fontId="50" fillId="8" borderId="0" xfId="27" applyFont="1" applyFill="1" applyBorder="1" applyAlignment="1">
      <alignment horizontal="left"/>
    </xf>
    <xf numFmtId="9" fontId="0" fillId="0" borderId="15" xfId="22" applyFont="1" applyBorder="1" applyAlignment="1">
      <alignment horizontal="center" vertical="center"/>
    </xf>
    <xf numFmtId="9" fontId="0" fillId="0" borderId="10" xfId="22" applyFont="1" applyBorder="1" applyAlignment="1">
      <alignment horizontal="center" vertical="center"/>
    </xf>
    <xf numFmtId="0" fontId="17" fillId="0" borderId="4" xfId="0" applyFont="1" applyBorder="1"/>
    <xf numFmtId="0" fontId="4" fillId="0" borderId="4" xfId="0" applyFont="1" applyBorder="1"/>
    <xf numFmtId="9" fontId="0" fillId="0" borderId="15" xfId="0" applyNumberFormat="1" applyBorder="1" applyAlignment="1">
      <alignment horizontal="left"/>
    </xf>
    <xf numFmtId="0" fontId="0" fillId="0" borderId="96" xfId="0" applyBorder="1"/>
    <xf numFmtId="0" fontId="3" fillId="0" borderId="96" xfId="0" applyFont="1" applyBorder="1"/>
    <xf numFmtId="174" fontId="0" fillId="0" borderId="96" xfId="0" applyNumberFormat="1" applyBorder="1"/>
    <xf numFmtId="0" fontId="0" fillId="0" borderId="18" xfId="0" applyBorder="1"/>
    <xf numFmtId="183" fontId="0" fillId="0" borderId="19" xfId="22" applyNumberFormat="1" applyFont="1" applyBorder="1"/>
    <xf numFmtId="0" fontId="0" fillId="0" borderId="69" xfId="0" applyBorder="1"/>
    <xf numFmtId="183" fontId="61" fillId="0" borderId="69" xfId="22" applyNumberFormat="1" applyFont="1" applyBorder="1"/>
    <xf numFmtId="183" fontId="0" fillId="0" borderId="67" xfId="22" applyNumberFormat="1" applyFont="1" applyBorder="1"/>
    <xf numFmtId="0" fontId="44" fillId="0" borderId="15" xfId="0" applyFont="1" applyBorder="1"/>
    <xf numFmtId="0" fontId="7" fillId="0" borderId="0" xfId="0" applyFont="1"/>
    <xf numFmtId="0" fontId="20" fillId="0" borderId="0" xfId="0" applyFont="1" applyAlignment="1">
      <alignment wrapText="1"/>
    </xf>
    <xf numFmtId="0" fontId="64" fillId="0" borderId="0" xfId="0" applyFont="1" applyAlignment="1">
      <alignment wrapText="1"/>
    </xf>
    <xf numFmtId="0" fontId="20" fillId="0" borderId="0" xfId="0" applyFont="1"/>
    <xf numFmtId="0" fontId="44" fillId="0" borderId="0" xfId="0" applyFont="1"/>
    <xf numFmtId="0" fontId="62" fillId="0" borderId="0" xfId="0" applyFont="1"/>
    <xf numFmtId="0" fontId="0" fillId="0" borderId="88" xfId="0" applyBorder="1"/>
    <xf numFmtId="0" fontId="0" fillId="0" borderId="7" xfId="0" applyBorder="1"/>
    <xf numFmtId="0" fontId="0" fillId="0" borderId="95" xfId="0" applyBorder="1"/>
    <xf numFmtId="0" fontId="4" fillId="0" borderId="7" xfId="0" applyFont="1" applyBorder="1" applyAlignment="1">
      <alignment horizontal="center" wrapText="1"/>
    </xf>
    <xf numFmtId="0" fontId="0" fillId="0" borderId="7" xfId="0" applyBorder="1" applyAlignment="1" applyProtection="1">
      <alignment horizontal="center" vertical="center"/>
      <protection locked="0"/>
    </xf>
    <xf numFmtId="176" fontId="7" fillId="0" borderId="15" xfId="16" applyNumberFormat="1" applyFont="1" applyBorder="1" applyAlignment="1">
      <alignment horizontal="center" vertical="center"/>
    </xf>
    <xf numFmtId="176" fontId="3" fillId="7" borderId="8" xfId="5" applyNumberFormat="1" applyFont="1" applyFill="1" applyBorder="1" applyProtection="1">
      <protection locked="0"/>
    </xf>
    <xf numFmtId="9" fontId="3" fillId="2" borderId="21" xfId="22" applyFont="1" applyFill="1" applyBorder="1" applyAlignment="1" applyProtection="1">
      <alignment horizontal="center"/>
      <protection locked="0"/>
    </xf>
    <xf numFmtId="0" fontId="5" fillId="4" borderId="8" xfId="16" applyFill="1" applyBorder="1" applyAlignment="1" applyProtection="1">
      <alignment horizontal="center" vertical="center"/>
      <protection locked="0"/>
    </xf>
    <xf numFmtId="0" fontId="5" fillId="4" borderId="2" xfId="16" applyFill="1" applyBorder="1" applyAlignment="1" applyProtection="1">
      <alignment horizontal="center" vertical="center"/>
      <protection locked="0"/>
    </xf>
    <xf numFmtId="0" fontId="65" fillId="0" borderId="0" xfId="34" applyFont="1"/>
    <xf numFmtId="0" fontId="2" fillId="0" borderId="0" xfId="35"/>
    <xf numFmtId="0" fontId="70" fillId="0" borderId="0" xfId="35" applyFont="1"/>
    <xf numFmtId="0" fontId="71" fillId="0" borderId="0" xfId="35" applyFont="1"/>
    <xf numFmtId="0" fontId="71" fillId="0" borderId="70" xfId="35" applyFont="1" applyBorder="1" applyAlignment="1">
      <alignment horizontal="center" vertical="center"/>
    </xf>
    <xf numFmtId="0" fontId="2" fillId="0" borderId="5" xfId="35" applyBorder="1" applyAlignment="1">
      <alignment horizontal="center" vertical="center"/>
    </xf>
    <xf numFmtId="0" fontId="71" fillId="0" borderId="78" xfId="35" applyFont="1" applyBorder="1" applyAlignment="1">
      <alignment horizontal="center" vertical="center"/>
    </xf>
    <xf numFmtId="0" fontId="2" fillId="0" borderId="2" xfId="35" applyBorder="1" applyAlignment="1">
      <alignment horizontal="center" vertical="center"/>
    </xf>
    <xf numFmtId="0" fontId="66" fillId="0" borderId="0" xfId="35" applyFont="1"/>
    <xf numFmtId="1" fontId="2" fillId="0" borderId="0" xfId="35" applyNumberFormat="1" applyAlignment="1">
      <alignment horizontal="center" vertical="center"/>
    </xf>
    <xf numFmtId="1" fontId="2" fillId="0" borderId="2" xfId="35" applyNumberFormat="1" applyBorder="1" applyAlignment="1">
      <alignment horizontal="center" vertical="center"/>
    </xf>
    <xf numFmtId="0" fontId="69" fillId="0" borderId="0" xfId="35" applyFont="1"/>
    <xf numFmtId="174" fontId="2" fillId="2" borderId="21" xfId="35" applyNumberFormat="1" applyFill="1" applyBorder="1" applyAlignment="1" applyProtection="1">
      <alignment horizontal="center" vertical="center"/>
      <protection locked="0"/>
    </xf>
    <xf numFmtId="0" fontId="72" fillId="0" borderId="0" xfId="36"/>
    <xf numFmtId="0" fontId="2" fillId="2" borderId="21" xfId="35" applyFill="1" applyBorder="1" applyAlignment="1" applyProtection="1">
      <alignment horizontal="center" vertical="center"/>
      <protection locked="0"/>
    </xf>
    <xf numFmtId="0" fontId="2" fillId="0" borderId="2" xfId="35" applyBorder="1"/>
    <xf numFmtId="44" fontId="2" fillId="0" borderId="0" xfId="35" applyNumberFormat="1"/>
    <xf numFmtId="0" fontId="66" fillId="0" borderId="16" xfId="35" applyFont="1" applyBorder="1" applyAlignment="1">
      <alignment horizontal="center" vertical="center"/>
    </xf>
    <xf numFmtId="1" fontId="2" fillId="0" borderId="5" xfId="35" applyNumberFormat="1" applyBorder="1" applyAlignment="1">
      <alignment horizontal="center" vertical="center"/>
    </xf>
    <xf numFmtId="0" fontId="66" fillId="0" borderId="0" xfId="35" applyFont="1" applyAlignment="1">
      <alignment horizontal="center" vertical="center"/>
    </xf>
    <xf numFmtId="174" fontId="71" fillId="2" borderId="5" xfId="35" applyNumberFormat="1" applyFont="1" applyFill="1" applyBorder="1" applyAlignment="1" applyProtection="1">
      <alignment horizontal="center" vertical="center"/>
      <protection locked="0"/>
    </xf>
    <xf numFmtId="1" fontId="66" fillId="0" borderId="2" xfId="35" applyNumberFormat="1" applyFont="1" applyBorder="1" applyAlignment="1">
      <alignment horizontal="center" vertical="center"/>
    </xf>
    <xf numFmtId="0" fontId="65" fillId="0" borderId="0" xfId="34" applyFont="1" applyAlignment="1" applyProtection="1"/>
    <xf numFmtId="44" fontId="5" fillId="0" borderId="2" xfId="27" applyFont="1" applyBorder="1" applyAlignment="1">
      <alignment horizontal="center" vertical="center"/>
    </xf>
    <xf numFmtId="187" fontId="5" fillId="2" borderId="2" xfId="27" applyNumberFormat="1" applyFont="1" applyFill="1" applyBorder="1" applyAlignment="1" applyProtection="1">
      <alignment horizontal="center" vertical="center"/>
      <protection locked="0"/>
    </xf>
    <xf numFmtId="187" fontId="3" fillId="2" borderId="2" xfId="27" applyNumberFormat="1" applyFont="1" applyFill="1" applyBorder="1" applyAlignment="1" applyProtection="1">
      <alignment horizontal="center" vertical="center"/>
      <protection locked="0"/>
    </xf>
    <xf numFmtId="174" fontId="4" fillId="0" borderId="2" xfId="16" applyNumberFormat="1" applyFont="1" applyBorder="1" applyAlignment="1">
      <alignment horizontal="center" vertical="center"/>
    </xf>
    <xf numFmtId="0" fontId="4" fillId="0" borderId="0" xfId="16" applyFont="1" applyAlignment="1">
      <alignment horizontal="right" vertical="center"/>
    </xf>
    <xf numFmtId="44" fontId="4" fillId="0" borderId="2" xfId="27" applyFont="1" applyBorder="1" applyAlignment="1">
      <alignment horizontal="center" vertical="center"/>
    </xf>
    <xf numFmtId="44" fontId="4" fillId="0" borderId="2" xfId="16" applyNumberFormat="1" applyFont="1" applyBorder="1" applyAlignment="1">
      <alignment horizontal="center" vertical="center"/>
    </xf>
    <xf numFmtId="0" fontId="4" fillId="0" borderId="2" xfId="0" applyFont="1" applyBorder="1" applyAlignment="1">
      <alignment horizontal="center" vertical="center" wrapText="1"/>
    </xf>
    <xf numFmtId="44" fontId="5" fillId="0" borderId="0" xfId="27" applyFont="1"/>
    <xf numFmtId="174" fontId="0" fillId="2" borderId="2" xfId="0" applyNumberFormat="1" applyFill="1" applyBorder="1" applyProtection="1">
      <protection locked="0"/>
    </xf>
    <xf numFmtId="44" fontId="5" fillId="0" borderId="51" xfId="27" applyFont="1" applyBorder="1" applyAlignment="1">
      <alignment vertical="center"/>
    </xf>
    <xf numFmtId="44" fontId="5" fillId="0" borderId="47" xfId="27" applyFont="1" applyBorder="1" applyAlignment="1">
      <alignment vertical="center"/>
    </xf>
    <xf numFmtId="0" fontId="3" fillId="0" borderId="2" xfId="0" applyFont="1" applyBorder="1" applyAlignment="1">
      <alignment horizontal="center" vertical="center" wrapText="1"/>
    </xf>
    <xf numFmtId="44" fontId="5" fillId="0" borderId="2" xfId="27" applyFont="1" applyBorder="1" applyAlignment="1">
      <alignment vertical="center"/>
    </xf>
    <xf numFmtId="0" fontId="3" fillId="0" borderId="21" xfId="16" applyFont="1" applyBorder="1" applyAlignment="1">
      <alignment horizontal="left" vertical="center" wrapText="1"/>
    </xf>
    <xf numFmtId="0" fontId="27" fillId="0" borderId="2" xfId="0" applyFont="1" applyBorder="1" applyAlignment="1">
      <alignment vertical="center" wrapText="1"/>
    </xf>
    <xf numFmtId="1" fontId="4" fillId="0" borderId="2" xfId="16" applyNumberFormat="1" applyFont="1" applyBorder="1" applyAlignment="1">
      <alignment horizontal="center" vertical="center"/>
    </xf>
    <xf numFmtId="44" fontId="5" fillId="2" borderId="2" xfId="27" applyFont="1" applyFill="1" applyBorder="1" applyProtection="1">
      <protection locked="0"/>
    </xf>
    <xf numFmtId="2" fontId="5" fillId="0" borderId="5" xfId="16" applyNumberFormat="1" applyBorder="1" applyAlignment="1">
      <alignment horizontal="center" vertical="center"/>
    </xf>
    <xf numFmtId="0" fontId="4" fillId="0" borderId="2" xfId="16" applyFont="1" applyBorder="1" applyAlignment="1">
      <alignment horizontal="center" vertical="center" wrapText="1"/>
    </xf>
    <xf numFmtId="0" fontId="4" fillId="0" borderId="21" xfId="16" applyFont="1" applyBorder="1" applyAlignment="1">
      <alignment horizontal="center" vertical="center" wrapText="1"/>
    </xf>
    <xf numFmtId="0" fontId="76" fillId="0" borderId="0" xfId="16" applyFont="1"/>
    <xf numFmtId="174" fontId="0" fillId="3" borderId="2" xfId="0" applyNumberFormat="1" applyFill="1" applyBorder="1"/>
    <xf numFmtId="0" fontId="3" fillId="0" borderId="0" xfId="16" applyFont="1" applyAlignment="1">
      <alignment horizontal="center" vertical="center" wrapText="1"/>
    </xf>
    <xf numFmtId="44" fontId="5" fillId="2" borderId="2" xfId="27" applyFont="1" applyFill="1" applyBorder="1" applyAlignment="1" applyProtection="1">
      <alignment vertical="center"/>
      <protection locked="0"/>
    </xf>
    <xf numFmtId="9" fontId="44" fillId="0" borderId="2" xfId="22" applyFont="1" applyBorder="1" applyAlignment="1">
      <alignment horizontal="center" vertical="center"/>
    </xf>
    <xf numFmtId="49" fontId="1" fillId="2" borderId="2" xfId="35" applyNumberFormat="1" applyFont="1" applyFill="1" applyBorder="1" applyAlignment="1" applyProtection="1">
      <alignment wrapText="1"/>
      <protection locked="0"/>
    </xf>
    <xf numFmtId="1" fontId="2" fillId="2" borderId="2" xfId="35" applyNumberFormat="1" applyFill="1" applyBorder="1" applyAlignment="1" applyProtection="1">
      <alignment horizontal="center" vertical="center"/>
      <protection locked="0"/>
    </xf>
    <xf numFmtId="1" fontId="66" fillId="0" borderId="0" xfId="35" applyNumberFormat="1" applyFont="1" applyAlignment="1">
      <alignment horizontal="center" vertical="center"/>
    </xf>
    <xf numFmtId="1" fontId="2" fillId="2" borderId="5" xfId="35" applyNumberFormat="1" applyFill="1" applyBorder="1" applyAlignment="1" applyProtection="1">
      <alignment horizontal="center" vertical="center"/>
      <protection locked="0"/>
    </xf>
    <xf numFmtId="0" fontId="66" fillId="0" borderId="8" xfId="35" applyFont="1" applyBorder="1" applyAlignment="1">
      <alignment horizontal="center" vertical="center" wrapText="1"/>
    </xf>
    <xf numFmtId="0" fontId="1" fillId="0" borderId="8" xfId="35" applyFont="1" applyBorder="1" applyAlignment="1">
      <alignment horizontal="center" vertical="center"/>
    </xf>
    <xf numFmtId="2" fontId="2" fillId="0" borderId="5" xfId="35" applyNumberFormat="1" applyBorder="1" applyAlignment="1">
      <alignment horizontal="center" vertical="center"/>
    </xf>
    <xf numFmtId="44" fontId="17" fillId="0" borderId="2" xfId="27" applyFont="1" applyBorder="1" applyAlignment="1">
      <alignment horizontal="center" vertical="center"/>
    </xf>
    <xf numFmtId="166" fontId="63" fillId="0" borderId="2" xfId="16" applyNumberFormat="1" applyFont="1" applyBorder="1"/>
    <xf numFmtId="0" fontId="17" fillId="0" borderId="2" xfId="16" applyFont="1" applyBorder="1" applyAlignment="1">
      <alignment horizontal="center" vertical="center"/>
    </xf>
    <xf numFmtId="0" fontId="11" fillId="0" borderId="5" xfId="0" applyFont="1" applyBorder="1" applyAlignment="1">
      <alignment horizontal="center" vertical="center" wrapText="1"/>
    </xf>
    <xf numFmtId="0" fontId="17" fillId="2" borderId="2" xfId="0" applyFont="1" applyFill="1" applyBorder="1" applyAlignment="1" applyProtection="1">
      <alignment horizontal="center" vertical="center"/>
      <protection locked="0"/>
    </xf>
    <xf numFmtId="166" fontId="63" fillId="0" borderId="46" xfId="16" applyNumberFormat="1" applyFont="1" applyBorder="1"/>
    <xf numFmtId="174" fontId="3" fillId="0" borderId="2" xfId="16" applyNumberFormat="1" applyFont="1" applyBorder="1" applyAlignment="1">
      <alignment horizontal="center" vertical="center"/>
    </xf>
    <xf numFmtId="44" fontId="5" fillId="0" borderId="21" xfId="27" applyFont="1" applyBorder="1" applyAlignment="1">
      <alignment horizontal="center" vertical="center"/>
    </xf>
    <xf numFmtId="44" fontId="4" fillId="0" borderId="21" xfId="27" applyFont="1" applyBorder="1" applyAlignment="1">
      <alignment horizontal="center" vertical="center"/>
    </xf>
    <xf numFmtId="0" fontId="5" fillId="0" borderId="49" xfId="16" applyBorder="1" applyAlignment="1">
      <alignment horizontal="center" vertical="center"/>
    </xf>
    <xf numFmtId="44" fontId="4" fillId="0" borderId="66" xfId="27" applyFont="1" applyBorder="1" applyAlignment="1">
      <alignment vertical="center"/>
    </xf>
    <xf numFmtId="44" fontId="4" fillId="0" borderId="19" xfId="27" applyFont="1" applyBorder="1" applyAlignment="1">
      <alignment horizontal="center" vertical="center"/>
    </xf>
    <xf numFmtId="44" fontId="4" fillId="0" borderId="62" xfId="27" applyFont="1" applyBorder="1" applyAlignment="1">
      <alignment vertical="center"/>
    </xf>
    <xf numFmtId="44" fontId="4" fillId="0" borderId="69" xfId="27" applyFont="1" applyBorder="1" applyAlignment="1">
      <alignment vertical="center"/>
    </xf>
    <xf numFmtId="44" fontId="4" fillId="0" borderId="67" xfId="27" applyFont="1" applyBorder="1" applyAlignment="1">
      <alignment vertical="center"/>
    </xf>
    <xf numFmtId="0" fontId="77" fillId="2" borderId="2" xfId="16" applyFont="1" applyFill="1" applyBorder="1" applyAlignment="1" applyProtection="1">
      <alignment horizontal="center" vertical="center"/>
      <protection locked="0"/>
    </xf>
    <xf numFmtId="0" fontId="4" fillId="0" borderId="97" xfId="16" applyFont="1" applyBorder="1" applyAlignment="1">
      <alignment horizontal="center" vertical="center" wrapText="1"/>
    </xf>
    <xf numFmtId="0" fontId="4" fillId="0" borderId="98" xfId="16" applyFont="1" applyBorder="1" applyAlignment="1">
      <alignment horizontal="center" vertical="center" wrapText="1"/>
    </xf>
    <xf numFmtId="0" fontId="3" fillId="0" borderId="49" xfId="16" applyFont="1" applyBorder="1" applyAlignment="1">
      <alignment horizontal="center" vertical="center" wrapText="1"/>
    </xf>
    <xf numFmtId="0" fontId="3" fillId="0" borderId="5" xfId="16" applyFont="1" applyBorder="1" applyAlignment="1">
      <alignment horizontal="center" vertical="center" wrapText="1"/>
    </xf>
    <xf numFmtId="0" fontId="4" fillId="0" borderId="81" xfId="16" applyFont="1" applyBorder="1" applyAlignment="1">
      <alignment horizontal="center" vertical="center" wrapText="1"/>
    </xf>
    <xf numFmtId="0" fontId="4" fillId="0" borderId="87" xfId="16" applyFont="1" applyBorder="1" applyAlignment="1">
      <alignment horizontal="center" vertical="center" wrapText="1"/>
    </xf>
    <xf numFmtId="0" fontId="4" fillId="0" borderId="82" xfId="16" applyFont="1" applyBorder="1" applyAlignment="1">
      <alignment horizontal="center" vertical="center" wrapText="1"/>
    </xf>
    <xf numFmtId="0" fontId="5" fillId="0" borderId="7" xfId="16" applyBorder="1" applyAlignment="1">
      <alignment horizontal="center" vertical="center"/>
    </xf>
    <xf numFmtId="0" fontId="17" fillId="0" borderId="0" xfId="16" applyFont="1" applyAlignment="1">
      <alignment horizontal="center" vertical="center"/>
    </xf>
    <xf numFmtId="174" fontId="0" fillId="2" borderId="21" xfId="0" applyNumberFormat="1" applyFill="1" applyBorder="1" applyProtection="1">
      <protection locked="0"/>
    </xf>
    <xf numFmtId="187" fontId="3" fillId="3" borderId="2" xfId="16" applyNumberFormat="1" applyFont="1" applyFill="1" applyBorder="1" applyAlignment="1" applyProtection="1">
      <alignment horizontal="center" vertical="center"/>
      <protection locked="0"/>
    </xf>
    <xf numFmtId="0" fontId="4" fillId="0" borderId="0" xfId="16" applyFont="1" applyAlignment="1">
      <alignment horizontal="right"/>
    </xf>
    <xf numFmtId="0" fontId="5" fillId="0" borderId="50" xfId="16" applyBorder="1" applyAlignment="1">
      <alignment vertical="center"/>
    </xf>
    <xf numFmtId="0" fontId="5" fillId="0" borderId="102" xfId="16" applyBorder="1" applyAlignment="1">
      <alignment vertical="center"/>
    </xf>
    <xf numFmtId="0" fontId="5" fillId="0" borderId="6" xfId="16" applyBorder="1" applyAlignment="1">
      <alignment vertical="center"/>
    </xf>
    <xf numFmtId="188" fontId="5" fillId="0" borderId="2" xfId="16" applyNumberFormat="1" applyBorder="1" applyAlignment="1">
      <alignment horizontal="center" vertical="center"/>
    </xf>
    <xf numFmtId="44" fontId="4" fillId="0" borderId="76" xfId="27" applyFont="1" applyBorder="1" applyAlignment="1">
      <alignment vertical="center"/>
    </xf>
    <xf numFmtId="44" fontId="4" fillId="0" borderId="49" xfId="27" applyFont="1" applyBorder="1" applyAlignment="1">
      <alignment vertical="center"/>
    </xf>
    <xf numFmtId="44" fontId="4" fillId="0" borderId="97" xfId="27" applyFont="1" applyBorder="1" applyAlignment="1">
      <alignment vertical="center"/>
    </xf>
    <xf numFmtId="187" fontId="4" fillId="0" borderId="2" xfId="16" applyNumberFormat="1" applyFont="1" applyBorder="1" applyAlignment="1">
      <alignment horizontal="center" vertical="center"/>
    </xf>
    <xf numFmtId="0" fontId="4" fillId="0" borderId="61" xfId="16" applyFont="1" applyBorder="1" applyAlignment="1">
      <alignment horizontal="center" vertical="center" wrapText="1"/>
    </xf>
    <xf numFmtId="0" fontId="79" fillId="0" borderId="8" xfId="0" applyFont="1" applyBorder="1" applyAlignment="1">
      <alignment horizontal="center" vertical="center"/>
    </xf>
    <xf numFmtId="0" fontId="28" fillId="0" borderId="0" xfId="0" applyFont="1" applyAlignment="1">
      <alignment vertical="center"/>
    </xf>
    <xf numFmtId="0" fontId="3" fillId="0" borderId="0" xfId="0" applyFont="1" applyAlignment="1">
      <alignment horizontal="left" vertical="top" wrapText="1"/>
    </xf>
    <xf numFmtId="1" fontId="0" fillId="2" borderId="21" xfId="0" applyNumberFormat="1" applyFill="1" applyBorder="1" applyAlignment="1" applyProtection="1">
      <alignment horizontal="center" vertical="center"/>
      <protection locked="0"/>
    </xf>
    <xf numFmtId="7" fontId="5" fillId="2" borderId="2" xfId="27" applyNumberFormat="1" applyFont="1" applyFill="1" applyBorder="1" applyAlignment="1" applyProtection="1">
      <alignment horizontal="center" vertical="center"/>
      <protection locked="0"/>
    </xf>
    <xf numFmtId="7" fontId="22" fillId="2" borderId="2" xfId="27" applyNumberFormat="1" applyFont="1" applyFill="1" applyBorder="1" applyAlignment="1" applyProtection="1">
      <alignment horizontal="center" vertical="center"/>
      <protection locked="0"/>
    </xf>
    <xf numFmtId="44" fontId="19" fillId="0" borderId="99" xfId="27" applyFont="1" applyBorder="1" applyAlignment="1">
      <alignment vertical="center" wrapText="1"/>
    </xf>
    <xf numFmtId="44" fontId="13" fillId="0" borderId="2" xfId="16" applyNumberFormat="1" applyFont="1" applyBorder="1" applyAlignment="1">
      <alignment horizontal="center" vertical="center"/>
    </xf>
    <xf numFmtId="0" fontId="5" fillId="0" borderId="103" xfId="16" applyBorder="1"/>
    <xf numFmtId="2" fontId="0" fillId="3" borderId="2" xfId="0" applyNumberFormat="1" applyFill="1" applyBorder="1"/>
    <xf numFmtId="0" fontId="13" fillId="0" borderId="2" xfId="0" applyFont="1" applyBorder="1" applyAlignment="1">
      <alignment horizontal="center" vertical="center" wrapText="1"/>
    </xf>
    <xf numFmtId="0" fontId="55" fillId="0" borderId="5" xfId="0" applyFont="1" applyBorder="1" applyAlignment="1">
      <alignment horizontal="center" vertical="center" wrapText="1"/>
    </xf>
    <xf numFmtId="0" fontId="7" fillId="0" borderId="7" xfId="0" applyFont="1" applyBorder="1" applyAlignment="1">
      <alignment horizontal="left" vertical="center" wrapText="1"/>
    </xf>
    <xf numFmtId="0" fontId="5" fillId="2" borderId="8" xfId="16" applyFill="1" applyBorder="1" applyAlignment="1" applyProtection="1">
      <alignment horizontal="center"/>
      <protection locked="0"/>
    </xf>
    <xf numFmtId="44" fontId="19" fillId="10" borderId="99" xfId="38" applyNumberFormat="1" applyFont="1" applyBorder="1" applyAlignment="1">
      <alignment vertical="center" wrapText="1"/>
    </xf>
    <xf numFmtId="44" fontId="19" fillId="10" borderId="2" xfId="38" applyNumberFormat="1" applyFont="1" applyBorder="1" applyAlignment="1">
      <alignment horizontal="center" vertical="center" wrapText="1"/>
    </xf>
    <xf numFmtId="44" fontId="19" fillId="10" borderId="2" xfId="38" applyNumberFormat="1" applyFont="1" applyBorder="1" applyAlignment="1">
      <alignment horizontal="center" vertical="center"/>
    </xf>
    <xf numFmtId="44" fontId="19" fillId="10" borderId="99" xfId="38" applyNumberFormat="1" applyFont="1" applyBorder="1" applyAlignment="1" applyProtection="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4" fillId="4" borderId="9" xfId="16" applyFont="1" applyFill="1" applyBorder="1" applyAlignment="1" applyProtection="1">
      <alignment horizontal="center"/>
      <protection locked="0"/>
    </xf>
    <xf numFmtId="0" fontId="4" fillId="4" borderId="10" xfId="16" applyFont="1" applyFill="1" applyBorder="1" applyAlignment="1" applyProtection="1">
      <alignment horizontal="center"/>
      <protection locked="0"/>
    </xf>
    <xf numFmtId="0" fontId="19" fillId="2" borderId="9" xfId="16" applyFont="1" applyFill="1" applyBorder="1" applyAlignment="1" applyProtection="1">
      <alignment horizontal="center"/>
      <protection locked="0"/>
    </xf>
    <xf numFmtId="0" fontId="19" fillId="2" borderId="10" xfId="16" applyFont="1" applyFill="1" applyBorder="1" applyAlignment="1" applyProtection="1">
      <alignment horizontal="center"/>
      <protection locked="0"/>
    </xf>
    <xf numFmtId="0" fontId="5" fillId="2" borderId="41" xfId="16" applyFill="1" applyBorder="1" applyAlignment="1" applyProtection="1">
      <alignment horizontal="center"/>
      <protection locked="0"/>
    </xf>
    <xf numFmtId="0" fontId="5" fillId="2" borderId="42" xfId="16" applyFill="1" applyBorder="1" applyAlignment="1" applyProtection="1">
      <alignment horizontal="center"/>
      <protection locked="0"/>
    </xf>
    <xf numFmtId="0" fontId="18" fillId="0" borderId="0" xfId="16" applyFont="1" applyAlignment="1">
      <alignment horizontal="left"/>
    </xf>
    <xf numFmtId="0" fontId="18" fillId="0" borderId="0" xfId="16" applyFont="1" applyAlignment="1">
      <alignment horizontal="center"/>
    </xf>
    <xf numFmtId="2" fontId="3" fillId="2" borderId="2" xfId="16" applyNumberFormat="1" applyFont="1" applyFill="1" applyBorder="1" applyAlignment="1" applyProtection="1">
      <alignment horizontal="center" wrapText="1"/>
      <protection locked="0"/>
    </xf>
    <xf numFmtId="2" fontId="5" fillId="2" borderId="2" xfId="16" applyNumberFormat="1" applyFill="1" applyBorder="1" applyAlignment="1" applyProtection="1">
      <alignment horizontal="center" wrapText="1"/>
      <protection locked="0"/>
    </xf>
    <xf numFmtId="0" fontId="3" fillId="2" borderId="9" xfId="16" applyFont="1" applyFill="1" applyBorder="1" applyAlignment="1" applyProtection="1">
      <alignment horizontal="center"/>
      <protection locked="0"/>
    </xf>
    <xf numFmtId="0" fontId="5" fillId="2" borderId="13" xfId="16" applyFill="1" applyBorder="1" applyAlignment="1" applyProtection="1">
      <alignment horizontal="center"/>
      <protection locked="0"/>
    </xf>
    <xf numFmtId="0" fontId="3" fillId="2" borderId="41" xfId="16" applyFont="1" applyFill="1" applyBorder="1" applyAlignment="1" applyProtection="1">
      <alignment horizontal="center"/>
      <protection locked="0"/>
    </xf>
    <xf numFmtId="0" fontId="28" fillId="0" borderId="11" xfId="0" applyFont="1" applyBorder="1" applyAlignment="1">
      <alignment horizontal="center" wrapText="1"/>
    </xf>
    <xf numFmtId="0" fontId="28" fillId="0" borderId="12" xfId="0" applyFont="1" applyBorder="1" applyAlignment="1">
      <alignment horizontal="center" wrapText="1"/>
    </xf>
    <xf numFmtId="0" fontId="28" fillId="0" borderId="13" xfId="0" applyFont="1" applyBorder="1" applyAlignment="1">
      <alignment horizontal="center" wrapText="1"/>
    </xf>
    <xf numFmtId="0" fontId="4" fillId="0" borderId="87" xfId="0" applyFont="1" applyBorder="1" applyAlignment="1">
      <alignment horizontal="center"/>
    </xf>
    <xf numFmtId="0" fontId="4" fillId="0" borderId="88" xfId="0" applyFont="1" applyBorder="1" applyAlignment="1">
      <alignment horizontal="center"/>
    </xf>
    <xf numFmtId="0" fontId="53" fillId="2" borderId="11" xfId="0" applyFont="1" applyFill="1" applyBorder="1" applyAlignment="1" applyProtection="1">
      <alignment horizontal="left" vertical="center" wrapText="1"/>
      <protection locked="0"/>
    </xf>
    <xf numFmtId="0" fontId="53" fillId="2" borderId="12" xfId="0" applyFont="1" applyFill="1" applyBorder="1" applyAlignment="1" applyProtection="1">
      <alignment horizontal="left" vertical="center" wrapText="1"/>
      <protection locked="0"/>
    </xf>
    <xf numFmtId="0" fontId="53" fillId="2" borderId="13" xfId="0" applyFont="1" applyFill="1" applyBorder="1" applyAlignment="1" applyProtection="1">
      <alignment horizontal="left" vertical="center" wrapText="1"/>
      <protection locked="0"/>
    </xf>
    <xf numFmtId="0" fontId="53" fillId="2" borderId="14" xfId="0" applyFont="1" applyFill="1" applyBorder="1" applyAlignment="1" applyProtection="1">
      <alignment horizontal="left" vertical="center" wrapText="1"/>
      <protection locked="0"/>
    </xf>
    <xf numFmtId="0" fontId="53" fillId="2" borderId="0" xfId="0" applyFont="1" applyFill="1" applyAlignment="1" applyProtection="1">
      <alignment horizontal="left" vertical="center" wrapText="1"/>
      <protection locked="0"/>
    </xf>
    <xf numFmtId="0" fontId="53" fillId="2" borderId="15" xfId="0" applyFont="1" applyFill="1" applyBorder="1" applyAlignment="1" applyProtection="1">
      <alignment horizontal="left" vertical="center" wrapText="1"/>
      <protection locked="0"/>
    </xf>
    <xf numFmtId="0" fontId="53" fillId="2" borderId="16" xfId="0" applyFont="1" applyFill="1" applyBorder="1" applyAlignment="1" applyProtection="1">
      <alignment horizontal="left" vertical="center" wrapText="1"/>
      <protection locked="0"/>
    </xf>
    <xf numFmtId="0" fontId="53" fillId="2" borderId="4" xfId="0" applyFont="1" applyFill="1" applyBorder="1" applyAlignment="1" applyProtection="1">
      <alignment horizontal="left" vertical="center" wrapText="1"/>
      <protection locked="0"/>
    </xf>
    <xf numFmtId="0" fontId="53" fillId="2" borderId="17" xfId="0" applyFont="1" applyFill="1" applyBorder="1" applyAlignment="1" applyProtection="1">
      <alignment horizontal="left" vertical="center" wrapText="1"/>
      <protection locked="0"/>
    </xf>
    <xf numFmtId="0" fontId="14" fillId="2" borderId="74" xfId="0" applyFont="1" applyFill="1" applyBorder="1" applyAlignment="1" applyProtection="1">
      <alignment horizontal="left" vertical="top"/>
      <protection locked="0"/>
    </xf>
    <xf numFmtId="0" fontId="14" fillId="2" borderId="48" xfId="0" applyFont="1" applyFill="1" applyBorder="1" applyAlignment="1" applyProtection="1">
      <alignment horizontal="left" vertical="top"/>
      <protection locked="0"/>
    </xf>
    <xf numFmtId="0" fontId="28" fillId="0" borderId="14" xfId="0" applyFont="1" applyBorder="1" applyAlignment="1">
      <alignment horizontal="center" wrapText="1"/>
    </xf>
    <xf numFmtId="0" fontId="28" fillId="0" borderId="0" xfId="0" applyFont="1" applyAlignment="1">
      <alignment horizontal="center" wrapText="1"/>
    </xf>
    <xf numFmtId="0" fontId="28" fillId="0" borderId="15" xfId="0" applyFont="1" applyBorder="1" applyAlignment="1">
      <alignment horizontal="center" wrapText="1"/>
    </xf>
    <xf numFmtId="0" fontId="3" fillId="3" borderId="9" xfId="0" applyFont="1" applyFill="1" applyBorder="1" applyAlignment="1">
      <alignment horizontal="center" vertical="top" wrapText="1"/>
    </xf>
    <xf numFmtId="0" fontId="3" fillId="3" borderId="58" xfId="0" applyFont="1" applyFill="1" applyBorder="1" applyAlignment="1">
      <alignment horizontal="center" vertical="top" wrapText="1"/>
    </xf>
    <xf numFmtId="0" fontId="3" fillId="3" borderId="10" xfId="0" applyFont="1" applyFill="1" applyBorder="1" applyAlignment="1">
      <alignment horizontal="center" vertical="top" wrapText="1"/>
    </xf>
    <xf numFmtId="0" fontId="26" fillId="2" borderId="41" xfId="0" applyFont="1" applyFill="1" applyBorder="1" applyAlignment="1" applyProtection="1">
      <alignment horizontal="center" wrapText="1"/>
      <protection locked="0"/>
    </xf>
    <xf numFmtId="0" fontId="26" fillId="2" borderId="53" xfId="0" applyFont="1" applyFill="1" applyBorder="1" applyAlignment="1" applyProtection="1">
      <alignment horizontal="center" wrapText="1"/>
      <protection locked="0"/>
    </xf>
    <xf numFmtId="0" fontId="26" fillId="2" borderId="73" xfId="0" applyFont="1" applyFill="1" applyBorder="1" applyAlignment="1" applyProtection="1">
      <alignment horizontal="center" wrapText="1"/>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4" fillId="2" borderId="74" xfId="0" applyFont="1" applyFill="1" applyBorder="1" applyAlignment="1" applyProtection="1">
      <alignment horizontal="left" vertical="top" wrapText="1"/>
      <protection locked="0"/>
    </xf>
    <xf numFmtId="0" fontId="14" fillId="2" borderId="48" xfId="0" applyFont="1" applyFill="1" applyBorder="1" applyAlignment="1" applyProtection="1">
      <alignment horizontal="left" vertical="top" wrapText="1"/>
      <protection locked="0"/>
    </xf>
    <xf numFmtId="0" fontId="22" fillId="0" borderId="74" xfId="0" applyFont="1" applyBorder="1" applyAlignment="1">
      <alignment horizontal="left" vertical="top" wrapText="1"/>
    </xf>
    <xf numFmtId="0" fontId="22" fillId="0" borderId="48" xfId="0" applyFont="1" applyBorder="1" applyAlignment="1">
      <alignment horizontal="left" vertical="top" wrapText="1"/>
    </xf>
    <xf numFmtId="0" fontId="4" fillId="0" borderId="13" xfId="0" applyFont="1" applyBorder="1" applyAlignment="1">
      <alignment horizontal="center" vertical="center"/>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0" fillId="0" borderId="83"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51" fillId="2" borderId="91" xfId="0" applyFont="1" applyFill="1" applyBorder="1" applyAlignment="1" applyProtection="1">
      <alignment horizontal="center"/>
      <protection locked="0"/>
    </xf>
    <xf numFmtId="0" fontId="51" fillId="2" borderId="92" xfId="0" applyFont="1" applyFill="1" applyBorder="1" applyAlignment="1" applyProtection="1">
      <alignment horizontal="center"/>
      <protection locked="0"/>
    </xf>
    <xf numFmtId="0" fontId="14" fillId="0" borderId="0" xfId="0" applyFont="1" applyAlignment="1">
      <alignment horizontal="left" wrapText="1"/>
    </xf>
    <xf numFmtId="0" fontId="14" fillId="2" borderId="2" xfId="0" applyFont="1" applyFill="1" applyBorder="1" applyAlignment="1" applyProtection="1">
      <alignment horizontal="left"/>
      <protection locked="0"/>
    </xf>
    <xf numFmtId="0" fontId="14" fillId="2" borderId="21" xfId="0" applyFont="1" applyFill="1" applyBorder="1" applyAlignment="1" applyProtection="1">
      <alignment horizontal="left"/>
      <protection locked="0"/>
    </xf>
    <xf numFmtId="0" fontId="14" fillId="2" borderId="2" xfId="0" applyFont="1" applyFill="1" applyBorder="1" applyAlignment="1" applyProtection="1">
      <alignment horizontal="center"/>
      <protection locked="0"/>
    </xf>
    <xf numFmtId="0" fontId="14" fillId="2" borderId="21" xfId="0" applyFont="1" applyFill="1" applyBorder="1" applyAlignment="1" applyProtection="1">
      <alignment horizontal="center"/>
      <protection locked="0"/>
    </xf>
    <xf numFmtId="0" fontId="4" fillId="0" borderId="11" xfId="16" applyFont="1" applyBorder="1" applyAlignment="1">
      <alignment horizontal="left" vertical="top" wrapText="1"/>
    </xf>
    <xf numFmtId="0" fontId="4" fillId="0" borderId="12" xfId="16" applyFont="1" applyBorder="1" applyAlignment="1">
      <alignment horizontal="left" vertical="top" wrapText="1"/>
    </xf>
    <xf numFmtId="0" fontId="4" fillId="0" borderId="13" xfId="16" applyFont="1" applyBorder="1" applyAlignment="1">
      <alignment horizontal="left" vertical="top" wrapText="1"/>
    </xf>
    <xf numFmtId="0" fontId="4" fillId="0" borderId="14" xfId="16" applyFont="1" applyBorder="1" applyAlignment="1">
      <alignment horizontal="left" vertical="top" wrapText="1"/>
    </xf>
    <xf numFmtId="0" fontId="4" fillId="0" borderId="0" xfId="16" applyFont="1" applyAlignment="1">
      <alignment horizontal="left" vertical="top" wrapText="1"/>
    </xf>
    <xf numFmtId="0" fontId="4" fillId="0" borderId="15" xfId="16" applyFont="1" applyBorder="1" applyAlignment="1">
      <alignment horizontal="left" vertical="top" wrapText="1"/>
    </xf>
    <xf numFmtId="0" fontId="4" fillId="0" borderId="16" xfId="16" applyFont="1" applyBorder="1" applyAlignment="1">
      <alignment horizontal="left" vertical="top" wrapText="1"/>
    </xf>
    <xf numFmtId="0" fontId="4" fillId="0" borderId="4" xfId="16" applyFont="1" applyBorder="1" applyAlignment="1">
      <alignment horizontal="left" vertical="top" wrapText="1"/>
    </xf>
    <xf numFmtId="0" fontId="4" fillId="0" borderId="17" xfId="16" applyFont="1" applyBorder="1" applyAlignment="1">
      <alignment horizontal="left" vertical="top" wrapText="1"/>
    </xf>
    <xf numFmtId="0" fontId="4" fillId="9" borderId="81" xfId="0" applyFont="1" applyFill="1" applyBorder="1" applyAlignment="1">
      <alignment horizontal="left"/>
    </xf>
    <xf numFmtId="0" fontId="4" fillId="9" borderId="87" xfId="0" applyFont="1" applyFill="1" applyBorder="1" applyAlignment="1">
      <alignment horizontal="left"/>
    </xf>
    <xf numFmtId="0" fontId="42" fillId="0" borderId="12" xfId="0" applyFont="1" applyBorder="1" applyAlignment="1">
      <alignment horizontal="left" vertical="top" wrapText="1"/>
    </xf>
    <xf numFmtId="0" fontId="42" fillId="0" borderId="0" xfId="0" applyFont="1" applyAlignment="1">
      <alignment horizontal="left" vertical="top" wrapText="1"/>
    </xf>
    <xf numFmtId="0" fontId="0" fillId="0" borderId="85"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19" fillId="2" borderId="48" xfId="0" applyFont="1" applyFill="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3" fillId="2" borderId="48" xfId="0" applyFont="1" applyFill="1" applyBorder="1" applyAlignment="1" applyProtection="1">
      <alignment horizontal="center" wrapText="1"/>
      <protection locked="0"/>
    </xf>
    <xf numFmtId="0" fontId="3" fillId="2" borderId="7" xfId="0" applyFont="1" applyFill="1" applyBorder="1" applyAlignment="1" applyProtection="1">
      <alignment horizontal="center" wrapText="1"/>
      <protection locked="0"/>
    </xf>
    <xf numFmtId="0" fontId="46" fillId="2" borderId="2" xfId="16" applyFont="1" applyFill="1" applyBorder="1" applyAlignment="1" applyProtection="1">
      <alignment horizontal="left" wrapText="1"/>
      <protection locked="0"/>
    </xf>
    <xf numFmtId="0" fontId="26" fillId="0" borderId="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7" xfId="0" applyFont="1" applyBorder="1" applyAlignment="1">
      <alignment horizontal="center" vertical="center" wrapText="1"/>
    </xf>
    <xf numFmtId="0" fontId="5" fillId="0" borderId="2" xfId="16" applyBorder="1" applyAlignment="1">
      <alignment horizontal="left" wrapText="1"/>
    </xf>
    <xf numFmtId="0" fontId="3" fillId="2" borderId="2" xfId="0" applyFont="1" applyFill="1" applyBorder="1" applyAlignment="1" applyProtection="1">
      <alignment horizontal="left" vertical="center" wrapText="1"/>
      <protection locked="0"/>
    </xf>
    <xf numFmtId="0" fontId="3" fillId="0" borderId="2" xfId="16" applyFont="1" applyBorder="1" applyAlignment="1">
      <alignment horizontal="center" vertical="center" textRotation="90" wrapText="1"/>
    </xf>
    <xf numFmtId="0" fontId="5" fillId="0" borderId="2" xfId="16" applyBorder="1" applyAlignment="1">
      <alignment horizontal="center" vertical="center" textRotation="90"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3" fillId="2" borderId="21"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4" fillId="0" borderId="2" xfId="0" applyFont="1" applyBorder="1" applyAlignment="1">
      <alignment horizontal="center" wrapText="1"/>
    </xf>
    <xf numFmtId="44" fontId="5" fillId="2" borderId="2" xfId="27" applyFont="1" applyFill="1" applyBorder="1" applyAlignment="1" applyProtection="1">
      <alignment horizontal="center" vertical="center"/>
      <protection locked="0"/>
    </xf>
    <xf numFmtId="44" fontId="0" fillId="0" borderId="21" xfId="27" applyFont="1" applyBorder="1" applyAlignment="1">
      <alignment horizontal="center" vertical="center"/>
    </xf>
    <xf numFmtId="44" fontId="0" fillId="0" borderId="7" xfId="27" applyFont="1" applyBorder="1" applyAlignment="1">
      <alignment horizontal="center" vertical="center"/>
    </xf>
    <xf numFmtId="44" fontId="5" fillId="0" borderId="51" xfId="27" applyFont="1" applyBorder="1" applyAlignment="1">
      <alignment horizontal="center" vertical="center"/>
    </xf>
    <xf numFmtId="44" fontId="5" fillId="0" borderId="47" xfId="27" applyFont="1" applyBorder="1" applyAlignment="1">
      <alignment horizontal="center" vertical="center"/>
    </xf>
    <xf numFmtId="0" fontId="3" fillId="0" borderId="2" xfId="16" applyFont="1" applyBorder="1" applyAlignment="1">
      <alignment horizontal="center" vertical="center" wrapText="1"/>
    </xf>
    <xf numFmtId="0" fontId="5" fillId="0" borderId="2" xfId="16" applyBorder="1" applyAlignment="1">
      <alignment horizontal="center" vertical="center" wrapText="1"/>
    </xf>
    <xf numFmtId="44" fontId="0" fillId="0" borderId="2" xfId="27" applyFont="1" applyBorder="1" applyAlignment="1">
      <alignment horizontal="center"/>
    </xf>
    <xf numFmtId="44" fontId="4" fillId="0" borderId="2" xfId="27" applyFont="1" applyBorder="1" applyAlignment="1">
      <alignment horizontal="center"/>
    </xf>
    <xf numFmtId="44" fontId="0" fillId="0" borderId="21" xfId="27" applyFont="1" applyBorder="1" applyAlignment="1">
      <alignment horizontal="center"/>
    </xf>
    <xf numFmtId="44" fontId="0" fillId="0" borderId="7" xfId="27" applyFont="1" applyBorder="1" applyAlignment="1">
      <alignment horizontal="center"/>
    </xf>
    <xf numFmtId="44" fontId="4" fillId="0" borderId="21" xfId="27" applyFont="1" applyBorder="1" applyAlignment="1">
      <alignment horizontal="center"/>
    </xf>
    <xf numFmtId="44" fontId="4" fillId="0" borderId="7" xfId="27" applyFont="1" applyBorder="1" applyAlignment="1">
      <alignment horizontal="center"/>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 xfId="0" applyFont="1" applyBorder="1" applyAlignment="1">
      <alignment horizontal="center" vertical="center" wrapText="1"/>
    </xf>
    <xf numFmtId="0" fontId="23" fillId="0" borderId="21" xfId="34" applyBorder="1" applyAlignment="1">
      <alignment horizontal="left" vertical="center" wrapText="1"/>
    </xf>
    <xf numFmtId="0" fontId="22" fillId="0" borderId="50" xfId="16" applyFont="1" applyBorder="1" applyAlignment="1">
      <alignment horizontal="left" vertical="center" wrapText="1"/>
    </xf>
    <xf numFmtId="0" fontId="22" fillId="0" borderId="20" xfId="16" applyFont="1" applyBorder="1" applyAlignment="1">
      <alignment horizontal="left" vertical="center" wrapText="1"/>
    </xf>
    <xf numFmtId="0" fontId="39" fillId="0" borderId="76" xfId="0" applyFont="1" applyBorder="1" applyAlignment="1">
      <alignment horizontal="center" vertical="center" wrapText="1"/>
    </xf>
    <xf numFmtId="0" fontId="39" fillId="0" borderId="100" xfId="0" applyFont="1" applyBorder="1" applyAlignment="1">
      <alignment horizontal="center" vertical="center" wrapText="1"/>
    </xf>
    <xf numFmtId="0" fontId="39" fillId="10" borderId="49" xfId="38" applyFont="1" applyBorder="1" applyAlignment="1" applyProtection="1">
      <alignment horizontal="center" vertical="center" wrapText="1"/>
    </xf>
    <xf numFmtId="0" fontId="39" fillId="10" borderId="101" xfId="38" applyFont="1" applyBorder="1" applyAlignment="1" applyProtection="1">
      <alignment horizontal="center" vertical="center" wrapText="1"/>
    </xf>
    <xf numFmtId="0" fontId="22" fillId="0" borderId="2" xfId="16" applyFont="1" applyBorder="1" applyAlignment="1">
      <alignment horizontal="center" vertical="center" wrapText="1"/>
    </xf>
    <xf numFmtId="0" fontId="17" fillId="0" borderId="20" xfId="16" applyFont="1" applyBorder="1" applyAlignment="1">
      <alignment horizontal="center" wrapText="1"/>
    </xf>
    <xf numFmtId="0" fontId="17" fillId="0" borderId="72" xfId="16" applyFont="1" applyBorder="1" applyAlignment="1">
      <alignment horizontal="center" wrapText="1"/>
    </xf>
    <xf numFmtId="0" fontId="17" fillId="0" borderId="3" xfId="16" applyFont="1" applyBorder="1" applyAlignment="1">
      <alignment horizontal="center" wrapText="1"/>
    </xf>
    <xf numFmtId="0" fontId="39" fillId="10" borderId="50" xfId="38" applyFont="1" applyBorder="1" applyAlignment="1" applyProtection="1">
      <alignment horizontal="center" vertical="center" wrapText="1"/>
    </xf>
    <xf numFmtId="0" fontId="39" fillId="10" borderId="20" xfId="38" applyFont="1" applyBorder="1" applyAlignment="1" applyProtection="1">
      <alignment horizontal="center" vertical="center" wrapText="1"/>
    </xf>
    <xf numFmtId="0" fontId="3" fillId="0" borderId="21" xfId="16" applyFont="1" applyBorder="1" applyAlignment="1">
      <alignment horizontal="left" wrapText="1"/>
    </xf>
    <xf numFmtId="0" fontId="5" fillId="0" borderId="48" xfId="16" applyBorder="1" applyAlignment="1">
      <alignment horizontal="left" wrapText="1"/>
    </xf>
    <xf numFmtId="0" fontId="5" fillId="0" borderId="7" xfId="16" applyBorder="1" applyAlignment="1">
      <alignment horizontal="left" wrapText="1"/>
    </xf>
    <xf numFmtId="0" fontId="3" fillId="0" borderId="66" xfId="16" applyFont="1" applyBorder="1" applyAlignment="1">
      <alignment horizontal="center" vertical="center" wrapText="1"/>
    </xf>
    <xf numFmtId="0" fontId="3" fillId="0" borderId="49" xfId="16" applyFont="1" applyBorder="1" applyAlignment="1">
      <alignment horizontal="center" vertical="center" wrapText="1"/>
    </xf>
    <xf numFmtId="0" fontId="5" fillId="0" borderId="5" xfId="16" applyBorder="1" applyAlignment="1">
      <alignment horizontal="center" vertical="center" wrapText="1"/>
    </xf>
    <xf numFmtId="0" fontId="4" fillId="0" borderId="2" xfId="16" applyFont="1" applyBorder="1" applyAlignment="1">
      <alignment horizontal="center" vertical="center" wrapText="1"/>
    </xf>
    <xf numFmtId="0" fontId="3" fillId="0" borderId="21" xfId="16" applyFont="1" applyBorder="1" applyAlignment="1">
      <alignment horizontal="center" vertical="center" wrapText="1"/>
    </xf>
    <xf numFmtId="0" fontId="3" fillId="0" borderId="48" xfId="16" applyFont="1" applyBorder="1" applyAlignment="1">
      <alignment horizontal="center" vertical="center" wrapText="1"/>
    </xf>
    <xf numFmtId="0" fontId="3" fillId="0" borderId="7" xfId="16" applyFont="1" applyBorder="1" applyAlignment="1">
      <alignment horizontal="center" vertical="center" wrapText="1"/>
    </xf>
    <xf numFmtId="0" fontId="3" fillId="0" borderId="5" xfId="16" applyFont="1" applyBorder="1" applyAlignment="1">
      <alignment horizontal="center" vertical="center" wrapText="1"/>
    </xf>
    <xf numFmtId="0" fontId="5" fillId="0" borderId="49" xfId="16" applyBorder="1" applyAlignment="1">
      <alignment horizontal="center" vertical="center"/>
    </xf>
    <xf numFmtId="0" fontId="17" fillId="0" borderId="9" xfId="16" applyFont="1" applyBorder="1" applyAlignment="1">
      <alignment horizontal="left" vertical="center" wrapText="1"/>
    </xf>
    <xf numFmtId="0" fontId="17" fillId="0" borderId="58" xfId="16" applyFont="1" applyBorder="1" applyAlignment="1">
      <alignment horizontal="left" vertical="center" wrapText="1"/>
    </xf>
    <xf numFmtId="0" fontId="17" fillId="0" borderId="10" xfId="16" applyFont="1" applyBorder="1" applyAlignment="1">
      <alignment horizontal="left" vertical="center" wrapText="1"/>
    </xf>
    <xf numFmtId="0" fontId="5" fillId="0" borderId="2" xfId="16" applyBorder="1" applyAlignment="1">
      <alignment horizontal="center"/>
    </xf>
    <xf numFmtId="0" fontId="5" fillId="0" borderId="21" xfId="16" applyBorder="1" applyAlignment="1">
      <alignment horizontal="center"/>
    </xf>
    <xf numFmtId="0" fontId="5" fillId="0" borderId="48" xfId="16" applyBorder="1" applyAlignment="1">
      <alignment horizontal="center"/>
    </xf>
    <xf numFmtId="0" fontId="5" fillId="0" borderId="7" xfId="16" applyBorder="1" applyAlignment="1">
      <alignment horizontal="center"/>
    </xf>
    <xf numFmtId="0" fontId="3" fillId="0" borderId="21" xfId="16" applyFont="1" applyBorder="1" applyAlignment="1">
      <alignment horizontal="center"/>
    </xf>
    <xf numFmtId="0" fontId="3" fillId="0" borderId="7" xfId="16" applyFont="1" applyBorder="1" applyAlignment="1">
      <alignment horizontal="center"/>
    </xf>
    <xf numFmtId="0" fontId="5" fillId="0" borderId="2" xfId="16" applyBorder="1" applyAlignment="1">
      <alignment horizontal="center" vertical="center"/>
    </xf>
    <xf numFmtId="0" fontId="27" fillId="0" borderId="61" xfId="0" applyFont="1" applyBorder="1" applyAlignment="1">
      <alignment horizontal="center" vertical="center" wrapText="1"/>
    </xf>
    <xf numFmtId="0" fontId="27"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9" xfId="0" applyFont="1" applyBorder="1" applyAlignment="1">
      <alignment horizontal="center" vertical="center"/>
    </xf>
    <xf numFmtId="0" fontId="3" fillId="0" borderId="5" xfId="0" applyFont="1" applyBorder="1" applyAlignment="1">
      <alignment horizontal="center" vertical="center"/>
    </xf>
    <xf numFmtId="0" fontId="3" fillId="0" borderId="50" xfId="0" applyFont="1" applyBorder="1" applyAlignment="1">
      <alignment horizontal="center" vertical="center" wrapText="1"/>
    </xf>
    <xf numFmtId="0" fontId="3" fillId="0" borderId="20" xfId="0" applyFont="1" applyBorder="1" applyAlignment="1">
      <alignment horizontal="center" vertical="center" wrapText="1"/>
    </xf>
    <xf numFmtId="0" fontId="22" fillId="0" borderId="2" xfId="0" applyFont="1" applyBorder="1" applyAlignment="1">
      <alignment horizontal="left" vertical="center" wrapText="1"/>
    </xf>
    <xf numFmtId="0" fontId="0" fillId="0" borderId="49" xfId="0" applyBorder="1" applyAlignment="1">
      <alignment horizontal="left" vertical="center" wrapText="1"/>
    </xf>
    <xf numFmtId="0" fontId="0" fillId="0" borderId="5" xfId="0" applyBorder="1" applyAlignment="1">
      <alignment horizontal="left" vertical="center" wrapText="1"/>
    </xf>
    <xf numFmtId="0" fontId="26" fillId="0" borderId="20" xfId="16" applyFont="1" applyBorder="1" applyAlignment="1">
      <alignment horizontal="center" wrapText="1"/>
    </xf>
    <xf numFmtId="0" fontId="26" fillId="0" borderId="72" xfId="16" applyFont="1" applyBorder="1" applyAlignment="1">
      <alignment horizontal="center" wrapText="1"/>
    </xf>
    <xf numFmtId="0" fontId="26" fillId="0" borderId="3" xfId="16" applyFont="1" applyBorder="1" applyAlignment="1">
      <alignment horizontal="center" wrapText="1"/>
    </xf>
    <xf numFmtId="0" fontId="75" fillId="2" borderId="11" xfId="0" applyFont="1" applyFill="1" applyBorder="1" applyAlignment="1" applyProtection="1">
      <alignment horizontal="left" vertical="center" wrapText="1"/>
      <protection locked="0"/>
    </xf>
    <xf numFmtId="0" fontId="75" fillId="2" borderId="12"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protection locked="0"/>
    </xf>
    <xf numFmtId="0" fontId="75" fillId="2" borderId="14" xfId="0" applyFont="1" applyFill="1" applyBorder="1" applyAlignment="1" applyProtection="1">
      <alignment horizontal="left" vertical="center" wrapText="1"/>
      <protection locked="0"/>
    </xf>
    <xf numFmtId="0" fontId="75" fillId="2" borderId="0" xfId="0" applyFont="1" applyFill="1" applyAlignment="1" applyProtection="1">
      <alignment horizontal="left" vertical="center" wrapText="1"/>
      <protection locked="0"/>
    </xf>
    <xf numFmtId="0" fontId="75" fillId="2" borderId="15" xfId="0" applyFont="1" applyFill="1" applyBorder="1" applyAlignment="1" applyProtection="1">
      <alignment horizontal="left" vertical="center" wrapText="1"/>
      <protection locked="0"/>
    </xf>
    <xf numFmtId="0" fontId="75" fillId="2" borderId="16" xfId="0" applyFont="1" applyFill="1" applyBorder="1" applyAlignment="1" applyProtection="1">
      <alignment horizontal="left" vertical="center" wrapText="1"/>
      <protection locked="0"/>
    </xf>
    <xf numFmtId="0" fontId="75" fillId="2" borderId="4" xfId="0" applyFont="1" applyFill="1" applyBorder="1" applyAlignment="1" applyProtection="1">
      <alignment horizontal="left" vertical="center" wrapText="1"/>
      <protection locked="0"/>
    </xf>
    <xf numFmtId="0" fontId="75" fillId="2" borderId="17" xfId="0" applyFont="1" applyFill="1" applyBorder="1" applyAlignment="1" applyProtection="1">
      <alignment horizontal="left" vertical="center" wrapText="1"/>
      <protection locked="0"/>
    </xf>
    <xf numFmtId="9" fontId="5" fillId="0" borderId="18" xfId="16" applyNumberFormat="1" applyBorder="1" applyAlignment="1">
      <alignment horizontal="center" vertical="center"/>
    </xf>
    <xf numFmtId="0" fontId="5" fillId="0" borderId="19" xfId="16" applyBorder="1" applyAlignment="1">
      <alignment horizontal="center" vertical="center"/>
    </xf>
    <xf numFmtId="0" fontId="5" fillId="0" borderId="67" xfId="16" applyBorder="1" applyAlignment="1">
      <alignment horizontal="center" vertical="center"/>
    </xf>
    <xf numFmtId="0" fontId="3" fillId="2" borderId="11" xfId="16" applyFont="1" applyFill="1" applyBorder="1" applyAlignment="1" applyProtection="1">
      <alignment horizontal="center"/>
      <protection locked="0"/>
    </xf>
    <xf numFmtId="0" fontId="3" fillId="2" borderId="55" xfId="16" applyFont="1" applyFill="1" applyBorder="1" applyAlignment="1" applyProtection="1">
      <alignment horizontal="center"/>
      <protection locked="0"/>
    </xf>
    <xf numFmtId="2" fontId="23" fillId="0" borderId="2" xfId="34" applyNumberFormat="1" applyBorder="1" applyAlignment="1">
      <alignment horizontal="center"/>
    </xf>
    <xf numFmtId="0" fontId="4" fillId="0" borderId="9" xfId="16" applyFont="1" applyBorder="1" applyAlignment="1">
      <alignment horizontal="center"/>
    </xf>
    <xf numFmtId="0" fontId="4" fillId="0" borderId="58" xfId="16" applyFont="1" applyBorder="1" applyAlignment="1">
      <alignment horizontal="center"/>
    </xf>
    <xf numFmtId="0" fontId="4" fillId="0" borderId="10" xfId="16" applyFont="1" applyBorder="1" applyAlignment="1">
      <alignment horizontal="center"/>
    </xf>
    <xf numFmtId="44" fontId="26" fillId="0" borderId="11" xfId="27" applyFont="1" applyBorder="1" applyAlignment="1">
      <alignment horizontal="center" vertical="center"/>
    </xf>
    <xf numFmtId="44" fontId="26" fillId="0" borderId="12" xfId="27" applyFont="1" applyBorder="1" applyAlignment="1">
      <alignment horizontal="center" vertical="center"/>
    </xf>
    <xf numFmtId="44" fontId="26" fillId="0" borderId="13" xfId="27" applyFont="1" applyBorder="1" applyAlignment="1">
      <alignment horizontal="center" vertical="center"/>
    </xf>
    <xf numFmtId="176" fontId="3" fillId="2" borderId="2" xfId="5" applyNumberFormat="1" applyFont="1" applyFill="1" applyBorder="1" applyAlignment="1" applyProtection="1">
      <alignment horizontal="center"/>
      <protection locked="0"/>
    </xf>
    <xf numFmtId="0" fontId="4" fillId="2" borderId="2" xfId="16" applyFont="1" applyFill="1" applyBorder="1" applyAlignment="1" applyProtection="1">
      <alignment horizontal="left" vertical="top"/>
      <protection locked="0"/>
    </xf>
    <xf numFmtId="182" fontId="39" fillId="0" borderId="2" xfId="27" applyNumberFormat="1" applyFont="1" applyBorder="1" applyAlignment="1">
      <alignment horizontal="center"/>
    </xf>
    <xf numFmtId="44" fontId="39" fillId="0" borderId="69" xfId="27" applyFont="1" applyBorder="1" applyAlignment="1">
      <alignment horizontal="center"/>
    </xf>
    <xf numFmtId="164" fontId="3" fillId="2" borderId="2" xfId="5" applyFont="1" applyFill="1" applyBorder="1" applyAlignment="1" applyProtection="1">
      <alignment horizontal="center"/>
      <protection locked="0"/>
    </xf>
    <xf numFmtId="0" fontId="23" fillId="0" borderId="9" xfId="34" applyBorder="1" applyAlignment="1">
      <alignment horizontal="center"/>
    </xf>
    <xf numFmtId="0" fontId="23" fillId="0" borderId="58" xfId="34" applyBorder="1" applyAlignment="1">
      <alignment horizontal="center"/>
    </xf>
    <xf numFmtId="44" fontId="26" fillId="0" borderId="2" xfId="27" applyFont="1" applyBorder="1" applyAlignment="1">
      <alignment horizontal="center"/>
    </xf>
    <xf numFmtId="175" fontId="39" fillId="0" borderId="21" xfId="16" applyNumberFormat="1" applyFont="1" applyBorder="1" applyAlignment="1">
      <alignment horizontal="center" vertical="center"/>
    </xf>
    <xf numFmtId="175" fontId="39" fillId="0" borderId="50" xfId="16" applyNumberFormat="1" applyFont="1" applyBorder="1" applyAlignment="1">
      <alignment horizontal="center" vertical="center"/>
    </xf>
    <xf numFmtId="44" fontId="39" fillId="0" borderId="70" xfId="27" applyFont="1" applyBorder="1" applyAlignment="1">
      <alignment horizontal="center" vertical="center"/>
    </xf>
    <xf numFmtId="44" fontId="39" fillId="0" borderId="71" xfId="27" applyFont="1" applyBorder="1" applyAlignment="1">
      <alignment horizontal="center" vertical="center"/>
    </xf>
    <xf numFmtId="44" fontId="26" fillId="0" borderId="49" xfId="27" applyFont="1" applyBorder="1" applyAlignment="1">
      <alignment horizontal="center"/>
    </xf>
    <xf numFmtId="0" fontId="5" fillId="2" borderId="10" xfId="16" applyFill="1" applyBorder="1" applyAlignment="1" applyProtection="1">
      <alignment horizontal="center"/>
      <protection locked="0"/>
    </xf>
    <xf numFmtId="174" fontId="5" fillId="2" borderId="5" xfId="16" applyNumberFormat="1" applyFill="1" applyBorder="1" applyAlignment="1" applyProtection="1">
      <alignment horizontal="center"/>
      <protection locked="0"/>
    </xf>
    <xf numFmtId="0" fontId="4" fillId="0" borderId="21" xfId="16" applyFont="1" applyBorder="1" applyAlignment="1">
      <alignment horizontal="center" vertical="center"/>
    </xf>
    <xf numFmtId="0" fontId="4" fillId="0" borderId="48" xfId="16" applyFont="1" applyBorder="1" applyAlignment="1">
      <alignment horizontal="center" vertical="center"/>
    </xf>
    <xf numFmtId="0" fontId="4" fillId="0" borderId="7" xfId="16" applyFont="1" applyBorder="1" applyAlignment="1">
      <alignment horizontal="center" vertical="center"/>
    </xf>
    <xf numFmtId="176" fontId="3" fillId="0" borderId="2" xfId="5" applyNumberFormat="1" applyFont="1" applyBorder="1" applyAlignment="1">
      <alignment horizontal="center"/>
    </xf>
    <xf numFmtId="164" fontId="4" fillId="0" borderId="2" xfId="5" applyFont="1" applyBorder="1" applyAlignment="1">
      <alignment horizontal="center"/>
    </xf>
    <xf numFmtId="174" fontId="5" fillId="2" borderId="2" xfId="16" applyNumberFormat="1" applyFill="1" applyBorder="1" applyAlignment="1" applyProtection="1">
      <alignment horizontal="center"/>
      <protection locked="0"/>
    </xf>
    <xf numFmtId="0" fontId="5" fillId="2" borderId="21" xfId="16" applyFill="1" applyBorder="1" applyAlignment="1" applyProtection="1">
      <alignment horizontal="center"/>
      <protection locked="0"/>
    </xf>
    <xf numFmtId="0" fontId="5" fillId="2" borderId="7" xfId="16" applyFill="1" applyBorder="1" applyAlignment="1" applyProtection="1">
      <alignment horizontal="center"/>
      <protection locked="0"/>
    </xf>
    <xf numFmtId="176" fontId="3" fillId="0" borderId="2" xfId="5" applyNumberFormat="1" applyFont="1" applyBorder="1" applyAlignment="1"/>
    <xf numFmtId="0" fontId="5" fillId="0" borderId="48" xfId="16" applyBorder="1" applyAlignment="1">
      <alignment horizontal="center" vertical="center"/>
    </xf>
    <xf numFmtId="0" fontId="5" fillId="0" borderId="7" xfId="16" applyBorder="1" applyAlignment="1">
      <alignment horizontal="center" vertical="center"/>
    </xf>
    <xf numFmtId="0" fontId="3" fillId="2" borderId="2" xfId="0" applyFont="1" applyFill="1" applyBorder="1" applyAlignment="1" applyProtection="1">
      <alignment horizontal="center"/>
      <protection locked="0"/>
    </xf>
    <xf numFmtId="0" fontId="4" fillId="2" borderId="2" xfId="0" applyFont="1" applyFill="1" applyBorder="1" applyAlignment="1" applyProtection="1">
      <alignment horizontal="center" vertical="center"/>
      <protection locked="0"/>
    </xf>
    <xf numFmtId="0" fontId="11" fillId="3" borderId="46"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3" fillId="0" borderId="88"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4" fillId="0" borderId="21" xfId="0" applyFont="1" applyBorder="1" applyAlignment="1">
      <alignment horizontal="center" vertical="center"/>
    </xf>
    <xf numFmtId="0" fontId="4" fillId="0" borderId="48" xfId="0" applyFont="1" applyBorder="1" applyAlignment="1">
      <alignment horizontal="center" vertical="center"/>
    </xf>
    <xf numFmtId="0" fontId="4" fillId="0" borderId="79" xfId="0" applyFont="1" applyBorder="1" applyAlignment="1">
      <alignment horizontal="center" vertical="center"/>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59" fillId="0" borderId="11" xfId="0" applyFont="1" applyBorder="1" applyAlignment="1">
      <alignment horizontal="center"/>
    </xf>
    <xf numFmtId="0" fontId="59" fillId="0" borderId="12" xfId="0" applyFont="1" applyBorder="1" applyAlignment="1">
      <alignment horizontal="center"/>
    </xf>
    <xf numFmtId="0" fontId="14" fillId="3" borderId="66" xfId="0" applyFont="1" applyFill="1" applyBorder="1" applyAlignment="1" applyProtection="1">
      <alignment horizontal="left" vertical="top"/>
      <protection locked="0"/>
    </xf>
    <xf numFmtId="0" fontId="14" fillId="3" borderId="2" xfId="0" applyFont="1" applyFill="1" applyBorder="1" applyAlignment="1" applyProtection="1">
      <alignment horizontal="left" vertical="top"/>
      <protection locked="0"/>
    </xf>
    <xf numFmtId="0" fontId="0" fillId="0" borderId="74" xfId="0" applyBorder="1" applyAlignment="1">
      <alignment horizontal="center"/>
    </xf>
    <xf numFmtId="0" fontId="0" fillId="0" borderId="7" xfId="0" applyBorder="1" applyAlignment="1">
      <alignment horizontal="center"/>
    </xf>
    <xf numFmtId="0" fontId="0" fillId="0" borderId="85" xfId="0" applyBorder="1" applyAlignment="1">
      <alignment horizontal="center"/>
    </xf>
    <xf numFmtId="0" fontId="0" fillId="0" borderId="95" xfId="0" applyBorder="1" applyAlignment="1">
      <alignment horizontal="center"/>
    </xf>
    <xf numFmtId="0" fontId="4" fillId="0" borderId="0" xfId="0" applyFont="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7" fillId="0" borderId="46" xfId="0" applyFont="1" applyBorder="1" applyAlignment="1">
      <alignment horizontal="center" vertical="center" wrapText="1"/>
    </xf>
    <xf numFmtId="0" fontId="27" fillId="0" borderId="16" xfId="0" applyFont="1" applyBorder="1" applyAlignment="1">
      <alignment horizontal="center" vertical="center" wrapText="1"/>
    </xf>
    <xf numFmtId="0" fontId="4" fillId="2" borderId="41" xfId="0" applyFont="1" applyFill="1" applyBorder="1" applyAlignment="1" applyProtection="1">
      <alignment horizontal="center" wrapText="1"/>
      <protection locked="0"/>
    </xf>
    <xf numFmtId="0" fontId="4" fillId="2" borderId="53" xfId="0" applyFont="1" applyFill="1" applyBorder="1" applyAlignment="1" applyProtection="1">
      <alignment horizontal="center" wrapText="1"/>
      <protection locked="0"/>
    </xf>
    <xf numFmtId="0" fontId="4" fillId="2" borderId="73" xfId="0" applyFont="1" applyFill="1" applyBorder="1" applyAlignment="1" applyProtection="1">
      <alignment horizontal="center" wrapText="1"/>
      <protection locked="0"/>
    </xf>
    <xf numFmtId="0" fontId="0" fillId="0" borderId="61" xfId="0" applyBorder="1" applyAlignment="1">
      <alignment horizontal="center"/>
    </xf>
    <xf numFmtId="0" fontId="0" fillId="0" borderId="3" xfId="0" applyBorder="1" applyAlignment="1">
      <alignment horizontal="center"/>
    </xf>
    <xf numFmtId="0" fontId="4" fillId="0" borderId="46" xfId="0" applyFont="1" applyBorder="1" applyAlignment="1">
      <alignment horizontal="center" vertical="center" wrapText="1"/>
    </xf>
    <xf numFmtId="0" fontId="4" fillId="0" borderId="60" xfId="0" applyFont="1" applyBorder="1" applyAlignment="1">
      <alignment horizontal="center" vertical="center" wrapText="1"/>
    </xf>
    <xf numFmtId="0" fontId="62" fillId="0" borderId="51" xfId="0" applyFont="1" applyBorder="1" applyAlignment="1">
      <alignment horizontal="center" vertical="top" wrapText="1"/>
    </xf>
    <xf numFmtId="0" fontId="62" fillId="0" borderId="47" xfId="0" applyFont="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4" fillId="3" borderId="14" xfId="0" applyFont="1" applyFill="1" applyBorder="1" applyAlignment="1" applyProtection="1">
      <alignment horizontal="left"/>
      <protection locked="0"/>
    </xf>
    <xf numFmtId="0" fontId="14" fillId="3" borderId="0" xfId="0" applyFont="1" applyFill="1" applyAlignment="1" applyProtection="1">
      <alignment horizontal="left"/>
      <protection locked="0"/>
    </xf>
    <xf numFmtId="0" fontId="20" fillId="0" borderId="12" xfId="0" applyFont="1" applyBorder="1" applyAlignment="1">
      <alignment horizontal="center" wrapText="1"/>
    </xf>
    <xf numFmtId="0" fontId="20" fillId="0" borderId="58" xfId="0" applyFont="1" applyBorder="1" applyAlignment="1">
      <alignment horizontal="center" wrapText="1"/>
    </xf>
    <xf numFmtId="0" fontId="14" fillId="2" borderId="66" xfId="0" applyFont="1" applyFill="1" applyBorder="1" applyAlignment="1" applyProtection="1">
      <alignment horizontal="left" vertical="top"/>
      <protection locked="0"/>
    </xf>
    <xf numFmtId="0" fontId="14" fillId="2" borderId="2" xfId="0" applyFont="1" applyFill="1" applyBorder="1" applyAlignment="1" applyProtection="1">
      <alignment horizontal="left" vertical="top"/>
      <protection locked="0"/>
    </xf>
    <xf numFmtId="0" fontId="14" fillId="2" borderId="76" xfId="0" applyFont="1" applyFill="1" applyBorder="1" applyAlignment="1" applyProtection="1">
      <alignment horizontal="left" vertical="top"/>
      <protection locked="0"/>
    </xf>
    <xf numFmtId="0" fontId="14" fillId="2" borderId="49" xfId="0" applyFont="1" applyFill="1" applyBorder="1" applyAlignment="1" applyProtection="1">
      <alignment horizontal="left" vertical="top"/>
      <protection locked="0"/>
    </xf>
    <xf numFmtId="0" fontId="13" fillId="2" borderId="41" xfId="0" applyFont="1" applyFill="1" applyBorder="1" applyAlignment="1" applyProtection="1">
      <alignment horizontal="left" vertical="top"/>
      <protection locked="0"/>
    </xf>
    <xf numFmtId="0" fontId="13" fillId="2" borderId="53" xfId="0" applyFont="1" applyFill="1" applyBorder="1" applyAlignment="1" applyProtection="1">
      <alignment horizontal="left" vertical="top"/>
      <protection locked="0"/>
    </xf>
    <xf numFmtId="0" fontId="3" fillId="0" borderId="62" xfId="0" applyFont="1" applyBorder="1" applyAlignment="1">
      <alignment horizontal="center" vertical="center"/>
    </xf>
    <xf numFmtId="0" fontId="0" fillId="0" borderId="69" xfId="0" applyBorder="1" applyAlignment="1">
      <alignment horizontal="center" vertical="center"/>
    </xf>
    <xf numFmtId="0" fontId="17" fillId="0" borderId="12" xfId="16" applyFont="1" applyBorder="1" applyAlignment="1">
      <alignment horizontal="left" vertical="center" wrapText="1"/>
    </xf>
    <xf numFmtId="0" fontId="17" fillId="0" borderId="13" xfId="16" applyFont="1" applyBorder="1" applyAlignment="1">
      <alignment horizontal="left" vertical="center" wrapText="1"/>
    </xf>
    <xf numFmtId="0" fontId="39" fillId="10" borderId="49" xfId="38" applyFont="1" applyBorder="1" applyAlignment="1">
      <alignment horizontal="center" vertical="center" wrapText="1"/>
    </xf>
    <xf numFmtId="0" fontId="39" fillId="10" borderId="101" xfId="38" applyFont="1" applyBorder="1" applyAlignment="1">
      <alignment horizontal="center" vertical="center" wrapText="1"/>
    </xf>
    <xf numFmtId="0" fontId="39" fillId="10" borderId="50" xfId="38" applyFont="1" applyBorder="1" applyAlignment="1">
      <alignment horizontal="center" vertical="center" wrapText="1"/>
    </xf>
    <xf numFmtId="0" fontId="39" fillId="10" borderId="20" xfId="38" applyFont="1" applyBorder="1" applyAlignment="1">
      <alignment horizontal="center" vertical="center" wrapText="1"/>
    </xf>
    <xf numFmtId="0" fontId="3" fillId="0" borderId="49" xfId="0" applyFont="1" applyBorder="1" applyAlignment="1">
      <alignment horizontal="left" vertical="center" wrapText="1"/>
    </xf>
    <xf numFmtId="0" fontId="0" fillId="3" borderId="2" xfId="0" applyFill="1" applyBorder="1" applyAlignment="1">
      <alignment horizontal="left"/>
    </xf>
    <xf numFmtId="0" fontId="3" fillId="3" borderId="2" xfId="0" applyFont="1" applyFill="1" applyBorder="1" applyAlignment="1">
      <alignment horizontal="left"/>
    </xf>
    <xf numFmtId="9" fontId="0" fillId="2" borderId="2" xfId="37" applyFont="1" applyFill="1" applyBorder="1" applyAlignment="1" applyProtection="1">
      <alignment horizontal="center" wrapText="1"/>
      <protection locked="0"/>
    </xf>
    <xf numFmtId="9" fontId="0" fillId="2" borderId="21" xfId="37" applyFont="1" applyFill="1" applyBorder="1" applyAlignment="1" applyProtection="1">
      <alignment horizontal="center" wrapText="1"/>
      <protection locked="0"/>
    </xf>
    <xf numFmtId="0" fontId="74" fillId="2" borderId="2" xfId="35" applyFont="1" applyFill="1" applyBorder="1" applyAlignment="1" applyProtection="1">
      <alignment horizontal="center" textRotation="90" wrapText="1"/>
      <protection locked="0"/>
    </xf>
    <xf numFmtId="0" fontId="74" fillId="2" borderId="49" xfId="35" applyFont="1" applyFill="1" applyBorder="1" applyAlignment="1" applyProtection="1">
      <alignment horizontal="center" textRotation="90" wrapText="1"/>
      <protection locked="0"/>
    </xf>
    <xf numFmtId="0" fontId="67" fillId="3" borderId="11" xfId="35" applyFont="1" applyFill="1" applyBorder="1" applyAlignment="1" applyProtection="1">
      <alignment horizontal="center" vertical="center" wrapText="1"/>
      <protection locked="0"/>
    </xf>
    <xf numFmtId="0" fontId="67" fillId="3" borderId="58" xfId="35" applyFont="1" applyFill="1" applyBorder="1" applyAlignment="1" applyProtection="1">
      <alignment horizontal="center" vertical="center" wrapText="1"/>
      <protection locked="0"/>
    </xf>
    <xf numFmtId="0" fontId="67" fillId="3" borderId="10" xfId="35" applyFont="1" applyFill="1" applyBorder="1" applyAlignment="1" applyProtection="1">
      <alignment horizontal="center" vertical="center" wrapText="1"/>
      <protection locked="0"/>
    </xf>
    <xf numFmtId="0" fontId="68" fillId="0" borderId="2" xfId="35" applyFont="1" applyBorder="1" applyAlignment="1">
      <alignment horizontal="center" textRotation="90"/>
    </xf>
    <xf numFmtId="0" fontId="68" fillId="0" borderId="49" xfId="35" applyFont="1" applyBorder="1" applyAlignment="1">
      <alignment horizontal="center" textRotation="90"/>
    </xf>
    <xf numFmtId="0" fontId="68" fillId="0" borderId="2" xfId="35" applyFont="1" applyBorder="1" applyAlignment="1">
      <alignment horizontal="center" textRotation="90" wrapText="1"/>
    </xf>
    <xf numFmtId="0" fontId="68" fillId="0" borderId="49" xfId="35" applyFont="1" applyBorder="1" applyAlignment="1">
      <alignment horizontal="center" textRotation="90" wrapText="1"/>
    </xf>
    <xf numFmtId="0" fontId="69" fillId="0" borderId="2" xfId="35" applyFont="1" applyBorder="1" applyAlignment="1">
      <alignment horizontal="center" textRotation="90"/>
    </xf>
    <xf numFmtId="0" fontId="69" fillId="0" borderId="49" xfId="35" applyFont="1" applyBorder="1" applyAlignment="1">
      <alignment horizontal="center" textRotation="90"/>
    </xf>
  </cellXfs>
  <cellStyles count="39">
    <cellStyle name="BLANZERO" xfId="1" xr:uid="{00000000-0005-0000-0000-000000000000}"/>
    <cellStyle name="COMMA" xfId="2" xr:uid="{00000000-0005-0000-0000-000001000000}"/>
    <cellStyle name="CURRENCY" xfId="3" xr:uid="{00000000-0005-0000-0000-000002000000}"/>
    <cellStyle name="DATE" xfId="4" xr:uid="{00000000-0005-0000-0000-000003000000}"/>
    <cellStyle name="Erotin 2" xfId="6" xr:uid="{00000000-0005-0000-0000-000004000000}"/>
    <cellStyle name="Erotin 3" xfId="7" xr:uid="{00000000-0005-0000-0000-000005000000}"/>
    <cellStyle name="Euro" xfId="8" xr:uid="{00000000-0005-0000-0000-000006000000}"/>
    <cellStyle name="Euro 2" xfId="9" xr:uid="{00000000-0005-0000-0000-000007000000}"/>
    <cellStyle name="Euro 3" xfId="10" xr:uid="{00000000-0005-0000-0000-000008000000}"/>
    <cellStyle name="Euro 4" xfId="11" xr:uid="{00000000-0005-0000-0000-000009000000}"/>
    <cellStyle name="Euro 4 2" xfId="31" xr:uid="{00000000-0005-0000-0000-00000A000000}"/>
    <cellStyle name="FIXED" xfId="12" xr:uid="{00000000-0005-0000-0000-00000B000000}"/>
    <cellStyle name="HEADING1" xfId="13" xr:uid="{00000000-0005-0000-0000-00000C000000}"/>
    <cellStyle name="HEADING2" xfId="14" xr:uid="{00000000-0005-0000-0000-00000D000000}"/>
    <cellStyle name="Hyperlinkki" xfId="34" builtinId="8"/>
    <cellStyle name="Hyperlinkki 2" xfId="15" xr:uid="{00000000-0005-0000-0000-00000F000000}"/>
    <cellStyle name="Hyperlinkki 3" xfId="36" xr:uid="{366D424C-6EC6-43B7-BC32-45440BC02D2D}"/>
    <cellStyle name="Hyvä" xfId="38" builtinId="26"/>
    <cellStyle name="Normaali" xfId="0" builtinId="0"/>
    <cellStyle name="Normaali 2" xfId="16" xr:uid="{00000000-0005-0000-0000-000011000000}"/>
    <cellStyle name="Normaali 2 2" xfId="17" xr:uid="{00000000-0005-0000-0000-000012000000}"/>
    <cellStyle name="Normaali 3" xfId="18" xr:uid="{00000000-0005-0000-0000-000013000000}"/>
    <cellStyle name="Normaali 4" xfId="35" xr:uid="{873AED22-1920-44B5-BDB7-DB41189FFC8F}"/>
    <cellStyle name="normal" xfId="19" xr:uid="{00000000-0005-0000-0000-000014000000}"/>
    <cellStyle name="PERCENT" xfId="20" xr:uid="{00000000-0005-0000-0000-000015000000}"/>
    <cellStyle name="Pilkku" xfId="5" builtinId="3"/>
    <cellStyle name="Pilkku 2" xfId="21" xr:uid="{00000000-0005-0000-0000-000017000000}"/>
    <cellStyle name="Pilkku 2 2" xfId="32" xr:uid="{00000000-0005-0000-0000-000018000000}"/>
    <cellStyle name="Prosentti 2" xfId="23" xr:uid="{00000000-0005-0000-0000-000019000000}"/>
    <cellStyle name="Prosentti 3" xfId="24" xr:uid="{00000000-0005-0000-0000-00001A000000}"/>
    <cellStyle name="Prosentti 3 2" xfId="25" xr:uid="{00000000-0005-0000-0000-00001B000000}"/>
    <cellStyle name="Prosenttia" xfId="22" builtinId="5"/>
    <cellStyle name="Prosenttia 2" xfId="37" xr:uid="{9FC00EDB-44C2-4067-A7AB-A51B24F46908}"/>
    <cellStyle name="TOTAL" xfId="26" xr:uid="{00000000-0005-0000-0000-00001D000000}"/>
    <cellStyle name="Valuutta" xfId="27" builtinId="4"/>
    <cellStyle name="Valuutta 2" xfId="28" xr:uid="{00000000-0005-0000-0000-00001F000000}"/>
    <cellStyle name="Valuutta 3" xfId="29" xr:uid="{00000000-0005-0000-0000-000020000000}"/>
    <cellStyle name="Valuutta 4" xfId="30" xr:uid="{00000000-0005-0000-0000-000021000000}"/>
    <cellStyle name="Valuutta 4 2" xfId="33" xr:uid="{00000000-0005-0000-0000-00002200000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11.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3.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2.png"/><Relationship Id="rId7"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 Id="rId9"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7</xdr:col>
      <xdr:colOff>107157</xdr:colOff>
      <xdr:row>5</xdr:row>
      <xdr:rowOff>71437</xdr:rowOff>
    </xdr:from>
    <xdr:to>
      <xdr:col>22</xdr:col>
      <xdr:colOff>540037</xdr:colOff>
      <xdr:row>41</xdr:row>
      <xdr:rowOff>104047</xdr:rowOff>
    </xdr:to>
    <xdr:pic>
      <xdr:nvPicPr>
        <xdr:cNvPr id="9" name="Kuva 8">
          <a:extLst>
            <a:ext uri="{FF2B5EF4-FFF2-40B4-BE49-F238E27FC236}">
              <a16:creationId xmlns:a16="http://schemas.microsoft.com/office/drawing/2014/main" id="{BF3652BD-AFD0-1C92-DCF3-4E93B4DA2CD1}"/>
            </a:ext>
          </a:extLst>
        </xdr:cNvPr>
        <xdr:cNvPicPr>
          <a:picLocks noChangeAspect="1"/>
        </xdr:cNvPicPr>
      </xdr:nvPicPr>
      <xdr:blipFill>
        <a:blip xmlns:r="http://schemas.openxmlformats.org/officeDocument/2006/relationships" r:embed="rId1"/>
        <a:stretch>
          <a:fillRect/>
        </a:stretch>
      </xdr:blipFill>
      <xdr:spPr>
        <a:xfrm>
          <a:off x="7203282" y="964406"/>
          <a:ext cx="9922161" cy="6033360"/>
        </a:xfrm>
        <a:prstGeom prst="rect">
          <a:avLst/>
        </a:prstGeom>
      </xdr:spPr>
    </xdr:pic>
    <xdr:clientData/>
  </xdr:twoCellAnchor>
  <xdr:twoCellAnchor editAs="oneCell">
    <xdr:from>
      <xdr:col>9</xdr:col>
      <xdr:colOff>381000</xdr:colOff>
      <xdr:row>0</xdr:row>
      <xdr:rowOff>0</xdr:rowOff>
    </xdr:from>
    <xdr:to>
      <xdr:col>14</xdr:col>
      <xdr:colOff>552268</xdr:colOff>
      <xdr:row>5</xdr:row>
      <xdr:rowOff>138520</xdr:rowOff>
    </xdr:to>
    <xdr:pic>
      <xdr:nvPicPr>
        <xdr:cNvPr id="4" name="Kuva 3">
          <a:extLst>
            <a:ext uri="{FF2B5EF4-FFF2-40B4-BE49-F238E27FC236}">
              <a16:creationId xmlns:a16="http://schemas.microsoft.com/office/drawing/2014/main" id="{755BA9CF-E788-4168-A918-4F4E658E2F3B}"/>
            </a:ext>
          </a:extLst>
        </xdr:cNvPr>
        <xdr:cNvPicPr>
          <a:picLocks noChangeAspect="1"/>
        </xdr:cNvPicPr>
      </xdr:nvPicPr>
      <xdr:blipFill rotWithShape="1">
        <a:blip xmlns:r="http://schemas.openxmlformats.org/officeDocument/2006/relationships" r:embed="rId2"/>
        <a:srcRect l="40264"/>
        <a:stretch/>
      </xdr:blipFill>
      <xdr:spPr>
        <a:xfrm>
          <a:off x="8882063" y="0"/>
          <a:ext cx="3243080" cy="1031489"/>
        </a:xfrm>
        <a:prstGeom prst="rect">
          <a:avLst/>
        </a:prstGeom>
      </xdr:spPr>
    </xdr:pic>
    <xdr:clientData/>
  </xdr:twoCellAnchor>
  <xdr:twoCellAnchor editAs="oneCell">
    <xdr:from>
      <xdr:col>7</xdr:col>
      <xdr:colOff>404814</xdr:colOff>
      <xdr:row>0</xdr:row>
      <xdr:rowOff>0</xdr:rowOff>
    </xdr:from>
    <xdr:to>
      <xdr:col>9</xdr:col>
      <xdr:colOff>404813</xdr:colOff>
      <xdr:row>5</xdr:row>
      <xdr:rowOff>53213</xdr:rowOff>
    </xdr:to>
    <xdr:pic>
      <xdr:nvPicPr>
        <xdr:cNvPr id="7" name="Kuva 6">
          <a:extLst>
            <a:ext uri="{FF2B5EF4-FFF2-40B4-BE49-F238E27FC236}">
              <a16:creationId xmlns:a16="http://schemas.microsoft.com/office/drawing/2014/main" id="{D1F825C3-DA6E-49B9-8751-CC94A5D0DC2D}"/>
            </a:ext>
          </a:extLst>
        </xdr:cNvPr>
        <xdr:cNvPicPr>
          <a:picLocks noChangeAspect="1"/>
        </xdr:cNvPicPr>
      </xdr:nvPicPr>
      <xdr:blipFill>
        <a:blip xmlns:r="http://schemas.openxmlformats.org/officeDocument/2006/relationships" r:embed="rId3"/>
        <a:stretch>
          <a:fillRect/>
        </a:stretch>
      </xdr:blipFill>
      <xdr:spPr>
        <a:xfrm>
          <a:off x="7500939" y="0"/>
          <a:ext cx="1409699" cy="929513"/>
        </a:xfrm>
        <a:prstGeom prst="rect">
          <a:avLst/>
        </a:prstGeom>
      </xdr:spPr>
    </xdr:pic>
    <xdr:clientData/>
  </xdr:twoCellAnchor>
  <xdr:twoCellAnchor editAs="oneCell">
    <xdr:from>
      <xdr:col>0</xdr:col>
      <xdr:colOff>107155</xdr:colOff>
      <xdr:row>41</xdr:row>
      <xdr:rowOff>35719</xdr:rowOff>
    </xdr:from>
    <xdr:to>
      <xdr:col>14</xdr:col>
      <xdr:colOff>591468</xdr:colOff>
      <xdr:row>55</xdr:row>
      <xdr:rowOff>142875</xdr:rowOff>
    </xdr:to>
    <xdr:pic>
      <xdr:nvPicPr>
        <xdr:cNvPr id="11" name="Kuva 10">
          <a:extLst>
            <a:ext uri="{FF2B5EF4-FFF2-40B4-BE49-F238E27FC236}">
              <a16:creationId xmlns:a16="http://schemas.microsoft.com/office/drawing/2014/main" id="{A40439AD-8733-FACB-EE3C-595F604508D8}"/>
            </a:ext>
          </a:extLst>
        </xdr:cNvPr>
        <xdr:cNvPicPr>
          <a:picLocks noChangeAspect="1"/>
        </xdr:cNvPicPr>
      </xdr:nvPicPr>
      <xdr:blipFill rotWithShape="1">
        <a:blip xmlns:r="http://schemas.openxmlformats.org/officeDocument/2006/relationships" r:embed="rId4"/>
        <a:srcRect b="1818"/>
        <a:stretch/>
      </xdr:blipFill>
      <xdr:spPr>
        <a:xfrm>
          <a:off x="107155" y="6929438"/>
          <a:ext cx="12057188" cy="6429375"/>
        </a:xfrm>
        <a:prstGeom prst="rect">
          <a:avLst/>
        </a:prstGeom>
      </xdr:spPr>
    </xdr:pic>
    <xdr:clientData/>
  </xdr:twoCellAnchor>
  <xdr:twoCellAnchor editAs="oneCell">
    <xdr:from>
      <xdr:col>0</xdr:col>
      <xdr:colOff>71438</xdr:colOff>
      <xdr:row>56</xdr:row>
      <xdr:rowOff>107157</xdr:rowOff>
    </xdr:from>
    <xdr:to>
      <xdr:col>15</xdr:col>
      <xdr:colOff>120097</xdr:colOff>
      <xdr:row>60</xdr:row>
      <xdr:rowOff>879645</xdr:rowOff>
    </xdr:to>
    <xdr:pic>
      <xdr:nvPicPr>
        <xdr:cNvPr id="12" name="Kuva 11">
          <a:extLst>
            <a:ext uri="{FF2B5EF4-FFF2-40B4-BE49-F238E27FC236}">
              <a16:creationId xmlns:a16="http://schemas.microsoft.com/office/drawing/2014/main" id="{6071DF27-A820-AEDD-2497-7A7261FA9B90}"/>
            </a:ext>
          </a:extLst>
        </xdr:cNvPr>
        <xdr:cNvPicPr>
          <a:picLocks noChangeAspect="1"/>
        </xdr:cNvPicPr>
      </xdr:nvPicPr>
      <xdr:blipFill>
        <a:blip xmlns:r="http://schemas.openxmlformats.org/officeDocument/2006/relationships" r:embed="rId5"/>
        <a:stretch>
          <a:fillRect/>
        </a:stretch>
      </xdr:blipFill>
      <xdr:spPr>
        <a:xfrm>
          <a:off x="71438" y="13489782"/>
          <a:ext cx="12228753" cy="1439238"/>
        </a:xfrm>
        <a:prstGeom prst="rect">
          <a:avLst/>
        </a:prstGeom>
      </xdr:spPr>
    </xdr:pic>
    <xdr:clientData/>
  </xdr:twoCellAnchor>
  <xdr:twoCellAnchor editAs="oneCell">
    <xdr:from>
      <xdr:col>4</xdr:col>
      <xdr:colOff>0</xdr:colOff>
      <xdr:row>0</xdr:row>
      <xdr:rowOff>0</xdr:rowOff>
    </xdr:from>
    <xdr:to>
      <xdr:col>7</xdr:col>
      <xdr:colOff>261937</xdr:colOff>
      <xdr:row>5</xdr:row>
      <xdr:rowOff>17701</xdr:rowOff>
    </xdr:to>
    <xdr:pic>
      <xdr:nvPicPr>
        <xdr:cNvPr id="13" name="Kuva 12">
          <a:extLst>
            <a:ext uri="{FF2B5EF4-FFF2-40B4-BE49-F238E27FC236}">
              <a16:creationId xmlns:a16="http://schemas.microsoft.com/office/drawing/2014/main" id="{1E4A40D2-2640-979E-A613-7917E5499BAC}"/>
            </a:ext>
          </a:extLst>
        </xdr:cNvPr>
        <xdr:cNvPicPr>
          <a:picLocks noChangeAspect="1"/>
        </xdr:cNvPicPr>
      </xdr:nvPicPr>
      <xdr:blipFill>
        <a:blip xmlns:r="http://schemas.openxmlformats.org/officeDocument/2006/relationships" r:embed="rId6"/>
        <a:stretch>
          <a:fillRect/>
        </a:stretch>
      </xdr:blipFill>
      <xdr:spPr>
        <a:xfrm>
          <a:off x="4155281" y="0"/>
          <a:ext cx="3202781" cy="910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1104900</xdr:colOff>
      <xdr:row>0</xdr:row>
      <xdr:rowOff>0</xdr:rowOff>
    </xdr:from>
    <xdr:to>
      <xdr:col>6</xdr:col>
      <xdr:colOff>296427</xdr:colOff>
      <xdr:row>5</xdr:row>
      <xdr:rowOff>38470</xdr:rowOff>
    </xdr:to>
    <xdr:pic>
      <xdr:nvPicPr>
        <xdr:cNvPr id="3" name="Kuva 2">
          <a:extLst>
            <a:ext uri="{FF2B5EF4-FFF2-40B4-BE49-F238E27FC236}">
              <a16:creationId xmlns:a16="http://schemas.microsoft.com/office/drawing/2014/main" id="{91010A0D-B0FD-F059-845D-F4D45CD0C63A}"/>
            </a:ext>
          </a:extLst>
        </xdr:cNvPr>
        <xdr:cNvPicPr>
          <a:picLocks noChangeAspect="1"/>
        </xdr:cNvPicPr>
      </xdr:nvPicPr>
      <xdr:blipFill>
        <a:blip xmlns:r="http://schemas.openxmlformats.org/officeDocument/2006/relationships" r:embed="rId1"/>
        <a:stretch>
          <a:fillRect/>
        </a:stretch>
      </xdr:blipFill>
      <xdr:spPr>
        <a:xfrm>
          <a:off x="3933825" y="0"/>
          <a:ext cx="2849127" cy="914770"/>
        </a:xfrm>
        <a:prstGeom prst="rect">
          <a:avLst/>
        </a:prstGeom>
      </xdr:spPr>
    </xdr:pic>
    <xdr:clientData/>
  </xdr:twoCellAnchor>
  <xdr:twoCellAnchor editAs="oneCell">
    <xdr:from>
      <xdr:col>0</xdr:col>
      <xdr:colOff>0</xdr:colOff>
      <xdr:row>40</xdr:row>
      <xdr:rowOff>156482</xdr:rowOff>
    </xdr:from>
    <xdr:to>
      <xdr:col>19</xdr:col>
      <xdr:colOff>190501</xdr:colOff>
      <xdr:row>46</xdr:row>
      <xdr:rowOff>2490106</xdr:rowOff>
    </xdr:to>
    <xdr:pic>
      <xdr:nvPicPr>
        <xdr:cNvPr id="5" name="Kuva 4">
          <a:extLst>
            <a:ext uri="{FF2B5EF4-FFF2-40B4-BE49-F238E27FC236}">
              <a16:creationId xmlns:a16="http://schemas.microsoft.com/office/drawing/2014/main" id="{957EFB88-C5D2-E95E-DAAC-C0A2403A6045}"/>
            </a:ext>
          </a:extLst>
        </xdr:cNvPr>
        <xdr:cNvPicPr>
          <a:picLocks noChangeAspect="1"/>
        </xdr:cNvPicPr>
      </xdr:nvPicPr>
      <xdr:blipFill rotWithShape="1">
        <a:blip xmlns:r="http://schemas.openxmlformats.org/officeDocument/2006/relationships" r:embed="rId2"/>
        <a:srcRect l="-290" t="-525" r="290" b="36623"/>
        <a:stretch/>
      </xdr:blipFill>
      <xdr:spPr>
        <a:xfrm>
          <a:off x="0" y="6755946"/>
          <a:ext cx="14995072" cy="3313339"/>
        </a:xfrm>
        <a:prstGeom prst="rect">
          <a:avLst/>
        </a:prstGeom>
      </xdr:spPr>
    </xdr:pic>
    <xdr:clientData/>
  </xdr:twoCellAnchor>
  <xdr:twoCellAnchor editAs="oneCell">
    <xdr:from>
      <xdr:col>9</xdr:col>
      <xdr:colOff>469105</xdr:colOff>
      <xdr:row>0</xdr:row>
      <xdr:rowOff>0</xdr:rowOff>
    </xdr:from>
    <xdr:to>
      <xdr:col>18</xdr:col>
      <xdr:colOff>242705</xdr:colOff>
      <xdr:row>5</xdr:row>
      <xdr:rowOff>138520</xdr:rowOff>
    </xdr:to>
    <xdr:pic>
      <xdr:nvPicPr>
        <xdr:cNvPr id="6" name="Kuva 5">
          <a:extLst>
            <a:ext uri="{FF2B5EF4-FFF2-40B4-BE49-F238E27FC236}">
              <a16:creationId xmlns:a16="http://schemas.microsoft.com/office/drawing/2014/main" id="{0F045C6D-2798-DC45-07B9-76BD41A8F9A5}"/>
            </a:ext>
          </a:extLst>
        </xdr:cNvPr>
        <xdr:cNvPicPr>
          <a:picLocks noChangeAspect="1"/>
        </xdr:cNvPicPr>
      </xdr:nvPicPr>
      <xdr:blipFill>
        <a:blip xmlns:r="http://schemas.openxmlformats.org/officeDocument/2006/relationships" r:embed="rId3"/>
        <a:stretch>
          <a:fillRect/>
        </a:stretch>
      </xdr:blipFill>
      <xdr:spPr>
        <a:xfrm>
          <a:off x="8970168" y="0"/>
          <a:ext cx="5429068" cy="1031489"/>
        </a:xfrm>
        <a:prstGeom prst="rect">
          <a:avLst/>
        </a:prstGeom>
      </xdr:spPr>
    </xdr:pic>
    <xdr:clientData/>
  </xdr:twoCellAnchor>
  <xdr:twoCellAnchor editAs="oneCell">
    <xdr:from>
      <xdr:col>0</xdr:col>
      <xdr:colOff>13607</xdr:colOff>
      <xdr:row>52</xdr:row>
      <xdr:rowOff>108857</xdr:rowOff>
    </xdr:from>
    <xdr:to>
      <xdr:col>16</xdr:col>
      <xdr:colOff>692104</xdr:colOff>
      <xdr:row>60</xdr:row>
      <xdr:rowOff>2252929</xdr:rowOff>
    </xdr:to>
    <xdr:pic>
      <xdr:nvPicPr>
        <xdr:cNvPr id="7" name="Kuva 6">
          <a:extLst>
            <a:ext uri="{FF2B5EF4-FFF2-40B4-BE49-F238E27FC236}">
              <a16:creationId xmlns:a16="http://schemas.microsoft.com/office/drawing/2014/main" id="{71C0D839-0F55-1A89-319B-F1A3CA180083}"/>
            </a:ext>
          </a:extLst>
        </xdr:cNvPr>
        <xdr:cNvPicPr>
          <a:picLocks noChangeAspect="1"/>
        </xdr:cNvPicPr>
      </xdr:nvPicPr>
      <xdr:blipFill>
        <a:blip xmlns:r="http://schemas.openxmlformats.org/officeDocument/2006/relationships" r:embed="rId4"/>
        <a:stretch>
          <a:fillRect/>
        </a:stretch>
      </xdr:blipFill>
      <xdr:spPr>
        <a:xfrm>
          <a:off x="13607" y="12654643"/>
          <a:ext cx="13496426" cy="3450357"/>
        </a:xfrm>
        <a:prstGeom prst="rect">
          <a:avLst/>
        </a:prstGeom>
      </xdr:spPr>
    </xdr:pic>
    <xdr:clientData/>
  </xdr:twoCellAnchor>
  <xdr:twoCellAnchor editAs="oneCell">
    <xdr:from>
      <xdr:col>0</xdr:col>
      <xdr:colOff>40820</xdr:colOff>
      <xdr:row>46</xdr:row>
      <xdr:rowOff>2530929</xdr:rowOff>
    </xdr:from>
    <xdr:to>
      <xdr:col>7</xdr:col>
      <xdr:colOff>312964</xdr:colOff>
      <xdr:row>52</xdr:row>
      <xdr:rowOff>44449</xdr:rowOff>
    </xdr:to>
    <xdr:pic>
      <xdr:nvPicPr>
        <xdr:cNvPr id="8" name="Kuva 7">
          <a:extLst>
            <a:ext uri="{FF2B5EF4-FFF2-40B4-BE49-F238E27FC236}">
              <a16:creationId xmlns:a16="http://schemas.microsoft.com/office/drawing/2014/main" id="{BFC61ED4-C1A6-7A7B-1D0A-B02337CB457F}"/>
            </a:ext>
          </a:extLst>
        </xdr:cNvPr>
        <xdr:cNvPicPr>
          <a:picLocks noChangeAspect="1"/>
        </xdr:cNvPicPr>
      </xdr:nvPicPr>
      <xdr:blipFill>
        <a:blip xmlns:r="http://schemas.openxmlformats.org/officeDocument/2006/relationships" r:embed="rId5"/>
        <a:stretch>
          <a:fillRect/>
        </a:stretch>
      </xdr:blipFill>
      <xdr:spPr>
        <a:xfrm>
          <a:off x="40820" y="10110108"/>
          <a:ext cx="7361465" cy="2480127"/>
        </a:xfrm>
        <a:prstGeom prst="rect">
          <a:avLst/>
        </a:prstGeom>
      </xdr:spPr>
    </xdr:pic>
    <xdr:clientData/>
  </xdr:twoCellAnchor>
  <xdr:twoCellAnchor editAs="oneCell">
    <xdr:from>
      <xdr:col>7</xdr:col>
      <xdr:colOff>404814</xdr:colOff>
      <xdr:row>0</xdr:row>
      <xdr:rowOff>0</xdr:rowOff>
    </xdr:from>
    <xdr:to>
      <xdr:col>9</xdr:col>
      <xdr:colOff>404813</xdr:colOff>
      <xdr:row>5</xdr:row>
      <xdr:rowOff>53213</xdr:rowOff>
    </xdr:to>
    <xdr:pic>
      <xdr:nvPicPr>
        <xdr:cNvPr id="4" name="Kuva 3">
          <a:extLst>
            <a:ext uri="{FF2B5EF4-FFF2-40B4-BE49-F238E27FC236}">
              <a16:creationId xmlns:a16="http://schemas.microsoft.com/office/drawing/2014/main" id="{6A72FD9C-1ECE-5AAA-2371-AF669CB98800}"/>
            </a:ext>
          </a:extLst>
        </xdr:cNvPr>
        <xdr:cNvPicPr>
          <a:picLocks noChangeAspect="1"/>
        </xdr:cNvPicPr>
      </xdr:nvPicPr>
      <xdr:blipFill>
        <a:blip xmlns:r="http://schemas.openxmlformats.org/officeDocument/2006/relationships" r:embed="rId6"/>
        <a:stretch>
          <a:fillRect/>
        </a:stretch>
      </xdr:blipFill>
      <xdr:spPr>
        <a:xfrm>
          <a:off x="7500939" y="0"/>
          <a:ext cx="1404937" cy="946182"/>
        </a:xfrm>
        <a:prstGeom prst="rect">
          <a:avLst/>
        </a:prstGeom>
      </xdr:spPr>
    </xdr:pic>
    <xdr:clientData/>
  </xdr:twoCellAnchor>
  <xdr:twoCellAnchor editAs="oneCell">
    <xdr:from>
      <xdr:col>6</xdr:col>
      <xdr:colOff>166688</xdr:colOff>
      <xdr:row>5</xdr:row>
      <xdr:rowOff>130968</xdr:rowOff>
    </xdr:from>
    <xdr:to>
      <xdr:col>21</xdr:col>
      <xdr:colOff>246906</xdr:colOff>
      <xdr:row>41</xdr:row>
      <xdr:rowOff>1545</xdr:rowOff>
    </xdr:to>
    <xdr:pic>
      <xdr:nvPicPr>
        <xdr:cNvPr id="9" name="Kuva 8">
          <a:extLst>
            <a:ext uri="{FF2B5EF4-FFF2-40B4-BE49-F238E27FC236}">
              <a16:creationId xmlns:a16="http://schemas.microsoft.com/office/drawing/2014/main" id="{FB115037-8968-2955-1BD8-0637DE047EAA}"/>
            </a:ext>
          </a:extLst>
        </xdr:cNvPr>
        <xdr:cNvPicPr>
          <a:picLocks noChangeAspect="1"/>
        </xdr:cNvPicPr>
      </xdr:nvPicPr>
      <xdr:blipFill>
        <a:blip xmlns:r="http://schemas.openxmlformats.org/officeDocument/2006/relationships" r:embed="rId7"/>
        <a:stretch>
          <a:fillRect/>
        </a:stretch>
      </xdr:blipFill>
      <xdr:spPr>
        <a:xfrm>
          <a:off x="6655594" y="1023937"/>
          <a:ext cx="9569500" cy="5871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259557</xdr:colOff>
      <xdr:row>0</xdr:row>
      <xdr:rowOff>0</xdr:rowOff>
    </xdr:from>
    <xdr:to>
      <xdr:col>7</xdr:col>
      <xdr:colOff>165458</xdr:colOff>
      <xdr:row>0</xdr:row>
      <xdr:rowOff>931439</xdr:rowOff>
    </xdr:to>
    <xdr:pic>
      <xdr:nvPicPr>
        <xdr:cNvPr id="2" name="Kuva 1">
          <a:extLst>
            <a:ext uri="{FF2B5EF4-FFF2-40B4-BE49-F238E27FC236}">
              <a16:creationId xmlns:a16="http://schemas.microsoft.com/office/drawing/2014/main" id="{D352E694-401B-4E4C-AA80-441D577E8751}"/>
            </a:ext>
          </a:extLst>
        </xdr:cNvPr>
        <xdr:cNvPicPr>
          <a:picLocks noChangeAspect="1"/>
        </xdr:cNvPicPr>
      </xdr:nvPicPr>
      <xdr:blipFill>
        <a:blip xmlns:r="http://schemas.openxmlformats.org/officeDocument/2006/relationships" r:embed="rId1"/>
        <a:stretch>
          <a:fillRect/>
        </a:stretch>
      </xdr:blipFill>
      <xdr:spPr>
        <a:xfrm>
          <a:off x="4414838" y="0"/>
          <a:ext cx="2846745" cy="931439"/>
        </a:xfrm>
        <a:prstGeom prst="rect">
          <a:avLst/>
        </a:prstGeom>
      </xdr:spPr>
    </xdr:pic>
    <xdr:clientData/>
  </xdr:twoCellAnchor>
  <xdr:twoCellAnchor editAs="oneCell">
    <xdr:from>
      <xdr:col>0</xdr:col>
      <xdr:colOff>261938</xdr:colOff>
      <xdr:row>59</xdr:row>
      <xdr:rowOff>144577</xdr:rowOff>
    </xdr:from>
    <xdr:to>
      <xdr:col>19</xdr:col>
      <xdr:colOff>452439</xdr:colOff>
      <xdr:row>60</xdr:row>
      <xdr:rowOff>2416970</xdr:rowOff>
    </xdr:to>
    <xdr:pic>
      <xdr:nvPicPr>
        <xdr:cNvPr id="3" name="Kuva 2">
          <a:extLst>
            <a:ext uri="{FF2B5EF4-FFF2-40B4-BE49-F238E27FC236}">
              <a16:creationId xmlns:a16="http://schemas.microsoft.com/office/drawing/2014/main" id="{A47A0540-8AD7-46F2-904A-C9F0C58D7AC9}"/>
            </a:ext>
          </a:extLst>
        </xdr:cNvPr>
        <xdr:cNvPicPr>
          <a:picLocks noChangeAspect="1"/>
        </xdr:cNvPicPr>
      </xdr:nvPicPr>
      <xdr:blipFill rotWithShape="1">
        <a:blip xmlns:r="http://schemas.openxmlformats.org/officeDocument/2006/relationships" r:embed="rId2"/>
        <a:srcRect l="-290" t="-525" r="290" b="53772"/>
        <a:stretch/>
      </xdr:blipFill>
      <xdr:spPr>
        <a:xfrm>
          <a:off x="261938" y="14027265"/>
          <a:ext cx="14954251" cy="2439080"/>
        </a:xfrm>
        <a:prstGeom prst="rect">
          <a:avLst/>
        </a:prstGeom>
      </xdr:spPr>
    </xdr:pic>
    <xdr:clientData/>
  </xdr:twoCellAnchor>
  <xdr:twoCellAnchor editAs="oneCell">
    <xdr:from>
      <xdr:col>27</xdr:col>
      <xdr:colOff>582939</xdr:colOff>
      <xdr:row>27</xdr:row>
      <xdr:rowOff>59530</xdr:rowOff>
    </xdr:from>
    <xdr:to>
      <xdr:col>33</xdr:col>
      <xdr:colOff>445431</xdr:colOff>
      <xdr:row>46</xdr:row>
      <xdr:rowOff>2938016</xdr:rowOff>
    </xdr:to>
    <xdr:pic>
      <xdr:nvPicPr>
        <xdr:cNvPr id="9" name="Kuva 8">
          <a:extLst>
            <a:ext uri="{FF2B5EF4-FFF2-40B4-BE49-F238E27FC236}">
              <a16:creationId xmlns:a16="http://schemas.microsoft.com/office/drawing/2014/main" id="{17BF0860-6B7E-4C3D-AA4C-00B68F0DA960}"/>
            </a:ext>
          </a:extLst>
        </xdr:cNvPr>
        <xdr:cNvPicPr>
          <a:picLocks noChangeAspect="1"/>
        </xdr:cNvPicPr>
      </xdr:nvPicPr>
      <xdr:blipFill>
        <a:blip xmlns:r="http://schemas.openxmlformats.org/officeDocument/2006/relationships" r:embed="rId3"/>
        <a:stretch>
          <a:fillRect/>
        </a:stretch>
      </xdr:blipFill>
      <xdr:spPr>
        <a:xfrm>
          <a:off x="20204439" y="4738686"/>
          <a:ext cx="3505805" cy="6140799"/>
        </a:xfrm>
        <a:prstGeom prst="rect">
          <a:avLst/>
        </a:prstGeom>
      </xdr:spPr>
    </xdr:pic>
    <xdr:clientData/>
  </xdr:twoCellAnchor>
  <xdr:twoCellAnchor editAs="oneCell">
    <xdr:from>
      <xdr:col>27</xdr:col>
      <xdr:colOff>547687</xdr:colOff>
      <xdr:row>12</xdr:row>
      <xdr:rowOff>127464</xdr:rowOff>
    </xdr:from>
    <xdr:to>
      <xdr:col>34</xdr:col>
      <xdr:colOff>331595</xdr:colOff>
      <xdr:row>26</xdr:row>
      <xdr:rowOff>96950</xdr:rowOff>
    </xdr:to>
    <xdr:pic>
      <xdr:nvPicPr>
        <xdr:cNvPr id="10" name="Kuva 9">
          <a:extLst>
            <a:ext uri="{FF2B5EF4-FFF2-40B4-BE49-F238E27FC236}">
              <a16:creationId xmlns:a16="http://schemas.microsoft.com/office/drawing/2014/main" id="{FC290E94-9AD6-4350-9CE9-453FF5F38B35}"/>
            </a:ext>
          </a:extLst>
        </xdr:cNvPr>
        <xdr:cNvPicPr>
          <a:picLocks noChangeAspect="1"/>
        </xdr:cNvPicPr>
      </xdr:nvPicPr>
      <xdr:blipFill>
        <a:blip xmlns:r="http://schemas.openxmlformats.org/officeDocument/2006/relationships" r:embed="rId4"/>
        <a:stretch>
          <a:fillRect/>
        </a:stretch>
      </xdr:blipFill>
      <xdr:spPr>
        <a:xfrm>
          <a:off x="20169187" y="2306308"/>
          <a:ext cx="4034439" cy="2303111"/>
        </a:xfrm>
        <a:prstGeom prst="rect">
          <a:avLst/>
        </a:prstGeom>
      </xdr:spPr>
    </xdr:pic>
    <xdr:clientData/>
  </xdr:twoCellAnchor>
  <xdr:twoCellAnchor editAs="oneCell">
    <xdr:from>
      <xdr:col>7</xdr:col>
      <xdr:colOff>392907</xdr:colOff>
      <xdr:row>6</xdr:row>
      <xdr:rowOff>23814</xdr:rowOff>
    </xdr:from>
    <xdr:to>
      <xdr:col>25</xdr:col>
      <xdr:colOff>338522</xdr:colOff>
      <xdr:row>42</xdr:row>
      <xdr:rowOff>218457</xdr:rowOff>
    </xdr:to>
    <xdr:pic>
      <xdr:nvPicPr>
        <xdr:cNvPr id="11" name="Kuva 10">
          <a:extLst>
            <a:ext uri="{FF2B5EF4-FFF2-40B4-BE49-F238E27FC236}">
              <a16:creationId xmlns:a16="http://schemas.microsoft.com/office/drawing/2014/main" id="{0BEB59A5-6EEF-09A0-0FCB-65DB5E96AC2D}"/>
            </a:ext>
          </a:extLst>
        </xdr:cNvPr>
        <xdr:cNvPicPr>
          <a:picLocks noChangeAspect="1"/>
        </xdr:cNvPicPr>
      </xdr:nvPicPr>
      <xdr:blipFill>
        <a:blip xmlns:r="http://schemas.openxmlformats.org/officeDocument/2006/relationships" r:embed="rId5"/>
        <a:stretch>
          <a:fillRect/>
        </a:stretch>
      </xdr:blipFill>
      <xdr:spPr>
        <a:xfrm>
          <a:off x="7489032" y="1083470"/>
          <a:ext cx="11256553" cy="6195393"/>
        </a:xfrm>
        <a:prstGeom prst="rect">
          <a:avLst/>
        </a:prstGeom>
      </xdr:spPr>
    </xdr:pic>
    <xdr:clientData/>
  </xdr:twoCellAnchor>
  <xdr:twoCellAnchor editAs="oneCell">
    <xdr:from>
      <xdr:col>0</xdr:col>
      <xdr:colOff>23812</xdr:colOff>
      <xdr:row>44</xdr:row>
      <xdr:rowOff>23813</xdr:rowOff>
    </xdr:from>
    <xdr:to>
      <xdr:col>19</xdr:col>
      <xdr:colOff>386353</xdr:colOff>
      <xdr:row>54</xdr:row>
      <xdr:rowOff>20450</xdr:rowOff>
    </xdr:to>
    <xdr:pic>
      <xdr:nvPicPr>
        <xdr:cNvPr id="13" name="Kuva 12">
          <a:extLst>
            <a:ext uri="{FF2B5EF4-FFF2-40B4-BE49-F238E27FC236}">
              <a16:creationId xmlns:a16="http://schemas.microsoft.com/office/drawing/2014/main" id="{85A9EC7D-C77D-0A97-2483-26709E53C500}"/>
            </a:ext>
          </a:extLst>
        </xdr:cNvPr>
        <xdr:cNvPicPr>
          <a:picLocks noChangeAspect="1"/>
        </xdr:cNvPicPr>
      </xdr:nvPicPr>
      <xdr:blipFill>
        <a:blip xmlns:r="http://schemas.openxmlformats.org/officeDocument/2006/relationships" r:embed="rId6"/>
        <a:stretch>
          <a:fillRect/>
        </a:stretch>
      </xdr:blipFill>
      <xdr:spPr>
        <a:xfrm>
          <a:off x="23812" y="7417594"/>
          <a:ext cx="15126291" cy="5652105"/>
        </a:xfrm>
        <a:prstGeom prst="rect">
          <a:avLst/>
        </a:prstGeom>
      </xdr:spPr>
    </xdr:pic>
    <xdr:clientData/>
  </xdr:twoCellAnchor>
  <xdr:twoCellAnchor editAs="oneCell">
    <xdr:from>
      <xdr:col>16</xdr:col>
      <xdr:colOff>23810</xdr:colOff>
      <xdr:row>0</xdr:row>
      <xdr:rowOff>80961</xdr:rowOff>
    </xdr:from>
    <xdr:to>
      <xdr:col>20</xdr:col>
      <xdr:colOff>571499</xdr:colOff>
      <xdr:row>1</xdr:row>
      <xdr:rowOff>136137</xdr:rowOff>
    </xdr:to>
    <xdr:pic>
      <xdr:nvPicPr>
        <xdr:cNvPr id="5" name="Kuva 4">
          <a:extLst>
            <a:ext uri="{FF2B5EF4-FFF2-40B4-BE49-F238E27FC236}">
              <a16:creationId xmlns:a16="http://schemas.microsoft.com/office/drawing/2014/main" id="{B115BEC7-3E93-49FF-86B4-ACA899ADA7C9}"/>
            </a:ext>
          </a:extLst>
        </xdr:cNvPr>
        <xdr:cNvPicPr>
          <a:picLocks noChangeAspect="1"/>
        </xdr:cNvPicPr>
      </xdr:nvPicPr>
      <xdr:blipFill rotWithShape="1">
        <a:blip xmlns:r="http://schemas.openxmlformats.org/officeDocument/2006/relationships" r:embed="rId7"/>
        <a:srcRect l="41405" r="918"/>
        <a:stretch/>
      </xdr:blipFill>
      <xdr:spPr>
        <a:xfrm>
          <a:off x="12811123" y="80961"/>
          <a:ext cx="3131345" cy="1031489"/>
        </a:xfrm>
        <a:prstGeom prst="rect">
          <a:avLst/>
        </a:prstGeom>
      </xdr:spPr>
    </xdr:pic>
    <xdr:clientData/>
  </xdr:twoCellAnchor>
  <xdr:twoCellAnchor editAs="oneCell">
    <xdr:from>
      <xdr:col>7</xdr:col>
      <xdr:colOff>464343</xdr:colOff>
      <xdr:row>0</xdr:row>
      <xdr:rowOff>54769</xdr:rowOff>
    </xdr:from>
    <xdr:to>
      <xdr:col>9</xdr:col>
      <xdr:colOff>119062</xdr:colOff>
      <xdr:row>1</xdr:row>
      <xdr:rowOff>109945</xdr:rowOff>
    </xdr:to>
    <xdr:pic>
      <xdr:nvPicPr>
        <xdr:cNvPr id="6" name="Kuva 5">
          <a:extLst>
            <a:ext uri="{FF2B5EF4-FFF2-40B4-BE49-F238E27FC236}">
              <a16:creationId xmlns:a16="http://schemas.microsoft.com/office/drawing/2014/main" id="{46C2B7BD-9590-472C-984B-7A53CBF2D0D9}"/>
            </a:ext>
          </a:extLst>
        </xdr:cNvPr>
        <xdr:cNvPicPr>
          <a:picLocks noChangeAspect="1"/>
        </xdr:cNvPicPr>
      </xdr:nvPicPr>
      <xdr:blipFill rotWithShape="1">
        <a:blip xmlns:r="http://schemas.openxmlformats.org/officeDocument/2006/relationships" r:embed="rId7"/>
        <a:srcRect r="80482"/>
        <a:stretch/>
      </xdr:blipFill>
      <xdr:spPr>
        <a:xfrm>
          <a:off x="7560468" y="54769"/>
          <a:ext cx="1059657" cy="1031489"/>
        </a:xfrm>
        <a:prstGeom prst="rect">
          <a:avLst/>
        </a:prstGeom>
      </xdr:spPr>
    </xdr:pic>
    <xdr:clientData/>
  </xdr:twoCellAnchor>
  <xdr:twoCellAnchor editAs="oneCell">
    <xdr:from>
      <xdr:col>9</xdr:col>
      <xdr:colOff>120348</xdr:colOff>
      <xdr:row>0</xdr:row>
      <xdr:rowOff>0</xdr:rowOff>
    </xdr:from>
    <xdr:to>
      <xdr:col>11</xdr:col>
      <xdr:colOff>610794</xdr:colOff>
      <xdr:row>1</xdr:row>
      <xdr:rowOff>43681</xdr:rowOff>
    </xdr:to>
    <xdr:pic>
      <xdr:nvPicPr>
        <xdr:cNvPr id="4" name="Kuva 3">
          <a:extLst>
            <a:ext uri="{FF2B5EF4-FFF2-40B4-BE49-F238E27FC236}">
              <a16:creationId xmlns:a16="http://schemas.microsoft.com/office/drawing/2014/main" id="{A0DA2D1C-DAE1-2643-8525-1D7D215F6F61}"/>
            </a:ext>
          </a:extLst>
        </xdr:cNvPr>
        <xdr:cNvPicPr>
          <a:picLocks noChangeAspect="1"/>
        </xdr:cNvPicPr>
      </xdr:nvPicPr>
      <xdr:blipFill>
        <a:blip xmlns:r="http://schemas.openxmlformats.org/officeDocument/2006/relationships" r:embed="rId8"/>
        <a:stretch>
          <a:fillRect/>
        </a:stretch>
      </xdr:blipFill>
      <xdr:spPr>
        <a:xfrm>
          <a:off x="8639931" y="0"/>
          <a:ext cx="1718113" cy="1027931"/>
        </a:xfrm>
        <a:prstGeom prst="rect">
          <a:avLst/>
        </a:prstGeom>
      </xdr:spPr>
    </xdr:pic>
    <xdr:clientData/>
  </xdr:twoCellAnchor>
  <xdr:twoCellAnchor editAs="oneCell">
    <xdr:from>
      <xdr:col>12</xdr:col>
      <xdr:colOff>38423</xdr:colOff>
      <xdr:row>0</xdr:row>
      <xdr:rowOff>10584</xdr:rowOff>
    </xdr:from>
    <xdr:to>
      <xdr:col>15</xdr:col>
      <xdr:colOff>523489</xdr:colOff>
      <xdr:row>2</xdr:row>
      <xdr:rowOff>19029</xdr:rowOff>
    </xdr:to>
    <xdr:pic>
      <xdr:nvPicPr>
        <xdr:cNvPr id="7" name="Kuva 6">
          <a:extLst>
            <a:ext uri="{FF2B5EF4-FFF2-40B4-BE49-F238E27FC236}">
              <a16:creationId xmlns:a16="http://schemas.microsoft.com/office/drawing/2014/main" id="{8D2FA067-5783-256B-1EFA-89E11C07788E}"/>
            </a:ext>
          </a:extLst>
        </xdr:cNvPr>
        <xdr:cNvPicPr>
          <a:picLocks noChangeAspect="1"/>
        </xdr:cNvPicPr>
      </xdr:nvPicPr>
      <xdr:blipFill>
        <a:blip xmlns:r="http://schemas.openxmlformats.org/officeDocument/2006/relationships" r:embed="rId9"/>
        <a:stretch>
          <a:fillRect/>
        </a:stretch>
      </xdr:blipFill>
      <xdr:spPr>
        <a:xfrm>
          <a:off x="10399506" y="10584"/>
          <a:ext cx="2347733" cy="12784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lmastolaskuri.fi/fi/calculation-basis?country=2&amp;year=10746" TargetMode="External"/><Relationship Id="rId2" Type="http://schemas.openxmlformats.org/officeDocument/2006/relationships/hyperlink" Target="https://www.stat.fi/tup/khkinv/khkaasut_polttoaineluokitus.html" TargetMode="External"/><Relationship Id="rId1" Type="http://schemas.openxmlformats.org/officeDocument/2006/relationships/hyperlink" Target="https://www.openco2.net/fi/"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luonto.v-smol.fi/kulutusvalinnat/bensiini.html"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6.bin"/><Relationship Id="rId1" Type="http://schemas.openxmlformats.org/officeDocument/2006/relationships/hyperlink" Target="http://www.energia-akatemia.fi/attachments/article/59/Maatilakuivurit.pdf" TargetMode="External"/><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www.ilmastolaskuri.fi/fi/calculation-basis?country=2&amp;year=10746" TargetMode="External"/><Relationship Id="rId2" Type="http://schemas.openxmlformats.org/officeDocument/2006/relationships/hyperlink" Target="https://www.stat.fi/tup/khkinv/khkaasut_polttoaineluokitus.html" TargetMode="External"/><Relationship Id="rId1" Type="http://schemas.openxmlformats.org/officeDocument/2006/relationships/hyperlink" Target="https://www.openco2.net/fi/"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luonto.v-smol.fi/kulutusvalinnat/bensiini.html"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hyperlink" Target="http://www.ilmastolaskuri.fi/fi/calculation-basis?country=2&amp;year=10746" TargetMode="External"/><Relationship Id="rId7" Type="http://schemas.openxmlformats.org/officeDocument/2006/relationships/drawing" Target="../drawings/drawing3.xml"/><Relationship Id="rId2" Type="http://schemas.openxmlformats.org/officeDocument/2006/relationships/hyperlink" Target="https://www.stat.fi/tup/khkinv/khkaasut_polttoaineluokitus.html" TargetMode="External"/><Relationship Id="rId1" Type="http://schemas.openxmlformats.org/officeDocument/2006/relationships/hyperlink" Target="https://www.openco2.net/fi/" TargetMode="External"/><Relationship Id="rId6" Type="http://schemas.openxmlformats.org/officeDocument/2006/relationships/printerSettings" Target="../printerSettings/printerSettings3.bin"/><Relationship Id="rId5" Type="http://schemas.openxmlformats.org/officeDocument/2006/relationships/hyperlink" Target="https://www.kihnio.fi/agenda/829" TargetMode="External"/><Relationship Id="rId4" Type="http://schemas.openxmlformats.org/officeDocument/2006/relationships/hyperlink" Target="http://luonto.v-smol.fi/kulutusvalinnat/bensiini.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A5EAF-0335-43BE-9B7B-7D0944DF689C}">
  <dimension ref="A1:G75"/>
  <sheetViews>
    <sheetView showGridLines="0" zoomScale="80" zoomScaleNormal="80" workbookViewId="0">
      <selection activeCell="A22" sqref="A22"/>
    </sheetView>
  </sheetViews>
  <sheetFormatPr defaultRowHeight="12.75" x14ac:dyDescent="0.2"/>
  <cols>
    <col min="1" max="1" width="14.5703125" customWidth="1"/>
    <col min="2" max="2" width="9.28515625" customWidth="1"/>
    <col min="3" max="3" width="18.5703125" customWidth="1"/>
    <col min="4" max="5" width="19.85546875" customWidth="1"/>
    <col min="6" max="6" width="15.140625" customWidth="1"/>
    <col min="8" max="8" width="12" customWidth="1"/>
    <col min="13" max="13" width="9.5703125" bestFit="1" customWidth="1"/>
    <col min="17" max="17" width="11.42578125" customWidth="1"/>
  </cols>
  <sheetData>
    <row r="1" spans="1:4" ht="18" x14ac:dyDescent="0.25">
      <c r="A1" s="381" t="s">
        <v>0</v>
      </c>
    </row>
    <row r="2" spans="1:4" x14ac:dyDescent="0.2">
      <c r="A2" s="154" t="s">
        <v>1</v>
      </c>
      <c r="B2" s="639" t="s">
        <v>2</v>
      </c>
      <c r="C2" s="157" t="str">
        <f>Ohjeet!C2</f>
        <v>2024.12</v>
      </c>
      <c r="D2" t="s">
        <v>3</v>
      </c>
    </row>
    <row r="4" spans="1:4" x14ac:dyDescent="0.2">
      <c r="A4" s="2" t="s">
        <v>4</v>
      </c>
    </row>
    <row r="6" spans="1:4" x14ac:dyDescent="0.2">
      <c r="A6" s="154" t="s">
        <v>5</v>
      </c>
    </row>
    <row r="7" spans="1:4" x14ac:dyDescent="0.2">
      <c r="A7" t="s">
        <v>6</v>
      </c>
    </row>
    <row r="8" spans="1:4" x14ac:dyDescent="0.2">
      <c r="A8" t="s">
        <v>7</v>
      </c>
    </row>
    <row r="9" spans="1:4" x14ac:dyDescent="0.2">
      <c r="A9" s="154" t="s">
        <v>8</v>
      </c>
    </row>
    <row r="10" spans="1:4" x14ac:dyDescent="0.2">
      <c r="A10" s="154"/>
    </row>
    <row r="11" spans="1:4" x14ac:dyDescent="0.2">
      <c r="A11" s="154"/>
    </row>
    <row r="12" spans="1:4" x14ac:dyDescent="0.2">
      <c r="A12" s="154"/>
    </row>
    <row r="13" spans="1:4" x14ac:dyDescent="0.2">
      <c r="A13" s="2" t="s">
        <v>11</v>
      </c>
    </row>
    <row r="15" spans="1:4" x14ac:dyDescent="0.2">
      <c r="A15" s="154" t="s">
        <v>12</v>
      </c>
    </row>
    <row r="16" spans="1:4" x14ac:dyDescent="0.2">
      <c r="A16" s="154" t="s">
        <v>13</v>
      </c>
    </row>
    <row r="17" spans="1:1" x14ac:dyDescent="0.2">
      <c r="A17" t="s">
        <v>14</v>
      </c>
    </row>
    <row r="18" spans="1:1" x14ac:dyDescent="0.2">
      <c r="A18" s="154" t="s">
        <v>15</v>
      </c>
    </row>
    <row r="19" spans="1:1" x14ac:dyDescent="0.2">
      <c r="A19" t="s">
        <v>16</v>
      </c>
    </row>
    <row r="21" spans="1:1" x14ac:dyDescent="0.2">
      <c r="A21" s="2" t="s">
        <v>17</v>
      </c>
    </row>
    <row r="22" spans="1:1" x14ac:dyDescent="0.2">
      <c r="A22" s="150" t="s">
        <v>546</v>
      </c>
    </row>
    <row r="23" spans="1:1" x14ac:dyDescent="0.2">
      <c r="A23" s="150" t="s">
        <v>547</v>
      </c>
    </row>
    <row r="24" spans="1:1" x14ac:dyDescent="0.2">
      <c r="A24" s="150" t="s">
        <v>548</v>
      </c>
    </row>
    <row r="25" spans="1:1" x14ac:dyDescent="0.2">
      <c r="A25" s="150" t="s">
        <v>549</v>
      </c>
    </row>
    <row r="26" spans="1:1" x14ac:dyDescent="0.2">
      <c r="A26" s="150" t="s">
        <v>550</v>
      </c>
    </row>
    <row r="27" spans="1:1" x14ac:dyDescent="0.2">
      <c r="A27" s="150" t="s">
        <v>551</v>
      </c>
    </row>
    <row r="28" spans="1:1" x14ac:dyDescent="0.2">
      <c r="A28" s="150"/>
    </row>
    <row r="29" spans="1:1" x14ac:dyDescent="0.2">
      <c r="A29" s="150"/>
    </row>
    <row r="30" spans="1:1" x14ac:dyDescent="0.2">
      <c r="A30" s="150"/>
    </row>
    <row r="31" spans="1:1" x14ac:dyDescent="0.2">
      <c r="A31" s="150"/>
    </row>
    <row r="32" spans="1:1" x14ac:dyDescent="0.2">
      <c r="A32" s="154"/>
    </row>
    <row r="33" spans="1:1" x14ac:dyDescent="0.2">
      <c r="A33" s="2" t="s">
        <v>26</v>
      </c>
    </row>
    <row r="34" spans="1:1" x14ac:dyDescent="0.2">
      <c r="A34" s="154" t="s">
        <v>27</v>
      </c>
    </row>
    <row r="35" spans="1:1" x14ac:dyDescent="0.2">
      <c r="A35" s="154" t="s">
        <v>28</v>
      </c>
    </row>
    <row r="36" spans="1:1" x14ac:dyDescent="0.2">
      <c r="A36" s="154"/>
    </row>
    <row r="37" spans="1:1" x14ac:dyDescent="0.2">
      <c r="A37" s="154" t="s">
        <v>29</v>
      </c>
    </row>
    <row r="38" spans="1:1" x14ac:dyDescent="0.2">
      <c r="A38" s="154"/>
    </row>
    <row r="39" spans="1:1" x14ac:dyDescent="0.2">
      <c r="A39" s="154" t="s">
        <v>30</v>
      </c>
    </row>
    <row r="40" spans="1:1" x14ac:dyDescent="0.2">
      <c r="A40" s="154" t="s">
        <v>31</v>
      </c>
    </row>
    <row r="41" spans="1:1" x14ac:dyDescent="0.2">
      <c r="A41" s="154"/>
    </row>
    <row r="43" spans="1:1" x14ac:dyDescent="0.2">
      <c r="A43" s="154" t="s">
        <v>554</v>
      </c>
    </row>
    <row r="44" spans="1:1" x14ac:dyDescent="0.2">
      <c r="A44" s="154"/>
    </row>
    <row r="45" spans="1:1" x14ac:dyDescent="0.2">
      <c r="A45" s="154"/>
    </row>
    <row r="46" spans="1:1" x14ac:dyDescent="0.2">
      <c r="A46" s="154"/>
    </row>
    <row r="47" spans="1:1" ht="327" customHeight="1" x14ac:dyDescent="0.2">
      <c r="A47" s="154"/>
    </row>
    <row r="48" spans="1:1" x14ac:dyDescent="0.2">
      <c r="A48" s="154"/>
    </row>
    <row r="49" spans="1:7" x14ac:dyDescent="0.2">
      <c r="A49" s="154"/>
    </row>
    <row r="50" spans="1:7" x14ac:dyDescent="0.2">
      <c r="A50" s="154"/>
    </row>
    <row r="51" spans="1:7" x14ac:dyDescent="0.2">
      <c r="A51" s="154"/>
    </row>
    <row r="52" spans="1:7" x14ac:dyDescent="0.2">
      <c r="A52" s="154"/>
    </row>
    <row r="53" spans="1:7" x14ac:dyDescent="0.2">
      <c r="A53" s="154"/>
    </row>
    <row r="54" spans="1:7" x14ac:dyDescent="0.2">
      <c r="A54" s="154"/>
    </row>
    <row r="55" spans="1:7" x14ac:dyDescent="0.2">
      <c r="A55" s="154"/>
    </row>
    <row r="56" spans="1:7" x14ac:dyDescent="0.2">
      <c r="A56" s="154"/>
    </row>
    <row r="57" spans="1:7" x14ac:dyDescent="0.2">
      <c r="A57" s="154"/>
    </row>
    <row r="58" spans="1:7" x14ac:dyDescent="0.2">
      <c r="A58" s="154"/>
    </row>
    <row r="61" spans="1:7" ht="223.5" customHeight="1" x14ac:dyDescent="0.2">
      <c r="A61" s="2" t="s">
        <v>32</v>
      </c>
    </row>
    <row r="62" spans="1:7" ht="24" customHeight="1" x14ac:dyDescent="0.2">
      <c r="A62" s="2" t="s">
        <v>33</v>
      </c>
      <c r="B62" s="2"/>
      <c r="C62" s="2" t="s">
        <v>34</v>
      </c>
      <c r="D62" s="382" t="s">
        <v>35</v>
      </c>
      <c r="E62" s="382"/>
      <c r="F62" s="2" t="s">
        <v>36</v>
      </c>
      <c r="G62" s="122" t="s">
        <v>34</v>
      </c>
    </row>
    <row r="63" spans="1:7" ht="15" x14ac:dyDescent="0.2">
      <c r="A63" s="155" t="s">
        <v>37</v>
      </c>
      <c r="B63" s="149">
        <v>1</v>
      </c>
      <c r="C63" s="156" t="s">
        <v>38</v>
      </c>
      <c r="D63" s="149">
        <v>2660</v>
      </c>
      <c r="E63" s="157" t="s">
        <v>39</v>
      </c>
      <c r="F63" s="383">
        <f>(B63*D63)/1000</f>
        <v>2.66</v>
      </c>
      <c r="G63" s="154" t="s">
        <v>40</v>
      </c>
    </row>
    <row r="64" spans="1:7" ht="15" x14ac:dyDescent="0.2">
      <c r="A64" s="155" t="s">
        <v>41</v>
      </c>
      <c r="B64" s="149">
        <v>1</v>
      </c>
      <c r="C64" s="156" t="s">
        <v>38</v>
      </c>
      <c r="D64" s="149">
        <v>2339</v>
      </c>
      <c r="E64" s="157" t="s">
        <v>42</v>
      </c>
      <c r="F64" s="383">
        <f>B64*D64/1000</f>
        <v>2.339</v>
      </c>
      <c r="G64" s="154" t="s">
        <v>40</v>
      </c>
    </row>
    <row r="65" spans="1:7" ht="15" x14ac:dyDescent="0.2">
      <c r="A65" s="155" t="s">
        <v>43</v>
      </c>
      <c r="B65" s="149">
        <v>1</v>
      </c>
      <c r="C65" s="156" t="s">
        <v>38</v>
      </c>
      <c r="D65" s="149">
        <v>2184</v>
      </c>
      <c r="E65" s="157" t="s">
        <v>42</v>
      </c>
      <c r="F65" s="383">
        <f>B65*D65/1000</f>
        <v>2.1840000000000002</v>
      </c>
      <c r="G65" s="154" t="s">
        <v>40</v>
      </c>
    </row>
    <row r="66" spans="1:7" ht="15" x14ac:dyDescent="0.2">
      <c r="A66" s="151" t="s">
        <v>44</v>
      </c>
      <c r="B66" s="149">
        <v>1</v>
      </c>
      <c r="C66" s="156" t="s">
        <v>40</v>
      </c>
      <c r="D66" s="149">
        <v>750.6</v>
      </c>
      <c r="E66" s="157" t="s">
        <v>45</v>
      </c>
      <c r="F66" s="383">
        <f t="shared" ref="F66:F68" si="0">B66*D66/1000</f>
        <v>0.75060000000000004</v>
      </c>
      <c r="G66" s="154" t="s">
        <v>40</v>
      </c>
    </row>
    <row r="67" spans="1:7" ht="15" x14ac:dyDescent="0.2">
      <c r="A67" s="155" t="s">
        <v>46</v>
      </c>
      <c r="B67" s="149">
        <v>1</v>
      </c>
      <c r="C67" s="156" t="s">
        <v>47</v>
      </c>
      <c r="D67" s="149">
        <v>0</v>
      </c>
      <c r="E67" s="157" t="s">
        <v>45</v>
      </c>
      <c r="F67" s="383">
        <f t="shared" si="0"/>
        <v>0</v>
      </c>
      <c r="G67" s="154" t="s">
        <v>40</v>
      </c>
    </row>
    <row r="68" spans="1:7" x14ac:dyDescent="0.2">
      <c r="A68" s="155" t="s">
        <v>48</v>
      </c>
      <c r="B68" s="149">
        <v>1</v>
      </c>
      <c r="C68" s="156"/>
      <c r="D68" s="149">
        <v>0</v>
      </c>
      <c r="E68" s="149"/>
      <c r="F68" s="383">
        <f t="shared" si="0"/>
        <v>0</v>
      </c>
      <c r="G68" s="154" t="s">
        <v>40</v>
      </c>
    </row>
    <row r="69" spans="1:7" x14ac:dyDescent="0.2">
      <c r="A69" s="383"/>
      <c r="B69" s="383"/>
      <c r="C69" s="383"/>
      <c r="D69" s="383"/>
      <c r="E69" s="383"/>
      <c r="F69" s="383"/>
      <c r="G69" s="154"/>
    </row>
    <row r="71" spans="1:7" x14ac:dyDescent="0.2">
      <c r="A71" s="154" t="s">
        <v>49</v>
      </c>
    </row>
    <row r="72" spans="1:7" x14ac:dyDescent="0.2">
      <c r="B72" s="384" t="s">
        <v>50</v>
      </c>
    </row>
    <row r="73" spans="1:7" x14ac:dyDescent="0.2">
      <c r="B73" s="384" t="s">
        <v>51</v>
      </c>
    </row>
    <row r="74" spans="1:7" x14ac:dyDescent="0.2">
      <c r="B74" s="384" t="s">
        <v>52</v>
      </c>
    </row>
    <row r="75" spans="1:7" x14ac:dyDescent="0.2">
      <c r="B75" s="384" t="s">
        <v>53</v>
      </c>
    </row>
  </sheetData>
  <sheetProtection algorithmName="SHA-512" hashValue="7kpsw1QUE+tiVigpicXpd2WlIbkjH6LDcIWU4CqmBWTClZNApr9aJpljKyeKUvVRF1TmluUgmX1gvPWuzOFa4A==" saltValue="/wXOMjrRPGBOlBCo1jk5sw==" spinCount="100000" sheet="1" objects="1" scenarios="1" formatCells="0" formatColumns="0" formatRows="0"/>
  <hyperlinks>
    <hyperlink ref="B72" r:id="rId1" xr:uid="{70715BEE-1F9A-4EC4-B792-53BB05461F99}"/>
    <hyperlink ref="B73" r:id="rId2" xr:uid="{D70FD6EB-2F89-4612-B681-05D0E9591CBA}"/>
    <hyperlink ref="B74" r:id="rId3" xr:uid="{372AA0C7-8D5C-4322-8EEF-DA87E6507894}"/>
    <hyperlink ref="B75" r:id="rId4" xr:uid="{904C4CA0-417F-4D81-A1F4-974A5A9FB667}"/>
    <hyperlink ref="A22" location="'Metsäkone (moto)'!A1" display="Moton tuntihinta" xr:uid="{EE7C8301-675A-46C9-97F7-FFCAAEDA8EFB}"/>
    <hyperlink ref="A23" location="'Metsäkone (ajokone)'!A1" display="Ajokoneen 1 tuntihinta" xr:uid="{921D2BDD-2F81-4060-B522-3D0D62AF8864}"/>
    <hyperlink ref="A24" location="'Metsäkone (ajokone 2)'!A1" display="Ajokoneen 2 tuntihinta" xr:uid="{D2320073-3968-4411-8287-471096221071}"/>
    <hyperlink ref="A25" location="Kaivuri!A1" display="Kaivurin tuntihinta" xr:uid="{CC973389-928E-47D0-BFCE-11196634AAAC}"/>
    <hyperlink ref="A26" location="Auto!A1" display="Kuorma-autnn (esim. lavetti) km-hinta" xr:uid="{5DF94732-1994-49C9-B565-4D29954B26B9}"/>
    <hyperlink ref="A27" location="Mönkijä!A1" display="Mönkijä" xr:uid="{8569238B-AA99-44A6-B6C2-A82D4581605A}"/>
  </hyperlinks>
  <pageMargins left="0.7" right="0.7" top="0.75" bottom="0.75" header="0.3" footer="0.3"/>
  <pageSetup paperSize="9" orientation="portrait" horizontalDpi="300" verticalDpi="300"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8C78B-16A1-4901-ADF5-A20CE44FBB35}">
  <sheetPr>
    <pageSetUpPr fitToPage="1"/>
  </sheetPr>
  <dimension ref="A1:AG98"/>
  <sheetViews>
    <sheetView zoomScale="90" zoomScaleNormal="90" workbookViewId="0">
      <selection activeCell="G44" sqref="G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9.140625" style="4" customWidth="1"/>
    <col min="13" max="13" width="14.140625" style="4" customWidth="1"/>
    <col min="14" max="14" width="13.85546875" style="4" customWidth="1"/>
    <col min="15" max="15" width="12.42578125" style="4" customWidth="1"/>
    <col min="16" max="16" width="8.85546875" style="4" customWidth="1"/>
    <col min="17" max="17" width="13.140625" style="4" customWidth="1"/>
    <col min="18" max="18" width="15.85546875" style="4" customWidth="1"/>
    <col min="19" max="19" width="15" style="4" customWidth="1"/>
    <col min="20" max="21" width="17.140625" style="4" customWidth="1"/>
    <col min="22" max="22" width="15.7109375" style="4" customWidth="1"/>
    <col min="23" max="24" width="13.140625" style="4" customWidth="1"/>
    <col min="25" max="25" width="17.140625" style="4" customWidth="1"/>
    <col min="26" max="26" width="17.85546875" style="4" customWidth="1"/>
    <col min="27" max="27" width="13.7109375" style="4" customWidth="1"/>
    <col min="28" max="28" width="14.7109375" style="4" customWidth="1"/>
    <col min="29" max="29" width="13.140625" style="4" customWidth="1"/>
    <col min="30" max="30" width="13.85546875" style="4" customWidth="1"/>
    <col min="31" max="31" width="14.5703125" style="4" customWidth="1"/>
    <col min="32" max="32" width="13" style="4" customWidth="1"/>
    <col min="33" max="33" width="16.5703125" style="4" customWidth="1"/>
    <col min="34" max="34" width="2.85546875" style="4" customWidth="1"/>
    <col min="35" max="16384" width="9.140625" style="4"/>
  </cols>
  <sheetData>
    <row r="1" spans="1:30" ht="26.25" thickBot="1" x14ac:dyDescent="0.25">
      <c r="A1" s="6" t="s">
        <v>79</v>
      </c>
      <c r="C1" s="6"/>
      <c r="E1" s="917" t="s">
        <v>80</v>
      </c>
      <c r="F1" s="917"/>
      <c r="G1" s="917"/>
      <c r="H1" s="918" t="s">
        <v>81</v>
      </c>
      <c r="I1" s="918"/>
      <c r="J1" s="918"/>
      <c r="L1" s="918" t="s">
        <v>81</v>
      </c>
      <c r="M1" s="918"/>
      <c r="N1" s="918"/>
      <c r="P1" s="918" t="s">
        <v>81</v>
      </c>
      <c r="Q1" s="918"/>
      <c r="R1" s="918"/>
      <c r="T1" s="6" t="s">
        <v>82</v>
      </c>
      <c r="U1" s="6"/>
      <c r="V1" s="153" t="s">
        <v>33</v>
      </c>
      <c r="W1" s="152" t="s">
        <v>83</v>
      </c>
      <c r="X1" s="152"/>
      <c r="Y1" s="152" t="s">
        <v>84</v>
      </c>
      <c r="Z1" s="152" t="s">
        <v>85</v>
      </c>
      <c r="AA1" s="152" t="s">
        <v>86</v>
      </c>
      <c r="AB1" s="152" t="s">
        <v>87</v>
      </c>
      <c r="AC1" s="152" t="s">
        <v>88</v>
      </c>
      <c r="AD1" s="159"/>
    </row>
    <row r="2" spans="1:30" ht="16.5" thickBot="1" x14ac:dyDescent="0.3">
      <c r="A2" s="911" t="s">
        <v>603</v>
      </c>
      <c r="B2" s="912"/>
      <c r="C2" s="4" t="s">
        <v>90</v>
      </c>
      <c r="D2" s="70" t="s">
        <v>69</v>
      </c>
      <c r="E2" s="913" t="s">
        <v>60</v>
      </c>
      <c r="F2" s="914"/>
      <c r="G2" s="72"/>
      <c r="H2" s="402"/>
      <c r="I2" s="913" t="s">
        <v>60</v>
      </c>
      <c r="J2" s="914"/>
      <c r="K2" s="71"/>
      <c r="L2" s="402"/>
      <c r="M2" s="913" t="s">
        <v>62</v>
      </c>
      <c r="N2" s="914"/>
      <c r="O2" s="71"/>
      <c r="P2" s="402"/>
      <c r="Q2" s="913" t="s">
        <v>62</v>
      </c>
      <c r="R2" s="914"/>
      <c r="S2" s="71"/>
    </row>
    <row r="3" spans="1:30" ht="13.5" thickBot="1" x14ac:dyDescent="0.25">
      <c r="C3" s="10" t="s">
        <v>91</v>
      </c>
      <c r="E3" s="921" t="s">
        <v>595</v>
      </c>
      <c r="F3" s="922"/>
      <c r="H3" s="403"/>
      <c r="I3" s="923" t="s">
        <v>597</v>
      </c>
      <c r="J3" s="916"/>
      <c r="K3" s="73"/>
      <c r="L3" s="403"/>
      <c r="M3" s="923" t="s">
        <v>615</v>
      </c>
      <c r="N3" s="916"/>
      <c r="O3" s="73"/>
      <c r="P3" s="403"/>
      <c r="Q3" s="923" t="s">
        <v>601</v>
      </c>
      <c r="R3" s="916"/>
      <c r="S3" s="73"/>
      <c r="T3" s="6" t="str">
        <f>"Kytketty koneet: "&amp;IF(E2="k",E3&amp;" ","")&amp;IF(I2="k",I3&amp;" ","")&amp;IF(M2="k",M3&amp;" ","")&amp;(IF(Q2="k",Q3&amp;" ",""))</f>
        <v xml:space="preserve">Kytketty koneet: Valtra Tiesarja Etuaura </v>
      </c>
    </row>
    <row r="4" spans="1:30" x14ac:dyDescent="0.2">
      <c r="A4" s="4" t="s">
        <v>95</v>
      </c>
      <c r="E4" s="4" t="s">
        <v>96</v>
      </c>
      <c r="F4" s="797">
        <v>6</v>
      </c>
      <c r="H4" s="119"/>
      <c r="I4" s="4" t="s">
        <v>96</v>
      </c>
      <c r="J4" s="797">
        <v>8</v>
      </c>
      <c r="K4" s="73"/>
      <c r="L4" s="119"/>
      <c r="M4" s="4" t="s">
        <v>96</v>
      </c>
      <c r="N4" s="797">
        <v>8</v>
      </c>
      <c r="O4" s="73"/>
      <c r="P4" s="119"/>
      <c r="Q4" s="4" t="s">
        <v>96</v>
      </c>
      <c r="R4" s="797">
        <v>8</v>
      </c>
      <c r="S4" s="73"/>
      <c r="T4" s="160" t="s">
        <v>97</v>
      </c>
    </row>
    <row r="5" spans="1:30" ht="13.5" thickBot="1" x14ac:dyDescent="0.25">
      <c r="A5" s="4" t="s">
        <v>98</v>
      </c>
      <c r="E5" s="4" t="s">
        <v>99</v>
      </c>
      <c r="F5" s="640">
        <v>1600</v>
      </c>
      <c r="H5" s="119"/>
      <c r="I5" s="4" t="s">
        <v>99</v>
      </c>
      <c r="J5" s="640">
        <v>300</v>
      </c>
      <c r="K5" s="73"/>
      <c r="L5" s="119"/>
      <c r="M5" s="4" t="s">
        <v>99</v>
      </c>
      <c r="N5" s="640">
        <v>250</v>
      </c>
      <c r="O5" s="73"/>
      <c r="P5" s="119"/>
      <c r="Q5" s="4" t="s">
        <v>99</v>
      </c>
      <c r="R5" s="640">
        <v>105</v>
      </c>
      <c r="S5" s="73"/>
      <c r="T5" s="641">
        <f>IF($E$2="k",(F5),0)+IF($I$2="k",(J5),0)+IF($M$2="k",(N5),0)+IF($Q$2="k",(R5),0)</f>
        <v>1900</v>
      </c>
    </row>
    <row r="6" spans="1:30" ht="13.5" thickBot="1" x14ac:dyDescent="0.25">
      <c r="A6" s="160" t="s">
        <v>545</v>
      </c>
      <c r="E6" s="795">
        <v>0.85</v>
      </c>
      <c r="F6" s="794">
        <f>E6*F5</f>
        <v>1360</v>
      </c>
      <c r="G6" s="793"/>
      <c r="I6" s="795">
        <v>0.9</v>
      </c>
      <c r="J6" s="794">
        <f>I6*J5</f>
        <v>270</v>
      </c>
      <c r="K6" s="73"/>
      <c r="M6" s="795">
        <f>I6</f>
        <v>0.9</v>
      </c>
      <c r="N6" s="794">
        <f>M6*N5</f>
        <v>225</v>
      </c>
      <c r="O6" s="73"/>
      <c r="Q6" s="795">
        <f>M6</f>
        <v>0.9</v>
      </c>
      <c r="R6" s="794">
        <f>Q6*R5</f>
        <v>94.5</v>
      </c>
      <c r="S6" s="73"/>
      <c r="T6" s="641">
        <f>IF($E$2="k",(F6),0)+IF($I$2="k",(J6),0)+IF($M$2="k",(N6),0)+IF($Q$2="k",(R6),0)</f>
        <v>1630</v>
      </c>
    </row>
    <row r="7" spans="1:30" x14ac:dyDescent="0.2">
      <c r="A7" s="4" t="s">
        <v>100</v>
      </c>
      <c r="F7" s="77">
        <v>120000</v>
      </c>
      <c r="H7" s="119"/>
      <c r="J7" s="77">
        <v>20000</v>
      </c>
      <c r="K7" s="73"/>
      <c r="L7" s="119"/>
      <c r="N7" s="77">
        <v>25000</v>
      </c>
      <c r="O7" s="73"/>
      <c r="P7" s="119"/>
      <c r="R7" s="77">
        <v>18000</v>
      </c>
      <c r="S7" s="73"/>
    </row>
    <row r="8" spans="1:30" x14ac:dyDescent="0.2">
      <c r="A8" s="4" t="s">
        <v>101</v>
      </c>
      <c r="E8" s="596">
        <v>0.255</v>
      </c>
      <c r="F8" s="222">
        <f>F7/(100%+E8)*E8</f>
        <v>24382.470119521913</v>
      </c>
      <c r="G8" s="7"/>
      <c r="H8" s="404"/>
      <c r="I8" s="596">
        <f>E8</f>
        <v>0.255</v>
      </c>
      <c r="J8" s="222">
        <f>J7/(100%+I8)*I8</f>
        <v>4063.745019920319</v>
      </c>
      <c r="K8" s="79"/>
      <c r="L8" s="404"/>
      <c r="M8" s="596">
        <f>I8</f>
        <v>0.255</v>
      </c>
      <c r="N8" s="222">
        <f>N7/(100%+M8)*M8</f>
        <v>5079.6812749003984</v>
      </c>
      <c r="O8" s="79"/>
      <c r="P8" s="404"/>
      <c r="Q8" s="596">
        <f>M8</f>
        <v>0.255</v>
      </c>
      <c r="R8" s="222">
        <f>R7/(100%+Q8)*Q8</f>
        <v>3657.370517928287</v>
      </c>
      <c r="S8" s="79"/>
    </row>
    <row r="9" spans="1:30" x14ac:dyDescent="0.2">
      <c r="A9" s="4" t="s">
        <v>102</v>
      </c>
      <c r="F9" s="80">
        <f>F7-F8</f>
        <v>95617.52988047809</v>
      </c>
      <c r="H9" s="119"/>
      <c r="J9" s="80">
        <f>J7-J8</f>
        <v>15936.254980079681</v>
      </c>
      <c r="K9" s="73"/>
      <c r="L9" s="119"/>
      <c r="N9" s="80">
        <f>N7-N8</f>
        <v>19920.318725099602</v>
      </c>
      <c r="O9" s="73"/>
      <c r="P9" s="119"/>
      <c r="R9" s="80">
        <f>R7-R8</f>
        <v>14342.629482071712</v>
      </c>
      <c r="S9" s="73"/>
    </row>
    <row r="10" spans="1:30" x14ac:dyDescent="0.2">
      <c r="A10" s="4" t="s">
        <v>103</v>
      </c>
      <c r="E10" s="225">
        <v>0.5</v>
      </c>
      <c r="F10" s="222">
        <f>E10*F9</f>
        <v>47808.764940239045</v>
      </c>
      <c r="H10" s="119"/>
      <c r="I10" s="225">
        <v>0</v>
      </c>
      <c r="J10" s="222">
        <f>I10*J9</f>
        <v>0</v>
      </c>
      <c r="K10" s="73"/>
      <c r="L10" s="119"/>
      <c r="M10" s="225">
        <v>0</v>
      </c>
      <c r="N10" s="222">
        <f>M10*N9</f>
        <v>0</v>
      </c>
      <c r="O10" s="73"/>
      <c r="P10" s="119"/>
      <c r="Q10" s="225">
        <v>0</v>
      </c>
      <c r="R10" s="222">
        <f>Q10*R9</f>
        <v>0</v>
      </c>
      <c r="S10" s="73"/>
    </row>
    <row r="11" spans="1:30" x14ac:dyDescent="0.2">
      <c r="A11" s="4" t="s">
        <v>104</v>
      </c>
      <c r="F11" s="81">
        <f>F9-F10</f>
        <v>47808.764940239045</v>
      </c>
      <c r="H11" s="119"/>
      <c r="J11" s="81">
        <f>J9-J10</f>
        <v>15936.254980079681</v>
      </c>
      <c r="K11" s="73"/>
      <c r="L11" s="119"/>
      <c r="N11" s="81">
        <f>N9-N10</f>
        <v>19920.318725099602</v>
      </c>
      <c r="O11" s="73"/>
      <c r="P11" s="119"/>
      <c r="R11" s="81">
        <f>R9-R10</f>
        <v>14342.629482071712</v>
      </c>
      <c r="S11" s="73"/>
    </row>
    <row r="12" spans="1:30" ht="13.5" thickBot="1" x14ac:dyDescent="0.25">
      <c r="A12" s="24" t="s">
        <v>105</v>
      </c>
      <c r="F12" s="82"/>
      <c r="H12" s="119"/>
      <c r="J12" s="82"/>
      <c r="K12" s="73"/>
      <c r="L12" s="119"/>
      <c r="N12" s="82"/>
      <c r="O12" s="73"/>
      <c r="P12" s="119"/>
      <c r="R12" s="82"/>
      <c r="S12" s="73"/>
      <c r="T12" s="6" t="s">
        <v>106</v>
      </c>
    </row>
    <row r="13" spans="1:30" x14ac:dyDescent="0.2">
      <c r="A13" s="9"/>
      <c r="B13" s="25" t="s">
        <v>107</v>
      </c>
      <c r="C13" s="26"/>
      <c r="D13" s="27" t="s">
        <v>108</v>
      </c>
      <c r="E13" s="226">
        <v>0.05</v>
      </c>
      <c r="F13" s="222">
        <f>IF(E2="k",IF(D2="A",ABS(PMT(E13,F4,-F9,E10*F9,0)),SUM(F14:F15)),0)</f>
        <v>10358.565737051793</v>
      </c>
      <c r="H13" s="119"/>
      <c r="I13" s="226">
        <v>0.05</v>
      </c>
      <c r="J13" s="222">
        <f>IF(I2="k",IF($D$2="A",ABS(PMT(I13,J4,-J9,I10*J9,0)),SUM(J14:J15)),0)</f>
        <v>2390.4382470119522</v>
      </c>
      <c r="K13" s="73"/>
      <c r="L13" s="119"/>
      <c r="M13" s="226">
        <v>0.05</v>
      </c>
      <c r="N13" s="222">
        <f>IF(M2="k",IF($D$2="A",ABS(PMT(M13,N4,-N9,M10*N9,0)),SUM(N14:N15)),0)</f>
        <v>0</v>
      </c>
      <c r="O13" s="73"/>
      <c r="P13" s="119"/>
      <c r="Q13" s="226">
        <v>0.05</v>
      </c>
      <c r="R13" s="222">
        <f>IF(Q2="k",IF($D$2="A",ABS(PMT(Q13,R4,-R9,Q10*R9,0)),SUM(R14:R15)),0)</f>
        <v>0</v>
      </c>
      <c r="S13" s="73"/>
      <c r="T13" s="36">
        <f>SUM(F13,J13,N13,R13)</f>
        <v>12749.003984063746</v>
      </c>
    </row>
    <row r="14" spans="1:30" x14ac:dyDescent="0.2">
      <c r="B14" s="30" t="s">
        <v>109</v>
      </c>
      <c r="F14" s="84">
        <f>IF(E2="k",IF(D2="A",E13*F9,F9/2*E13),0)</f>
        <v>2390.4382470119522</v>
      </c>
      <c r="G14" s="10"/>
      <c r="H14" s="405"/>
      <c r="J14" s="84">
        <f>IF(I2="k",IF($D$2="A",I13*J9,J9/2*I13),0)</f>
        <v>398.40637450199205</v>
      </c>
      <c r="K14" s="85"/>
      <c r="L14" s="405"/>
      <c r="N14" s="84">
        <f>IF(M2="k",IF($D$2="A",M13*N9,N9/2*M13),0)</f>
        <v>0</v>
      </c>
      <c r="O14" s="85"/>
      <c r="P14" s="405"/>
      <c r="R14" s="84">
        <f>IF(Q2="k",IF($D$2="A",Q13*R9,R9/2*Q13),0)</f>
        <v>0</v>
      </c>
      <c r="S14" s="85"/>
      <c r="T14" s="36">
        <f t="shared" ref="T14:T38" si="0">SUM(F14,J14,N14,R14)</f>
        <v>2788.8446215139443</v>
      </c>
    </row>
    <row r="15" spans="1:30" ht="13.5" thickBot="1" x14ac:dyDescent="0.25">
      <c r="B15" s="32" t="s">
        <v>110</v>
      </c>
      <c r="C15" s="33"/>
      <c r="D15" s="33"/>
      <c r="E15" s="33"/>
      <c r="F15" s="86">
        <f>IF(E2="k",IF(D2="A",F13-F14,F11/F4),0)</f>
        <v>7968.1274900398412</v>
      </c>
      <c r="H15" s="119"/>
      <c r="J15" s="86">
        <f>IF(I2="k",IF($D$2="A",J13-J14,J11/J4),0)</f>
        <v>1992.0318725099601</v>
      </c>
      <c r="K15" s="73"/>
      <c r="L15" s="119"/>
      <c r="N15" s="86">
        <f>IF(M2="k",IF($D$2="A",N13-N14,N11/N4),0)</f>
        <v>0</v>
      </c>
      <c r="O15" s="73"/>
      <c r="P15" s="119"/>
      <c r="R15" s="86">
        <f>IF(Q2="k",IF($D$2="A",R13-R14,R11/R4),0)</f>
        <v>0</v>
      </c>
      <c r="S15" s="73"/>
      <c r="T15" s="36">
        <f t="shared" si="0"/>
        <v>9960.1593625498008</v>
      </c>
    </row>
    <row r="16" spans="1:30" ht="18" customHeight="1" x14ac:dyDescent="0.2">
      <c r="B16" s="35"/>
      <c r="F16" s="86"/>
      <c r="H16" s="119"/>
      <c r="J16" s="86"/>
      <c r="K16" s="73"/>
      <c r="L16" s="119"/>
      <c r="N16" s="86"/>
      <c r="O16" s="73"/>
      <c r="P16" s="119"/>
      <c r="R16" s="86"/>
      <c r="S16" s="73"/>
    </row>
    <row r="17" spans="1:30"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30" x14ac:dyDescent="0.2">
      <c r="B18" s="40" t="s">
        <v>112</v>
      </c>
      <c r="D18" s="44"/>
      <c r="E18" s="899"/>
      <c r="F18" s="88">
        <v>1000</v>
      </c>
      <c r="G18" s="10"/>
      <c r="H18" s="405"/>
      <c r="J18" s="77">
        <v>0</v>
      </c>
      <c r="K18" s="85"/>
      <c r="L18" s="405"/>
      <c r="N18" s="77">
        <v>0</v>
      </c>
      <c r="O18" s="85"/>
      <c r="P18" s="405"/>
      <c r="R18" s="77">
        <v>0</v>
      </c>
      <c r="S18" s="85"/>
      <c r="T18" s="8">
        <f>IF($E$2="k",F18)+IF($I$2="k",J18)+IF($M$2="k",N18)+IF($Q$2="k",R18)</f>
        <v>1000</v>
      </c>
    </row>
    <row r="19" spans="1:30" x14ac:dyDescent="0.2">
      <c r="B19" s="35" t="s">
        <v>113</v>
      </c>
      <c r="C19" s="986" t="s">
        <v>691</v>
      </c>
      <c r="D19" s="986"/>
      <c r="E19" s="986"/>
      <c r="F19" s="77"/>
      <c r="G19" s="10"/>
      <c r="H19" s="405"/>
      <c r="J19" s="77"/>
      <c r="K19" s="85"/>
      <c r="L19" s="405"/>
      <c r="N19" s="77"/>
      <c r="O19" s="85"/>
      <c r="P19" s="405"/>
      <c r="R19" s="77"/>
      <c r="S19" s="85"/>
      <c r="T19" s="8">
        <f>IF($E$2="k",F19)+IF($I$2="k",J19)+IF($M$2="k",N19)+IF($Q$2="k",R19)</f>
        <v>0</v>
      </c>
    </row>
    <row r="20" spans="1:30" x14ac:dyDescent="0.2">
      <c r="B20" s="11"/>
      <c r="C20" s="45"/>
      <c r="D20" s="10"/>
      <c r="E20" s="10"/>
      <c r="F20" s="90"/>
      <c r="G20" s="10"/>
      <c r="H20" s="405"/>
      <c r="I20" s="10"/>
      <c r="J20" s="90"/>
      <c r="K20" s="85"/>
      <c r="L20" s="405"/>
      <c r="M20" s="10"/>
      <c r="N20" s="90"/>
      <c r="O20" s="85"/>
      <c r="P20" s="405"/>
      <c r="Q20" s="10"/>
      <c r="R20" s="90"/>
      <c r="S20" s="85"/>
    </row>
    <row r="21" spans="1:30" ht="13.5" thickBot="1" x14ac:dyDescent="0.25">
      <c r="B21" s="35" t="s">
        <v>114</v>
      </c>
      <c r="C21" s="10"/>
      <c r="D21" s="10"/>
      <c r="E21" s="226">
        <v>3.0000000000000001E-3</v>
      </c>
      <c r="F21" s="290">
        <f>IF(E2="k",E21*F9,0)</f>
        <v>286.85258964143429</v>
      </c>
      <c r="G21" s="10"/>
      <c r="H21" s="405"/>
      <c r="I21" s="226">
        <v>3.0000000000000001E-3</v>
      </c>
      <c r="J21" s="290">
        <f>IF(I2="k",I21*J9,0)</f>
        <v>47.808764940239044</v>
      </c>
      <c r="K21" s="85"/>
      <c r="L21" s="405"/>
      <c r="M21" s="226">
        <v>3.0000000000000001E-3</v>
      </c>
      <c r="N21" s="290">
        <f>IF(M2="k",M21*N9,0)</f>
        <v>0</v>
      </c>
      <c r="O21" s="85"/>
      <c r="P21" s="405"/>
      <c r="Q21" s="226">
        <v>3.0000000000000001E-3</v>
      </c>
      <c r="R21" s="19">
        <f>IF(Q2="k",Q21*R9,0)</f>
        <v>0</v>
      </c>
      <c r="S21" s="85"/>
      <c r="T21" s="36">
        <f t="shared" si="0"/>
        <v>334.66135458167332</v>
      </c>
    </row>
    <row r="22" spans="1:30" ht="13.5" thickBot="1" x14ac:dyDescent="0.25">
      <c r="B22" s="50" t="s">
        <v>115</v>
      </c>
      <c r="C22" s="51"/>
      <c r="D22" s="51"/>
      <c r="E22" s="52"/>
      <c r="F22" s="91">
        <f>IF(E2="k",SUM(F14:F21),0)</f>
        <v>11885.418326693227</v>
      </c>
      <c r="G22" s="209">
        <f>IF($E$6=0%,F22/$F$5,F22/$F$6)</f>
        <v>8.7392781813920788</v>
      </c>
      <c r="H22" s="406"/>
      <c r="J22" s="91">
        <f>IF(I2="k",SUM(J14:J21),0)</f>
        <v>2438.2470119521913</v>
      </c>
      <c r="K22" s="209">
        <f>IF(I$6=0%,J22/J$5,J22/J$6)</f>
        <v>9.0305444887118203</v>
      </c>
      <c r="L22" s="406"/>
      <c r="N22" s="91">
        <f>IF(M2="k",SUM(N14:N21),0)</f>
        <v>0</v>
      </c>
      <c r="O22" s="209">
        <f>IF(M$6=0%,N22/N$5,N22/N$6)</f>
        <v>0</v>
      </c>
      <c r="P22" s="406"/>
      <c r="R22" s="93">
        <f>IF(Q2="k",SUM(R14:R21),0)</f>
        <v>0</v>
      </c>
      <c r="S22" s="209">
        <f>IF(Q$6=0%,R22/R$5,R22/R$6)</f>
        <v>0</v>
      </c>
      <c r="T22" s="94">
        <f t="shared" si="0"/>
        <v>14323.665338645418</v>
      </c>
      <c r="U22" s="425">
        <f>SUM(G22,K22,O22,S22)</f>
        <v>17.769822670103899</v>
      </c>
      <c r="W22" s="94"/>
      <c r="X22" s="94"/>
      <c r="Y22" s="94"/>
    </row>
    <row r="23" spans="1:30" x14ac:dyDescent="0.2">
      <c r="A23" s="24" t="s">
        <v>116</v>
      </c>
      <c r="B23" s="6"/>
      <c r="F23" s="96"/>
      <c r="G23" s="55"/>
      <c r="H23" s="408"/>
      <c r="J23" s="98"/>
      <c r="K23" s="97"/>
      <c r="L23" s="408"/>
      <c r="N23" s="98"/>
      <c r="O23" s="97"/>
      <c r="P23" s="408"/>
      <c r="R23" s="98"/>
      <c r="S23" s="97"/>
    </row>
    <row r="24" spans="1:30" x14ac:dyDescent="0.2">
      <c r="B24" s="11" t="s">
        <v>117</v>
      </c>
      <c r="C24" s="22"/>
      <c r="D24" s="10"/>
      <c r="F24" s="77">
        <v>2500</v>
      </c>
      <c r="G24" s="47"/>
      <c r="H24" s="409"/>
      <c r="J24" s="77">
        <v>800</v>
      </c>
      <c r="K24" s="99"/>
      <c r="L24" s="409"/>
      <c r="N24" s="77">
        <v>800</v>
      </c>
      <c r="O24" s="99"/>
      <c r="P24" s="409"/>
      <c r="R24" s="77">
        <v>800</v>
      </c>
      <c r="S24" s="99"/>
      <c r="T24" s="8">
        <f>IF($E$2="k",F24)+IF($I$2="k",J24)+IF($M$2="k",N24)+IF($Q$2="k",R24)</f>
        <v>3300</v>
      </c>
    </row>
    <row r="25" spans="1:30" ht="15.75" x14ac:dyDescent="0.2">
      <c r="B25" s="11" t="s">
        <v>118</v>
      </c>
      <c r="C25" s="196">
        <v>15</v>
      </c>
      <c r="D25" s="197">
        <v>1.5</v>
      </c>
      <c r="E25" s="289"/>
      <c r="F25" s="100">
        <f>IF(E2="k",C25*D25*F5,0)</f>
        <v>36000</v>
      </c>
      <c r="G25" s="39"/>
      <c r="H25" s="410">
        <v>4</v>
      </c>
      <c r="I25" s="102">
        <f>$D$25</f>
        <v>1.5</v>
      </c>
      <c r="J25" s="100">
        <f>IF(I2="k",H25*I25*J5,0)</f>
        <v>1800</v>
      </c>
      <c r="K25" s="101"/>
      <c r="L25" s="410">
        <f>H25</f>
        <v>4</v>
      </c>
      <c r="M25" s="102">
        <f>$D$25</f>
        <v>1.5</v>
      </c>
      <c r="N25" s="100">
        <f>IF(M2="k",L25*M25*N5,0)</f>
        <v>0</v>
      </c>
      <c r="O25" s="101"/>
      <c r="P25" s="410">
        <f>L25</f>
        <v>4</v>
      </c>
      <c r="Q25" s="102">
        <f>$D$25</f>
        <v>1.5</v>
      </c>
      <c r="R25" s="100">
        <f>IF(Q2="k",P25*Q25*R5,0)</f>
        <v>0</v>
      </c>
      <c r="S25" s="101"/>
      <c r="T25" s="36">
        <f t="shared" si="0"/>
        <v>37800</v>
      </c>
      <c r="V25" s="165" t="s">
        <v>37</v>
      </c>
      <c r="W25" s="642">
        <f>IF($E$2="k",(C25*F5),0)+IF($I$2="k",(H25*J5),0)+IF($M$2="k",(L25*N5),0)+IF($Q$2="k",(P25*R5),0)</f>
        <v>25200</v>
      </c>
      <c r="X25" s="642"/>
      <c r="Y25" s="642">
        <f>W25/159</f>
        <v>158.49056603773585</v>
      </c>
      <c r="Z25" s="161">
        <f>VLOOKUP(V25,Ohjeet!A63:F68,6,FALSE)</f>
        <v>2.66</v>
      </c>
      <c r="AA25" s="163">
        <f>W25*Z25</f>
        <v>67032</v>
      </c>
      <c r="AB25" s="164">
        <f>AA25/1000</f>
        <v>67.031999999999996</v>
      </c>
      <c r="AC25" s="162">
        <f>AA25*0.27</f>
        <v>18098.64</v>
      </c>
      <c r="AD25" s="162"/>
    </row>
    <row r="26" spans="1:30" ht="36" x14ac:dyDescent="0.2">
      <c r="B26" s="11" t="s">
        <v>119</v>
      </c>
      <c r="C26" s="394" t="s">
        <v>120</v>
      </c>
      <c r="D26" s="271" t="s">
        <v>121</v>
      </c>
      <c r="E26" s="160" t="s">
        <v>122</v>
      </c>
      <c r="F26" s="395"/>
      <c r="G26" s="39"/>
      <c r="H26" s="411"/>
      <c r="J26" s="395"/>
      <c r="K26" s="101"/>
      <c r="L26" s="411"/>
      <c r="N26" s="395"/>
      <c r="O26" s="101"/>
      <c r="P26" s="411"/>
      <c r="R26" s="395"/>
      <c r="S26" s="101"/>
      <c r="T26" s="8"/>
      <c r="V26" s="166" t="s">
        <v>123</v>
      </c>
      <c r="AA26" s="167">
        <f>AA25/T5</f>
        <v>35.28</v>
      </c>
    </row>
    <row r="27" spans="1:30"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0.28000000000000003</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1680.2800000000002</v>
      </c>
    </row>
    <row r="28" spans="1:30" x14ac:dyDescent="0.2">
      <c r="B28" s="396" t="s">
        <v>125</v>
      </c>
      <c r="C28" s="919" t="s">
        <v>126</v>
      </c>
      <c r="D28" s="920"/>
      <c r="E28" s="920"/>
      <c r="F28" s="77">
        <v>2000</v>
      </c>
      <c r="G28" s="39"/>
      <c r="H28" s="411"/>
      <c r="I28" s="412" t="str">
        <f>$B$28</f>
        <v>Muut:</v>
      </c>
      <c r="J28" s="77">
        <v>0</v>
      </c>
      <c r="K28" s="101"/>
      <c r="L28" s="411"/>
      <c r="M28" s="412" t="str">
        <f>$B$28</f>
        <v>Muut:</v>
      </c>
      <c r="N28" s="77">
        <v>0</v>
      </c>
      <c r="O28" s="101"/>
      <c r="P28" s="411"/>
      <c r="Q28" s="412" t="str">
        <f>$B$28</f>
        <v>Muut:</v>
      </c>
      <c r="R28" s="77">
        <v>0</v>
      </c>
      <c r="S28" s="101"/>
      <c r="T28" s="8">
        <f>IF($E$2="k",F28)+IF($I$2="k",J28)+IF($M$2="k",N28)+IF($Q$2="k",R28)</f>
        <v>2000</v>
      </c>
    </row>
    <row r="29" spans="1:30" ht="13.5" thickBot="1" x14ac:dyDescent="0.25">
      <c r="B29" s="396" t="s">
        <v>125</v>
      </c>
      <c r="C29" s="919"/>
      <c r="D29" s="920"/>
      <c r="E29" s="920"/>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30" ht="13.5" thickBot="1" x14ac:dyDescent="0.25">
      <c r="B30" s="60" t="s">
        <v>127</v>
      </c>
      <c r="C30" s="51"/>
      <c r="D30" s="51"/>
      <c r="E30" s="51"/>
      <c r="F30" s="55">
        <f>IF(E2="k",SUM(F24:F29),0)</f>
        <v>42180</v>
      </c>
      <c r="G30" s="209">
        <f>IF(E$6=0%,F30/F$5,F30/F$6)</f>
        <v>31.014705882352942</v>
      </c>
      <c r="H30" s="413"/>
      <c r="J30" s="55">
        <f>IF(I2="k",SUM(J24:J29),0)</f>
        <v>2600.2800000000002</v>
      </c>
      <c r="K30" s="209">
        <f>IF(I$6=0%,J30/J$5,J30/J$6)</f>
        <v>9.6306666666666683</v>
      </c>
      <c r="L30" s="413"/>
      <c r="N30" s="55">
        <f>IF(M2="k",SUM(N24:N29),0)</f>
        <v>0</v>
      </c>
      <c r="O30" s="209">
        <f>IF(M$6=0%,N30/N$5,N30/N$6)</f>
        <v>0</v>
      </c>
      <c r="P30" s="413"/>
      <c r="R30" s="55">
        <f>IF(Q2="k",SUM(R24:R29),0)</f>
        <v>0</v>
      </c>
      <c r="S30" s="209">
        <f>IF(Q$6=0%,R30/R$5,R30/R$6)</f>
        <v>0</v>
      </c>
      <c r="T30" s="94">
        <f t="shared" si="0"/>
        <v>44780.28</v>
      </c>
      <c r="U30" s="105">
        <f>SUM(G30,K30,O30,S30)</f>
        <v>40.645372549019612</v>
      </c>
    </row>
    <row r="31" spans="1:30" ht="13.5" thickBot="1" x14ac:dyDescent="0.25">
      <c r="A31" s="6" t="s">
        <v>128</v>
      </c>
      <c r="F31" s="106">
        <f>F22+F30</f>
        <v>54065.418326693223</v>
      </c>
      <c r="G31" s="12"/>
      <c r="H31" s="415"/>
      <c r="J31" s="55">
        <f>IF(I2="k",J22+J30,0)</f>
        <v>5038.527011952192</v>
      </c>
      <c r="K31" s="107"/>
      <c r="L31" s="415"/>
      <c r="N31" s="55">
        <f>IF(M2="k",N22+N30,0)</f>
        <v>0</v>
      </c>
      <c r="O31" s="107"/>
      <c r="P31" s="415"/>
      <c r="R31" s="55">
        <f>IF(Q2="k",R22+R30,0)</f>
        <v>0</v>
      </c>
      <c r="S31" s="107"/>
      <c r="T31" s="94">
        <f t="shared" si="0"/>
        <v>59103.945338645412</v>
      </c>
    </row>
    <row r="32" spans="1:30" ht="13.5" thickBot="1" x14ac:dyDescent="0.25">
      <c r="F32" s="7"/>
      <c r="H32" s="119"/>
      <c r="J32" s="7"/>
      <c r="K32" s="73"/>
      <c r="L32" s="119"/>
      <c r="N32" s="7"/>
      <c r="O32" s="73"/>
      <c r="P32" s="119"/>
      <c r="R32" s="7"/>
      <c r="S32" s="73"/>
    </row>
    <row r="33" spans="1:33" ht="13.5" thickBot="1" x14ac:dyDescent="0.25">
      <c r="A33" s="6" t="s">
        <v>129</v>
      </c>
      <c r="F33" s="235">
        <f>IF(E2="k",IF(E6=0%,F31/F5,F31/F6),0)</f>
        <v>39.753984063745015</v>
      </c>
      <c r="G33" s="12"/>
      <c r="H33" s="415"/>
      <c r="J33" s="235">
        <f>IF(I2="k",IF(I6=0%,J31/J5,J31/J6),0)</f>
        <v>18.661211155378489</v>
      </c>
      <c r="K33" s="107"/>
      <c r="L33" s="415"/>
      <c r="N33" s="235">
        <f>IF(M2="k",IF(M6=0%,N31/N5,N31/N6),0)</f>
        <v>0</v>
      </c>
      <c r="O33" s="107"/>
      <c r="P33" s="415"/>
      <c r="R33" s="235">
        <f>IF(Q2="k",IF(Q6=0%,R31/R5,R31/R6),0)</f>
        <v>0</v>
      </c>
      <c r="S33" s="107"/>
      <c r="T33" s="417">
        <f t="shared" si="0"/>
        <v>58.415195219123504</v>
      </c>
    </row>
    <row r="34" spans="1:33" ht="13.5" thickBot="1" x14ac:dyDescent="0.25">
      <c r="B34" s="6" t="s">
        <v>130</v>
      </c>
      <c r="E34" s="203">
        <v>0.2</v>
      </c>
      <c r="F34" s="234">
        <f>IF(E2="k",((100%/(100%-E34))*F33)-F33,0)</f>
        <v>9.9384960159362521</v>
      </c>
      <c r="G34" s="10"/>
      <c r="H34" s="405"/>
      <c r="I34" s="295">
        <f>E34</f>
        <v>0.2</v>
      </c>
      <c r="J34" s="234">
        <f>IF(I2="k",((100%/(100%-I34))*J33)-J33,0)</f>
        <v>4.6653027888446204</v>
      </c>
      <c r="K34" s="85"/>
      <c r="L34" s="405"/>
      <c r="M34" s="295">
        <f>I34</f>
        <v>0.2</v>
      </c>
      <c r="N34" s="234">
        <f>IF(M2="k",((100%/(100%-M34))*N33)-N33,0)</f>
        <v>0</v>
      </c>
      <c r="O34" s="85"/>
      <c r="P34" s="405"/>
      <c r="Q34" s="295">
        <f>M34</f>
        <v>0.2</v>
      </c>
      <c r="R34" s="234">
        <f>IF(Q2="k",((100%/(100%-Q34))*R33)-R33,0)</f>
        <v>0</v>
      </c>
      <c r="S34" s="85"/>
      <c r="T34" s="36">
        <f t="shared" si="0"/>
        <v>14.603798804780872</v>
      </c>
      <c r="U34" s="105">
        <f>SUM(F34,J34,N34,R34)</f>
        <v>14.603798804780872</v>
      </c>
    </row>
    <row r="35" spans="1:33" ht="13.5" thickBot="1" x14ac:dyDescent="0.25">
      <c r="B35" s="4" t="s">
        <v>131</v>
      </c>
      <c r="C35" s="160" t="s">
        <v>132</v>
      </c>
      <c r="F35" s="292">
        <v>25</v>
      </c>
      <c r="G35" s="10"/>
      <c r="H35" s="405"/>
      <c r="I35" s="109" t="s">
        <v>133</v>
      </c>
      <c r="J35" s="609">
        <v>0</v>
      </c>
      <c r="K35" s="85"/>
      <c r="L35" s="405"/>
      <c r="M35" s="109" t="str">
        <f>I35</f>
        <v>Traktorissa</v>
      </c>
      <c r="N35" s="292">
        <v>0</v>
      </c>
      <c r="O35" s="85"/>
      <c r="P35" s="405"/>
      <c r="Q35" s="109" t="str">
        <f>I35</f>
        <v>Traktorissa</v>
      </c>
      <c r="R35" s="292">
        <v>0</v>
      </c>
      <c r="S35" s="85"/>
      <c r="T35" s="8">
        <f>IF($E$2="k",F35)+IF($I$2="k",J35)+IF($M$2="k",N35)+IF($Q$2="k",R35)</f>
        <v>25</v>
      </c>
      <c r="U35" s="105">
        <f>SUM(T35)</f>
        <v>25</v>
      </c>
    </row>
    <row r="36" spans="1:33" ht="18" x14ac:dyDescent="0.25">
      <c r="B36" s="116" t="s">
        <v>134</v>
      </c>
      <c r="C36" s="115"/>
      <c r="D36" s="115"/>
      <c r="E36" s="115"/>
      <c r="F36" s="293">
        <f>IF(E2="K",SUM(F33:F35),0)</f>
        <v>74.692480079681275</v>
      </c>
      <c r="G36" s="10"/>
      <c r="H36" s="405"/>
      <c r="J36" s="117">
        <f>IF(I2="K",SUM(J33:J35),0)</f>
        <v>23.326513944223109</v>
      </c>
      <c r="K36" s="85"/>
      <c r="L36" s="405"/>
      <c r="N36" s="293">
        <f>IF(M2="K",SUM(N33:N35),0)</f>
        <v>0</v>
      </c>
      <c r="O36" s="85"/>
      <c r="P36" s="405"/>
      <c r="R36" s="293">
        <f>IF(Q2="K",SUM(R33:R35),0)</f>
        <v>0</v>
      </c>
      <c r="S36" s="10"/>
      <c r="T36" s="855">
        <f>SUM(F36,J36,N36,R36)</f>
        <v>98.018994023904384</v>
      </c>
    </row>
    <row r="37" spans="1:33" ht="13.5" thickBot="1" x14ac:dyDescent="0.25">
      <c r="B37" s="119" t="s">
        <v>135</v>
      </c>
      <c r="E37" s="592">
        <v>0.255</v>
      </c>
      <c r="F37" s="291">
        <f>E37*F36</f>
        <v>19.046582420318725</v>
      </c>
      <c r="G37" s="401"/>
      <c r="H37" s="405"/>
      <c r="I37" s="593">
        <f>$E$37</f>
        <v>0.255</v>
      </c>
      <c r="J37" s="611">
        <f>I37*J36</f>
        <v>5.9482610557768929</v>
      </c>
      <c r="K37" s="85"/>
      <c r="L37" s="405"/>
      <c r="M37" s="593">
        <f>$E$37</f>
        <v>0.255</v>
      </c>
      <c r="N37" s="291">
        <f>M37*N36</f>
        <v>0</v>
      </c>
      <c r="O37" s="85"/>
      <c r="P37" s="405"/>
      <c r="Q37" s="593">
        <f>$E$37</f>
        <v>0.255</v>
      </c>
      <c r="R37" s="291">
        <f>Q37*R36</f>
        <v>0</v>
      </c>
      <c r="S37" s="85"/>
      <c r="T37" s="120">
        <f>SUM(F37,J37,N37,R37)</f>
        <v>24.994843476095618</v>
      </c>
    </row>
    <row r="38" spans="1:33" ht="13.5" thickBot="1" x14ac:dyDescent="0.25">
      <c r="B38" s="121" t="s">
        <v>136</v>
      </c>
      <c r="C38" s="114"/>
      <c r="D38" s="114"/>
      <c r="E38" s="114"/>
      <c r="F38" s="110">
        <f>IF(E2="k",SUM(F36:F37),0)</f>
        <v>93.739062500000003</v>
      </c>
      <c r="G38" s="113"/>
      <c r="H38" s="416"/>
      <c r="I38" s="114"/>
      <c r="J38" s="110">
        <f>IF(I2="k",SUM(J36:J37),0)</f>
        <v>29.274775000000002</v>
      </c>
      <c r="K38" s="112"/>
      <c r="L38" s="416"/>
      <c r="M38" s="114"/>
      <c r="N38" s="110">
        <f>IF(M2="k",SUM(N36:N37),0)</f>
        <v>0</v>
      </c>
      <c r="O38" s="112"/>
      <c r="P38" s="416"/>
      <c r="Q38" s="114"/>
      <c r="R38" s="110">
        <f>IF(Q2="k",SUM(R36:R37),0)</f>
        <v>0</v>
      </c>
      <c r="S38" s="112"/>
      <c r="T38" s="417">
        <f t="shared" si="0"/>
        <v>123.01383750000001</v>
      </c>
    </row>
    <row r="39" spans="1:33" ht="13.5" thickBot="1" x14ac:dyDescent="0.25"/>
    <row r="40" spans="1:33" ht="26.25" customHeight="1" thickBot="1" x14ac:dyDescent="0.25">
      <c r="B40" s="1040" t="str">
        <f>T3</f>
        <v xml:space="preserve">Kytketty koneet: Valtra Tiesarja Etuaura </v>
      </c>
      <c r="C40" s="1041"/>
      <c r="D40" s="1041"/>
      <c r="E40" s="1042"/>
      <c r="F40" s="877">
        <v>1</v>
      </c>
      <c r="M40" s="1043">
        <v>2</v>
      </c>
      <c r="N40" s="1043"/>
      <c r="O40" s="1043"/>
      <c r="P40" s="1043"/>
      <c r="Q40" s="1043"/>
      <c r="R40" s="1044">
        <v>6</v>
      </c>
      <c r="S40" s="1045"/>
      <c r="T40" s="1046"/>
      <c r="U40" s="1047">
        <v>4</v>
      </c>
      <c r="V40" s="1048"/>
      <c r="W40" s="360">
        <v>3</v>
      </c>
      <c r="X40" s="1049">
        <v>5</v>
      </c>
      <c r="Y40" s="1049"/>
      <c r="Z40" s="1039">
        <v>7</v>
      </c>
      <c r="AA40" s="1039"/>
      <c r="AB40" s="1039"/>
      <c r="AC40" s="882">
        <v>8</v>
      </c>
      <c r="AD40" s="883"/>
      <c r="AE40" s="883"/>
      <c r="AF40" s="884"/>
      <c r="AG40" s="863">
        <v>9</v>
      </c>
    </row>
    <row r="41" spans="1:33" ht="12.75" customHeight="1" x14ac:dyDescent="0.2">
      <c r="A41" s="992" t="s">
        <v>651</v>
      </c>
      <c r="B41" s="994" t="s">
        <v>556</v>
      </c>
      <c r="C41" s="994"/>
      <c r="D41" s="987" t="s">
        <v>704</v>
      </c>
      <c r="E41" s="987"/>
      <c r="F41" s="987"/>
      <c r="G41" s="1060" t="s">
        <v>559</v>
      </c>
      <c r="H41" s="1059" t="s">
        <v>627</v>
      </c>
      <c r="I41" s="1012" t="s">
        <v>596</v>
      </c>
      <c r="J41" s="1015" t="s">
        <v>636</v>
      </c>
      <c r="K41" s="1016" t="s">
        <v>618</v>
      </c>
      <c r="L41" s="1022" t="s">
        <v>647</v>
      </c>
      <c r="M41" s="1004" t="s">
        <v>631</v>
      </c>
      <c r="N41" s="1022" t="s">
        <v>649</v>
      </c>
      <c r="O41" s="1004" t="s">
        <v>632</v>
      </c>
      <c r="P41" s="1022" t="s">
        <v>648</v>
      </c>
      <c r="Q41" s="1004" t="s">
        <v>633</v>
      </c>
      <c r="R41" s="1023" t="s">
        <v>611</v>
      </c>
      <c r="S41" s="1024"/>
      <c r="T41" s="1025"/>
      <c r="U41" s="1050" t="s">
        <v>558</v>
      </c>
      <c r="V41" s="1051"/>
      <c r="W41" s="836"/>
      <c r="X41" s="1052" t="s">
        <v>617</v>
      </c>
      <c r="Y41" s="1053"/>
      <c r="Z41" s="874" t="s">
        <v>209</v>
      </c>
      <c r="AA41" s="72"/>
      <c r="AB41" s="72"/>
      <c r="AC41" s="875"/>
      <c r="AD41" s="875"/>
      <c r="AE41" s="875"/>
      <c r="AF41" s="875"/>
      <c r="AG41" s="876"/>
    </row>
    <row r="42" spans="1:33" ht="63.75" customHeight="1" x14ac:dyDescent="0.2">
      <c r="A42" s="993"/>
      <c r="B42" s="995"/>
      <c r="C42" s="995"/>
      <c r="D42" s="902" t="s">
        <v>705</v>
      </c>
      <c r="E42" s="902" t="s">
        <v>706</v>
      </c>
      <c r="F42" s="902" t="s">
        <v>707</v>
      </c>
      <c r="G42" s="1061"/>
      <c r="H42" s="1059"/>
      <c r="I42" s="1013"/>
      <c r="J42" s="1015"/>
      <c r="K42" s="1017"/>
      <c r="L42" s="1022"/>
      <c r="M42" s="1005"/>
      <c r="N42" s="1022"/>
      <c r="O42" s="1005"/>
      <c r="P42" s="1022"/>
      <c r="Q42" s="1005"/>
      <c r="R42" s="1018" t="s">
        <v>608</v>
      </c>
      <c r="S42" s="1020" t="s">
        <v>609</v>
      </c>
      <c r="T42" s="1026" t="s">
        <v>560</v>
      </c>
      <c r="U42" s="1054" t="s">
        <v>623</v>
      </c>
      <c r="V42" s="1012" t="s">
        <v>624</v>
      </c>
      <c r="W42" s="1055" t="s">
        <v>610</v>
      </c>
      <c r="X42" s="1012" t="s">
        <v>614</v>
      </c>
      <c r="Y42" s="1057" t="s">
        <v>612</v>
      </c>
      <c r="Z42" s="1031" t="s">
        <v>674</v>
      </c>
      <c r="AA42" s="1032" t="s">
        <v>659</v>
      </c>
      <c r="AB42" s="1034" t="s">
        <v>660</v>
      </c>
      <c r="AC42" s="872" t="s">
        <v>622</v>
      </c>
      <c r="AD42" s="872" t="s">
        <v>629</v>
      </c>
      <c r="AE42" s="872" t="s">
        <v>628</v>
      </c>
      <c r="AF42" s="872" t="s">
        <v>630</v>
      </c>
      <c r="AG42" s="870" t="s">
        <v>621</v>
      </c>
    </row>
    <row r="43" spans="1:33" ht="48" customHeight="1" thickBot="1" x14ac:dyDescent="0.25">
      <c r="A43" s="993"/>
      <c r="B43" s="995"/>
      <c r="C43" s="995"/>
      <c r="D43" s="988" t="s">
        <v>711</v>
      </c>
      <c r="E43" s="989"/>
      <c r="F43" s="901" t="s">
        <v>711</v>
      </c>
      <c r="G43" s="903" t="s">
        <v>712</v>
      </c>
      <c r="H43" s="1059"/>
      <c r="I43" s="1014"/>
      <c r="J43" s="1015"/>
      <c r="K43" s="835" t="s">
        <v>613</v>
      </c>
      <c r="L43" s="1022"/>
      <c r="M43" s="1005"/>
      <c r="N43" s="1022"/>
      <c r="O43" s="1005"/>
      <c r="P43" s="1022"/>
      <c r="Q43" s="1005"/>
      <c r="R43" s="1019"/>
      <c r="S43" s="1021"/>
      <c r="T43" s="1027"/>
      <c r="U43" s="1054"/>
      <c r="V43" s="1014"/>
      <c r="W43" s="1056"/>
      <c r="X43" s="1014"/>
      <c r="Y43" s="1058"/>
      <c r="Z43" s="1031"/>
      <c r="AA43" s="1033"/>
      <c r="AB43" s="1034"/>
      <c r="AC43" s="873"/>
      <c r="AD43" s="873"/>
      <c r="AE43" s="873"/>
      <c r="AF43" s="873"/>
      <c r="AG43" s="871"/>
    </row>
    <row r="44" spans="1:33" ht="24.95" customHeight="1" x14ac:dyDescent="0.2">
      <c r="A44" s="869" t="s">
        <v>48</v>
      </c>
      <c r="B44" s="991" t="s">
        <v>673</v>
      </c>
      <c r="C44" s="991"/>
      <c r="D44" s="124">
        <v>15</v>
      </c>
      <c r="E44" s="124">
        <v>20</v>
      </c>
      <c r="F44" s="731">
        <f>IF($A44="","",IF(AND(D44&gt;0,E44&gt;0),(AVERAGE(D44:E44)),""))</f>
        <v>17.5</v>
      </c>
      <c r="G44" s="149">
        <v>1</v>
      </c>
      <c r="H44" s="149">
        <v>1</v>
      </c>
      <c r="I44" s="351">
        <v>2</v>
      </c>
      <c r="J44" s="894">
        <v>1</v>
      </c>
      <c r="K44" s="822">
        <v>0</v>
      </c>
      <c r="L44" s="895">
        <v>0</v>
      </c>
      <c r="M44" s="854">
        <f>IF($A44="","",IF(D44&gt;0,IF(L44&gt;0,L44,$T$36),0))</f>
        <v>98.018994023904384</v>
      </c>
      <c r="N44" s="895"/>
      <c r="O44" s="821">
        <f>IF($A44="","",IF(D44&gt;0,IF(N44&gt;0,N44,$U$30),0))</f>
        <v>40.645372549019612</v>
      </c>
      <c r="P44" s="895"/>
      <c r="Q44" s="821">
        <f>IF($A44="","",IF(D44&gt;0,IF(P44&gt;0,P44,$U$22),0))</f>
        <v>17.769822670103899</v>
      </c>
      <c r="R44" s="897">
        <f t="shared" ref="R44:R48" si="1">IF($A44="","",IF(X44&gt;0,X44/W44,0))</f>
        <v>6.5345996015936256</v>
      </c>
      <c r="S44" s="908">
        <f t="shared" ref="S44:S48" si="2">IF($A44="","",IF(Y44&gt;0,Y44/W44,0))</f>
        <v>4.9009497011952199</v>
      </c>
      <c r="T44" s="908">
        <f t="shared" ref="T44:T48" si="3">IF($A44="","",IF(U44&gt;0,W44/F44*M44/W44*H44,0))</f>
        <v>5.601085372794536</v>
      </c>
      <c r="U44" s="303">
        <f>IF($A44="","",IF(D44&gt;0,W44/D44*H44,0))</f>
        <v>0.13333333333333333</v>
      </c>
      <c r="V44" s="839">
        <f>IF($A44="","",IF(E44&gt;0,W44/E44*H44,0))</f>
        <v>0.1</v>
      </c>
      <c r="W44" s="860">
        <f>IF($A44="","",IF(AND(G44&gt;0,M44&gt;0),G44*I44*J44,0))</f>
        <v>2</v>
      </c>
      <c r="X44" s="821">
        <f>IF($A44="","",IF(U44&gt;0,U44*M44,0))</f>
        <v>13.069199203187251</v>
      </c>
      <c r="Y44" s="861">
        <f>IF($A44="","",IF(V44&gt;0,V44*M44,0))</f>
        <v>9.8018994023904398</v>
      </c>
      <c r="Z44" s="864">
        <f>IF($A44="","",T44*W44)</f>
        <v>11.202170745589072</v>
      </c>
      <c r="AA44" s="885">
        <f>IF($A44="","",K44*J44)</f>
        <v>0</v>
      </c>
      <c r="AB44" s="827">
        <f>SUM(Z44:AA44)</f>
        <v>11.202170745589072</v>
      </c>
      <c r="AC44" s="821">
        <f t="shared" ref="AC44:AC57" si="4">IF($A44="","",IF(T44&gt;0,O44*(AVERAGE(U44:V44)),0))</f>
        <v>4.7419601307189545</v>
      </c>
      <c r="AD44" s="821">
        <f t="shared" ref="AD44:AD57" si="5">IF($A44="","",IF(Z44&gt;0,Q44*(AVERAGE(U44:V44)),0))</f>
        <v>2.0731459781787884</v>
      </c>
      <c r="AE44" s="821">
        <f>IF($A44="","",IF(Z44&gt;0,$U$35*(AVERAGE(U44:V44)),0))</f>
        <v>2.9166666666666665</v>
      </c>
      <c r="AF44" s="821">
        <f t="shared" ref="AF44:AF57" si="6">IF($A44="","",SUM(AC44:AE44))</f>
        <v>9.7317727755644086</v>
      </c>
      <c r="AG44" s="865">
        <f>IF($A44="","",IF(AB44&gt;0,AB44-AF44,0))</f>
        <v>1.4703979700246634</v>
      </c>
    </row>
    <row r="45" spans="1:33" ht="24.95" customHeight="1" x14ac:dyDescent="0.2">
      <c r="A45" s="869"/>
      <c r="B45" s="991" t="s">
        <v>616</v>
      </c>
      <c r="C45" s="991"/>
      <c r="D45" s="124">
        <v>10</v>
      </c>
      <c r="E45" s="124">
        <v>20</v>
      </c>
      <c r="F45" s="731" t="str">
        <f t="shared" ref="F45:F57" si="7">IF($A45="","",IF(AND(D45&gt;0,E45&gt;0),(AVERAGE(D45:E45)),""))</f>
        <v/>
      </c>
      <c r="G45" s="149">
        <v>1</v>
      </c>
      <c r="H45" s="149">
        <v>1</v>
      </c>
      <c r="I45" s="351">
        <v>2</v>
      </c>
      <c r="J45" s="894">
        <v>1</v>
      </c>
      <c r="K45" s="822">
        <v>0</v>
      </c>
      <c r="L45" s="895">
        <v>0</v>
      </c>
      <c r="M45" s="854" t="str">
        <f t="shared" ref="M45:M57" si="8">IF($A45="","",IF(D45&gt;0,IF(L45&gt;0,L45,$T$36),0))</f>
        <v/>
      </c>
      <c r="N45" s="895"/>
      <c r="O45" s="821" t="str">
        <f t="shared" ref="O45:O57" si="9">IF($A45="","",IF(D45&gt;0,IF(N45&gt;0,N45,$U$30),0))</f>
        <v/>
      </c>
      <c r="P45" s="895"/>
      <c r="Q45" s="821" t="str">
        <f t="shared" ref="Q45:Q57" si="10">IF($A45="","",IF(D45&gt;0,IF(P45&gt;0,P45,$U$22),0))</f>
        <v/>
      </c>
      <c r="R45" s="897" t="str">
        <f t="shared" si="1"/>
        <v/>
      </c>
      <c r="S45" s="908" t="str">
        <f t="shared" si="2"/>
        <v/>
      </c>
      <c r="T45" s="908" t="str">
        <f t="shared" si="3"/>
        <v/>
      </c>
      <c r="U45" s="303" t="str">
        <f t="shared" ref="U45:U57" si="11">IF($A45="","",IF(D45&gt;0,W45/D45*H45,0))</f>
        <v/>
      </c>
      <c r="V45" s="839" t="str">
        <f t="shared" ref="V45:V57" si="12">IF($A45="","",IF(E45&gt;0,W45/E45*H45,0))</f>
        <v/>
      </c>
      <c r="W45" s="860" t="str">
        <f t="shared" ref="W45:W57" si="13">IF($A45="","",IF(AND(G45&gt;0,M45&gt;0),G45*I45*J45,0))</f>
        <v/>
      </c>
      <c r="X45" s="821" t="str">
        <f>IF($A45="","",IF(U45&gt;0,U45*M45,0))</f>
        <v/>
      </c>
      <c r="Y45" s="861" t="str">
        <f t="shared" ref="Y45:Y57" si="14">IF($A45="","",IF(V45&gt;0,V45*M45,0))</f>
        <v/>
      </c>
      <c r="Z45" s="864" t="str">
        <f>IF($A45="","",T45*W45)</f>
        <v/>
      </c>
      <c r="AA45" s="885" t="str">
        <f t="shared" ref="AA45:AA57" si="15">IF($A45="","",K45*J45)</f>
        <v/>
      </c>
      <c r="AB45" s="827">
        <f>SUM(Z45:AA45)</f>
        <v>0</v>
      </c>
      <c r="AC45" s="821" t="str">
        <f t="shared" si="4"/>
        <v/>
      </c>
      <c r="AD45" s="821" t="str">
        <f t="shared" si="5"/>
        <v/>
      </c>
      <c r="AE45" s="821" t="str">
        <f t="shared" ref="AE45:AE57" si="16">IF($A45="","",IF(Z45&gt;0,$U$35*(AVERAGE(U45:V45)),0))</f>
        <v/>
      </c>
      <c r="AF45" s="821" t="str">
        <f t="shared" si="6"/>
        <v/>
      </c>
      <c r="AG45" s="865" t="str">
        <f t="shared" ref="AG45:AG46" si="17">IF($A45="","",IF(AB45&gt;0,AB45-AF45,0))</f>
        <v/>
      </c>
    </row>
    <row r="46" spans="1:33" ht="24.95" customHeight="1" x14ac:dyDescent="0.2">
      <c r="A46" s="869" t="s">
        <v>48</v>
      </c>
      <c r="B46" s="996" t="s">
        <v>672</v>
      </c>
      <c r="C46" s="997"/>
      <c r="D46" s="633">
        <v>20</v>
      </c>
      <c r="E46" s="633">
        <v>45</v>
      </c>
      <c r="F46" s="731">
        <f t="shared" si="7"/>
        <v>32.5</v>
      </c>
      <c r="G46" s="149">
        <v>1</v>
      </c>
      <c r="H46" s="149">
        <v>1</v>
      </c>
      <c r="I46" s="351">
        <v>2</v>
      </c>
      <c r="J46" s="894">
        <v>1</v>
      </c>
      <c r="K46" s="822">
        <v>0</v>
      </c>
      <c r="L46" s="895"/>
      <c r="M46" s="854">
        <f t="shared" si="8"/>
        <v>98.018994023904384</v>
      </c>
      <c r="N46" s="895"/>
      <c r="O46" s="821">
        <f t="shared" si="9"/>
        <v>40.645372549019612</v>
      </c>
      <c r="P46" s="895"/>
      <c r="Q46" s="821">
        <f t="shared" si="10"/>
        <v>17.769822670103899</v>
      </c>
      <c r="R46" s="897">
        <f t="shared" si="1"/>
        <v>4.9009497011952199</v>
      </c>
      <c r="S46" s="908">
        <f t="shared" si="2"/>
        <v>2.1781998671978751</v>
      </c>
      <c r="T46" s="908">
        <f t="shared" si="3"/>
        <v>3.0159690468893658</v>
      </c>
      <c r="U46" s="303">
        <f t="shared" si="11"/>
        <v>0.1</v>
      </c>
      <c r="V46" s="839">
        <f t="shared" si="12"/>
        <v>4.4444444444444446E-2</v>
      </c>
      <c r="W46" s="860">
        <f t="shared" si="13"/>
        <v>2</v>
      </c>
      <c r="X46" s="821">
        <f t="shared" ref="X46:X57" si="18">IF($A46="","",IF(U46&gt;0,U46*M46,0))</f>
        <v>9.8018994023904398</v>
      </c>
      <c r="Y46" s="861">
        <f t="shared" si="14"/>
        <v>4.3563997343957501</v>
      </c>
      <c r="Z46" s="864">
        <f t="shared" ref="Z46:Z57" si="19">IF($A46="","",T46*W46)</f>
        <v>6.0319380937787317</v>
      </c>
      <c r="AA46" s="885">
        <f t="shared" si="15"/>
        <v>0</v>
      </c>
      <c r="AB46" s="827">
        <f t="shared" ref="AB46:AB57" si="20">SUM(Z46:AA46)</f>
        <v>6.0319380937787317</v>
      </c>
      <c r="AC46" s="821">
        <f t="shared" si="4"/>
        <v>2.9354991285403056</v>
      </c>
      <c r="AD46" s="821">
        <f t="shared" si="5"/>
        <v>1.2833760817297262</v>
      </c>
      <c r="AE46" s="821">
        <f t="shared" si="16"/>
        <v>1.8055555555555558</v>
      </c>
      <c r="AF46" s="821">
        <f t="shared" si="6"/>
        <v>6.0244307658255867</v>
      </c>
      <c r="AG46" s="865">
        <f t="shared" si="17"/>
        <v>7.5073279531450154E-3</v>
      </c>
    </row>
    <row r="47" spans="1:33" ht="24.95" customHeight="1" x14ac:dyDescent="0.2">
      <c r="A47" s="869"/>
      <c r="B47" s="991" t="s">
        <v>619</v>
      </c>
      <c r="C47" s="991"/>
      <c r="D47" s="124">
        <v>5</v>
      </c>
      <c r="E47" s="124">
        <v>10</v>
      </c>
      <c r="F47" s="731" t="str">
        <f t="shared" si="7"/>
        <v/>
      </c>
      <c r="G47" s="149">
        <v>1</v>
      </c>
      <c r="H47" s="149">
        <v>1</v>
      </c>
      <c r="I47" s="351">
        <v>2</v>
      </c>
      <c r="J47" s="894">
        <v>1</v>
      </c>
      <c r="K47" s="822">
        <v>0</v>
      </c>
      <c r="L47" s="896">
        <v>0</v>
      </c>
      <c r="M47" s="854" t="str">
        <f t="shared" si="8"/>
        <v/>
      </c>
      <c r="N47" s="896"/>
      <c r="O47" s="821" t="str">
        <f t="shared" si="9"/>
        <v/>
      </c>
      <c r="P47" s="896"/>
      <c r="Q47" s="821" t="str">
        <f t="shared" si="10"/>
        <v/>
      </c>
      <c r="R47" s="897" t="str">
        <f t="shared" si="1"/>
        <v/>
      </c>
      <c r="S47" s="908" t="str">
        <f t="shared" si="2"/>
        <v/>
      </c>
      <c r="T47" s="908" t="str">
        <f t="shared" si="3"/>
        <v/>
      </c>
      <c r="U47" s="303" t="str">
        <f t="shared" si="11"/>
        <v/>
      </c>
      <c r="V47" s="839" t="str">
        <f t="shared" si="12"/>
        <v/>
      </c>
      <c r="W47" s="860" t="str">
        <f t="shared" si="13"/>
        <v/>
      </c>
      <c r="X47" s="821" t="str">
        <f t="shared" si="18"/>
        <v/>
      </c>
      <c r="Y47" s="861" t="str">
        <f t="shared" si="14"/>
        <v/>
      </c>
      <c r="Z47" s="864" t="str">
        <f t="shared" si="19"/>
        <v/>
      </c>
      <c r="AA47" s="885" t="str">
        <f t="shared" si="15"/>
        <v/>
      </c>
      <c r="AB47" s="827">
        <f t="shared" si="20"/>
        <v>0</v>
      </c>
      <c r="AC47" s="821" t="str">
        <f t="shared" si="4"/>
        <v/>
      </c>
      <c r="AD47" s="821" t="str">
        <f t="shared" si="5"/>
        <v/>
      </c>
      <c r="AE47" s="821" t="str">
        <f t="shared" si="16"/>
        <v/>
      </c>
      <c r="AF47" s="821" t="str">
        <f t="shared" si="6"/>
        <v/>
      </c>
      <c r="AG47" s="865" t="str">
        <f>IF($A47="","",IF(AB47&gt;0,AB47-AF47,0))</f>
        <v/>
      </c>
    </row>
    <row r="48" spans="1:33" ht="24.95" customHeight="1" x14ac:dyDescent="0.2">
      <c r="A48" s="869"/>
      <c r="B48" s="991"/>
      <c r="C48" s="991"/>
      <c r="D48" s="124"/>
      <c r="E48" s="124"/>
      <c r="F48" s="731" t="str">
        <f t="shared" si="7"/>
        <v/>
      </c>
      <c r="G48" s="149">
        <v>1</v>
      </c>
      <c r="H48" s="149">
        <v>1</v>
      </c>
      <c r="I48" s="351">
        <v>2</v>
      </c>
      <c r="J48" s="894">
        <v>1</v>
      </c>
      <c r="K48" s="822">
        <v>0</v>
      </c>
      <c r="L48" s="895"/>
      <c r="M48" s="854" t="str">
        <f t="shared" si="8"/>
        <v/>
      </c>
      <c r="N48" s="895"/>
      <c r="O48" s="821" t="str">
        <f t="shared" si="9"/>
        <v/>
      </c>
      <c r="P48" s="895"/>
      <c r="Q48" s="821" t="str">
        <f t="shared" si="10"/>
        <v/>
      </c>
      <c r="R48" s="897" t="str">
        <f t="shared" si="1"/>
        <v/>
      </c>
      <c r="S48" s="908" t="str">
        <f t="shared" si="2"/>
        <v/>
      </c>
      <c r="T48" s="908" t="str">
        <f t="shared" si="3"/>
        <v/>
      </c>
      <c r="U48" s="303" t="str">
        <f t="shared" si="11"/>
        <v/>
      </c>
      <c r="V48" s="839" t="str">
        <f t="shared" si="12"/>
        <v/>
      </c>
      <c r="W48" s="860" t="str">
        <f t="shared" si="13"/>
        <v/>
      </c>
      <c r="X48" s="821" t="str">
        <f t="shared" si="18"/>
        <v/>
      </c>
      <c r="Y48" s="861" t="str">
        <f t="shared" si="14"/>
        <v/>
      </c>
      <c r="Z48" s="864" t="str">
        <f t="shared" si="19"/>
        <v/>
      </c>
      <c r="AA48" s="885" t="str">
        <f t="shared" si="15"/>
        <v/>
      </c>
      <c r="AB48" s="827">
        <f t="shared" si="20"/>
        <v>0</v>
      </c>
      <c r="AC48" s="821" t="str">
        <f t="shared" si="4"/>
        <v/>
      </c>
      <c r="AD48" s="821" t="str">
        <f t="shared" si="5"/>
        <v/>
      </c>
      <c r="AE48" s="821" t="str">
        <f t="shared" si="16"/>
        <v/>
      </c>
      <c r="AF48" s="821" t="str">
        <f t="shared" si="6"/>
        <v/>
      </c>
      <c r="AG48" s="865" t="str">
        <f t="shared" ref="AG48:AG57" si="21">IF($A48="","",IF(AB48&gt;0,AB48-AF48,0))</f>
        <v/>
      </c>
    </row>
    <row r="49" spans="1:33" ht="24.95" customHeight="1" x14ac:dyDescent="0.2">
      <c r="A49" s="869"/>
      <c r="B49" s="991"/>
      <c r="C49" s="991"/>
      <c r="D49" s="124"/>
      <c r="E49" s="124"/>
      <c r="F49" s="731" t="str">
        <f t="shared" si="7"/>
        <v/>
      </c>
      <c r="G49" s="149">
        <v>1</v>
      </c>
      <c r="H49" s="149">
        <v>1</v>
      </c>
      <c r="I49" s="351">
        <v>2</v>
      </c>
      <c r="J49" s="894">
        <v>1</v>
      </c>
      <c r="K49" s="822">
        <v>0</v>
      </c>
      <c r="L49" s="895"/>
      <c r="M49" s="854" t="str">
        <f t="shared" si="8"/>
        <v/>
      </c>
      <c r="N49" s="895"/>
      <c r="O49" s="821" t="str">
        <f t="shared" si="9"/>
        <v/>
      </c>
      <c r="P49" s="895"/>
      <c r="Q49" s="821" t="str">
        <f t="shared" si="10"/>
        <v/>
      </c>
      <c r="R49" s="897" t="str">
        <f>IF($A49="","",IF(X49&gt;0,X49/W49,0))</f>
        <v/>
      </c>
      <c r="S49" s="908" t="str">
        <f>IF($A49="","",IF(Y49&gt;0,Y49/W49,0))</f>
        <v/>
      </c>
      <c r="T49" s="908" t="str">
        <f>IF($A49="","",IF(U49&gt;0,W49/F49*M49/W49*H49,0))</f>
        <v/>
      </c>
      <c r="U49" s="303" t="str">
        <f t="shared" si="11"/>
        <v/>
      </c>
      <c r="V49" s="839" t="str">
        <f t="shared" si="12"/>
        <v/>
      </c>
      <c r="W49" s="860" t="str">
        <f t="shared" si="13"/>
        <v/>
      </c>
      <c r="X49" s="821" t="str">
        <f t="shared" si="18"/>
        <v/>
      </c>
      <c r="Y49" s="861" t="str">
        <f t="shared" si="14"/>
        <v/>
      </c>
      <c r="Z49" s="864" t="str">
        <f>IF($A49="","",T49*W49)</f>
        <v/>
      </c>
      <c r="AA49" s="885" t="str">
        <f t="shared" si="15"/>
        <v/>
      </c>
      <c r="AB49" s="827">
        <f t="shared" si="20"/>
        <v>0</v>
      </c>
      <c r="AC49" s="821" t="str">
        <f t="shared" si="4"/>
        <v/>
      </c>
      <c r="AD49" s="821" t="str">
        <f t="shared" si="5"/>
        <v/>
      </c>
      <c r="AE49" s="821" t="str">
        <f t="shared" si="16"/>
        <v/>
      </c>
      <c r="AF49" s="821" t="str">
        <f t="shared" si="6"/>
        <v/>
      </c>
      <c r="AG49" s="865" t="str">
        <f t="shared" si="21"/>
        <v/>
      </c>
    </row>
    <row r="50" spans="1:33" ht="24.95" customHeight="1" x14ac:dyDescent="0.2">
      <c r="A50" s="869"/>
      <c r="B50" s="996"/>
      <c r="C50" s="997"/>
      <c r="D50" s="633"/>
      <c r="E50" s="633"/>
      <c r="F50" s="731" t="str">
        <f t="shared" si="7"/>
        <v/>
      </c>
      <c r="G50" s="149">
        <v>1</v>
      </c>
      <c r="H50" s="149">
        <v>1</v>
      </c>
      <c r="I50" s="351">
        <v>2</v>
      </c>
      <c r="J50" s="894">
        <v>1</v>
      </c>
      <c r="K50" s="822">
        <v>0</v>
      </c>
      <c r="L50" s="895"/>
      <c r="M50" s="854" t="str">
        <f t="shared" si="8"/>
        <v/>
      </c>
      <c r="N50" s="895"/>
      <c r="O50" s="821" t="str">
        <f t="shared" si="9"/>
        <v/>
      </c>
      <c r="P50" s="895"/>
      <c r="Q50" s="821" t="str">
        <f t="shared" si="10"/>
        <v/>
      </c>
      <c r="R50" s="897" t="str">
        <f t="shared" ref="R50:R57" si="22">IF($A50="","",IF(X50&gt;0,X50/W50,0))</f>
        <v/>
      </c>
      <c r="S50" s="908" t="str">
        <f t="shared" ref="S50:S57" si="23">IF($A50="","",IF(Y50&gt;0,Y50/W50,0))</f>
        <v/>
      </c>
      <c r="T50" s="908" t="str">
        <f t="shared" ref="T50:T57" si="24">IF($A50="","",IF(U50&gt;0,W50/F50*M50/W50*H50,0))</f>
        <v/>
      </c>
      <c r="U50" s="303" t="str">
        <f t="shared" si="11"/>
        <v/>
      </c>
      <c r="V50" s="839" t="str">
        <f t="shared" si="12"/>
        <v/>
      </c>
      <c r="W50" s="860" t="str">
        <f t="shared" si="13"/>
        <v/>
      </c>
      <c r="X50" s="821" t="str">
        <f t="shared" si="18"/>
        <v/>
      </c>
      <c r="Y50" s="861" t="str">
        <f t="shared" si="14"/>
        <v/>
      </c>
      <c r="Z50" s="864" t="str">
        <f t="shared" si="19"/>
        <v/>
      </c>
      <c r="AA50" s="885" t="str">
        <f t="shared" si="15"/>
        <v/>
      </c>
      <c r="AB50" s="827">
        <f t="shared" si="20"/>
        <v>0</v>
      </c>
      <c r="AC50" s="821" t="str">
        <f t="shared" si="4"/>
        <v/>
      </c>
      <c r="AD50" s="821" t="str">
        <f t="shared" si="5"/>
        <v/>
      </c>
      <c r="AE50" s="821" t="str">
        <f t="shared" si="16"/>
        <v/>
      </c>
      <c r="AF50" s="821" t="str">
        <f t="shared" si="6"/>
        <v/>
      </c>
      <c r="AG50" s="865" t="str">
        <f t="shared" si="21"/>
        <v/>
      </c>
    </row>
    <row r="51" spans="1:33" ht="24.95" customHeight="1" x14ac:dyDescent="0.2">
      <c r="A51" s="869"/>
      <c r="B51" s="991"/>
      <c r="C51" s="991"/>
      <c r="D51" s="124"/>
      <c r="E51" s="124"/>
      <c r="F51" s="731" t="str">
        <f t="shared" si="7"/>
        <v/>
      </c>
      <c r="G51" s="149">
        <v>1</v>
      </c>
      <c r="H51" s="149">
        <v>1</v>
      </c>
      <c r="I51" s="351">
        <v>2</v>
      </c>
      <c r="J51" s="894">
        <v>1</v>
      </c>
      <c r="K51" s="822">
        <v>0</v>
      </c>
      <c r="L51" s="895"/>
      <c r="M51" s="854" t="str">
        <f t="shared" si="8"/>
        <v/>
      </c>
      <c r="N51" s="895"/>
      <c r="O51" s="821" t="str">
        <f t="shared" si="9"/>
        <v/>
      </c>
      <c r="P51" s="895"/>
      <c r="Q51" s="821" t="str">
        <f t="shared" si="10"/>
        <v/>
      </c>
      <c r="R51" s="897" t="str">
        <f t="shared" si="22"/>
        <v/>
      </c>
      <c r="S51" s="908" t="str">
        <f t="shared" si="23"/>
        <v/>
      </c>
      <c r="T51" s="908" t="str">
        <f t="shared" si="24"/>
        <v/>
      </c>
      <c r="U51" s="303" t="str">
        <f t="shared" si="11"/>
        <v/>
      </c>
      <c r="V51" s="839" t="str">
        <f t="shared" si="12"/>
        <v/>
      </c>
      <c r="W51" s="860" t="str">
        <f t="shared" si="13"/>
        <v/>
      </c>
      <c r="X51" s="821" t="str">
        <f t="shared" si="18"/>
        <v/>
      </c>
      <c r="Y51" s="861" t="str">
        <f t="shared" si="14"/>
        <v/>
      </c>
      <c r="Z51" s="864" t="str">
        <f t="shared" si="19"/>
        <v/>
      </c>
      <c r="AA51" s="885" t="str">
        <f t="shared" si="15"/>
        <v/>
      </c>
      <c r="AB51" s="827">
        <f t="shared" si="20"/>
        <v>0</v>
      </c>
      <c r="AC51" s="821" t="str">
        <f t="shared" si="4"/>
        <v/>
      </c>
      <c r="AD51" s="821" t="str">
        <f t="shared" si="5"/>
        <v/>
      </c>
      <c r="AE51" s="821" t="str">
        <f t="shared" si="16"/>
        <v/>
      </c>
      <c r="AF51" s="821" t="str">
        <f t="shared" si="6"/>
        <v/>
      </c>
      <c r="AG51" s="865" t="str">
        <f t="shared" si="21"/>
        <v/>
      </c>
    </row>
    <row r="52" spans="1:33" ht="24.95" customHeight="1" x14ac:dyDescent="0.2">
      <c r="A52" s="869"/>
      <c r="B52" s="991"/>
      <c r="C52" s="991"/>
      <c r="D52" s="124"/>
      <c r="E52" s="124"/>
      <c r="F52" s="731" t="str">
        <f t="shared" si="7"/>
        <v/>
      </c>
      <c r="G52" s="149">
        <v>1</v>
      </c>
      <c r="H52" s="149">
        <v>1</v>
      </c>
      <c r="I52" s="351">
        <v>2</v>
      </c>
      <c r="J52" s="894">
        <v>1</v>
      </c>
      <c r="K52" s="822">
        <v>0</v>
      </c>
      <c r="L52" s="895"/>
      <c r="M52" s="854" t="str">
        <f t="shared" si="8"/>
        <v/>
      </c>
      <c r="N52" s="895"/>
      <c r="O52" s="821" t="str">
        <f t="shared" si="9"/>
        <v/>
      </c>
      <c r="P52" s="895"/>
      <c r="Q52" s="821" t="str">
        <f t="shared" si="10"/>
        <v/>
      </c>
      <c r="R52" s="897" t="str">
        <f t="shared" si="22"/>
        <v/>
      </c>
      <c r="S52" s="908" t="str">
        <f t="shared" si="23"/>
        <v/>
      </c>
      <c r="T52" s="908" t="str">
        <f t="shared" si="24"/>
        <v/>
      </c>
      <c r="U52" s="303" t="str">
        <f t="shared" si="11"/>
        <v/>
      </c>
      <c r="V52" s="839" t="str">
        <f t="shared" si="12"/>
        <v/>
      </c>
      <c r="W52" s="860" t="str">
        <f t="shared" si="13"/>
        <v/>
      </c>
      <c r="X52" s="821" t="str">
        <f t="shared" si="18"/>
        <v/>
      </c>
      <c r="Y52" s="861" t="str">
        <f t="shared" si="14"/>
        <v/>
      </c>
      <c r="Z52" s="864" t="str">
        <f t="shared" si="19"/>
        <v/>
      </c>
      <c r="AA52" s="885" t="str">
        <f t="shared" si="15"/>
        <v/>
      </c>
      <c r="AB52" s="827">
        <f t="shared" si="20"/>
        <v>0</v>
      </c>
      <c r="AC52" s="821" t="str">
        <f t="shared" si="4"/>
        <v/>
      </c>
      <c r="AD52" s="821" t="str">
        <f t="shared" si="5"/>
        <v/>
      </c>
      <c r="AE52" s="821" t="str">
        <f t="shared" si="16"/>
        <v/>
      </c>
      <c r="AF52" s="821" t="str">
        <f t="shared" si="6"/>
        <v/>
      </c>
      <c r="AG52" s="865" t="str">
        <f t="shared" si="21"/>
        <v/>
      </c>
    </row>
    <row r="53" spans="1:33" ht="24.95" customHeight="1" x14ac:dyDescent="0.2">
      <c r="A53" s="869"/>
      <c r="B53" s="991"/>
      <c r="C53" s="991"/>
      <c r="D53" s="124"/>
      <c r="E53" s="124"/>
      <c r="F53" s="731" t="str">
        <f t="shared" si="7"/>
        <v/>
      </c>
      <c r="G53" s="149">
        <v>1</v>
      </c>
      <c r="H53" s="149">
        <v>1</v>
      </c>
      <c r="I53" s="351">
        <v>2</v>
      </c>
      <c r="J53" s="894">
        <v>1</v>
      </c>
      <c r="K53" s="822">
        <v>0</v>
      </c>
      <c r="L53" s="895"/>
      <c r="M53" s="854" t="str">
        <f t="shared" si="8"/>
        <v/>
      </c>
      <c r="N53" s="895"/>
      <c r="O53" s="821" t="str">
        <f t="shared" si="9"/>
        <v/>
      </c>
      <c r="P53" s="895"/>
      <c r="Q53" s="821" t="str">
        <f t="shared" si="10"/>
        <v/>
      </c>
      <c r="R53" s="897" t="str">
        <f t="shared" si="22"/>
        <v/>
      </c>
      <c r="S53" s="908" t="str">
        <f t="shared" si="23"/>
        <v/>
      </c>
      <c r="T53" s="908" t="str">
        <f t="shared" si="24"/>
        <v/>
      </c>
      <c r="U53" s="303" t="str">
        <f t="shared" si="11"/>
        <v/>
      </c>
      <c r="V53" s="839" t="str">
        <f t="shared" si="12"/>
        <v/>
      </c>
      <c r="W53" s="860" t="str">
        <f t="shared" si="13"/>
        <v/>
      </c>
      <c r="X53" s="821" t="str">
        <f t="shared" si="18"/>
        <v/>
      </c>
      <c r="Y53" s="861" t="str">
        <f t="shared" si="14"/>
        <v/>
      </c>
      <c r="Z53" s="864" t="str">
        <f t="shared" si="19"/>
        <v/>
      </c>
      <c r="AA53" s="885" t="str">
        <f t="shared" si="15"/>
        <v/>
      </c>
      <c r="AB53" s="827">
        <f t="shared" si="20"/>
        <v>0</v>
      </c>
      <c r="AC53" s="821" t="str">
        <f t="shared" si="4"/>
        <v/>
      </c>
      <c r="AD53" s="821" t="str">
        <f t="shared" si="5"/>
        <v/>
      </c>
      <c r="AE53" s="821" t="str">
        <f t="shared" si="16"/>
        <v/>
      </c>
      <c r="AF53" s="821" t="str">
        <f t="shared" si="6"/>
        <v/>
      </c>
      <c r="AG53" s="865" t="str">
        <f t="shared" si="21"/>
        <v/>
      </c>
    </row>
    <row r="54" spans="1:33" ht="24.95" customHeight="1" x14ac:dyDescent="0.2">
      <c r="A54" s="869"/>
      <c r="B54" s="996"/>
      <c r="C54" s="997"/>
      <c r="D54" s="633"/>
      <c r="E54" s="633"/>
      <c r="F54" s="731" t="str">
        <f t="shared" si="7"/>
        <v/>
      </c>
      <c r="G54" s="149">
        <v>1</v>
      </c>
      <c r="H54" s="149">
        <v>1</v>
      </c>
      <c r="I54" s="351">
        <v>2</v>
      </c>
      <c r="J54" s="894">
        <v>1</v>
      </c>
      <c r="K54" s="822">
        <v>0</v>
      </c>
      <c r="L54" s="895"/>
      <c r="M54" s="854" t="str">
        <f t="shared" si="8"/>
        <v/>
      </c>
      <c r="N54" s="895"/>
      <c r="O54" s="821" t="str">
        <f t="shared" si="9"/>
        <v/>
      </c>
      <c r="P54" s="895"/>
      <c r="Q54" s="821" t="str">
        <f t="shared" si="10"/>
        <v/>
      </c>
      <c r="R54" s="897" t="str">
        <f t="shared" si="22"/>
        <v/>
      </c>
      <c r="S54" s="908" t="str">
        <f t="shared" si="23"/>
        <v/>
      </c>
      <c r="T54" s="908" t="str">
        <f t="shared" si="24"/>
        <v/>
      </c>
      <c r="U54" s="303" t="str">
        <f t="shared" si="11"/>
        <v/>
      </c>
      <c r="V54" s="839" t="str">
        <f t="shared" si="12"/>
        <v/>
      </c>
      <c r="W54" s="860" t="str">
        <f t="shared" si="13"/>
        <v/>
      </c>
      <c r="X54" s="821" t="str">
        <f t="shared" si="18"/>
        <v/>
      </c>
      <c r="Y54" s="861" t="str">
        <f t="shared" si="14"/>
        <v/>
      </c>
      <c r="Z54" s="864" t="str">
        <f t="shared" si="19"/>
        <v/>
      </c>
      <c r="AA54" s="885" t="str">
        <f t="shared" si="15"/>
        <v/>
      </c>
      <c r="AB54" s="827">
        <f t="shared" si="20"/>
        <v>0</v>
      </c>
      <c r="AC54" s="821" t="str">
        <f t="shared" si="4"/>
        <v/>
      </c>
      <c r="AD54" s="821" t="str">
        <f t="shared" si="5"/>
        <v/>
      </c>
      <c r="AE54" s="821" t="str">
        <f t="shared" si="16"/>
        <v/>
      </c>
      <c r="AF54" s="821" t="str">
        <f t="shared" si="6"/>
        <v/>
      </c>
      <c r="AG54" s="865" t="str">
        <f t="shared" si="21"/>
        <v/>
      </c>
    </row>
    <row r="55" spans="1:33" ht="24.95" customHeight="1" x14ac:dyDescent="0.2">
      <c r="A55" s="869"/>
      <c r="B55" s="991"/>
      <c r="C55" s="991"/>
      <c r="D55" s="124"/>
      <c r="E55" s="124"/>
      <c r="F55" s="731" t="str">
        <f t="shared" si="7"/>
        <v/>
      </c>
      <c r="G55" s="149">
        <v>1</v>
      </c>
      <c r="H55" s="149">
        <v>1</v>
      </c>
      <c r="I55" s="351">
        <v>2</v>
      </c>
      <c r="J55" s="894">
        <v>1</v>
      </c>
      <c r="K55" s="822">
        <v>0</v>
      </c>
      <c r="L55" s="895"/>
      <c r="M55" s="854" t="str">
        <f t="shared" si="8"/>
        <v/>
      </c>
      <c r="N55" s="895"/>
      <c r="O55" s="821" t="str">
        <f t="shared" si="9"/>
        <v/>
      </c>
      <c r="P55" s="895"/>
      <c r="Q55" s="821" t="str">
        <f t="shared" si="10"/>
        <v/>
      </c>
      <c r="R55" s="897" t="str">
        <f t="shared" si="22"/>
        <v/>
      </c>
      <c r="S55" s="908" t="str">
        <f t="shared" si="23"/>
        <v/>
      </c>
      <c r="T55" s="908" t="str">
        <f t="shared" si="24"/>
        <v/>
      </c>
      <c r="U55" s="303" t="str">
        <f t="shared" si="11"/>
        <v/>
      </c>
      <c r="V55" s="839" t="str">
        <f t="shared" si="12"/>
        <v/>
      </c>
      <c r="W55" s="860" t="str">
        <f t="shared" si="13"/>
        <v/>
      </c>
      <c r="X55" s="821" t="str">
        <f t="shared" si="18"/>
        <v/>
      </c>
      <c r="Y55" s="861" t="str">
        <f t="shared" si="14"/>
        <v/>
      </c>
      <c r="Z55" s="864" t="str">
        <f t="shared" si="19"/>
        <v/>
      </c>
      <c r="AA55" s="885" t="str">
        <f t="shared" si="15"/>
        <v/>
      </c>
      <c r="AB55" s="827">
        <f t="shared" si="20"/>
        <v>0</v>
      </c>
      <c r="AC55" s="821" t="str">
        <f t="shared" si="4"/>
        <v/>
      </c>
      <c r="AD55" s="821" t="str">
        <f t="shared" si="5"/>
        <v/>
      </c>
      <c r="AE55" s="821" t="str">
        <f>IF($A55="","",IF(Z55&gt;0,$U$35*(AVERAGE(U55:V55)),0))</f>
        <v/>
      </c>
      <c r="AF55" s="821" t="str">
        <f t="shared" si="6"/>
        <v/>
      </c>
      <c r="AG55" s="865" t="str">
        <f t="shared" si="21"/>
        <v/>
      </c>
    </row>
    <row r="56" spans="1:33" ht="24.95" customHeight="1" x14ac:dyDescent="0.2">
      <c r="A56" s="869"/>
      <c r="B56" s="996"/>
      <c r="C56" s="997"/>
      <c r="D56" s="124"/>
      <c r="E56" s="124"/>
      <c r="F56" s="731" t="str">
        <f t="shared" si="7"/>
        <v/>
      </c>
      <c r="G56" s="149">
        <v>1</v>
      </c>
      <c r="H56" s="149">
        <v>1</v>
      </c>
      <c r="I56" s="351">
        <v>2</v>
      </c>
      <c r="J56" s="894">
        <v>1</v>
      </c>
      <c r="K56" s="822">
        <v>0</v>
      </c>
      <c r="L56" s="895"/>
      <c r="M56" s="854" t="str">
        <f t="shared" si="8"/>
        <v/>
      </c>
      <c r="N56" s="895"/>
      <c r="O56" s="821" t="str">
        <f t="shared" si="9"/>
        <v/>
      </c>
      <c r="P56" s="895"/>
      <c r="Q56" s="821" t="str">
        <f t="shared" si="10"/>
        <v/>
      </c>
      <c r="R56" s="897" t="str">
        <f t="shared" si="22"/>
        <v/>
      </c>
      <c r="S56" s="908" t="str">
        <f t="shared" si="23"/>
        <v/>
      </c>
      <c r="T56" s="908" t="str">
        <f t="shared" si="24"/>
        <v/>
      </c>
      <c r="U56" s="303" t="str">
        <f t="shared" si="11"/>
        <v/>
      </c>
      <c r="V56" s="839" t="str">
        <f t="shared" si="12"/>
        <v/>
      </c>
      <c r="W56" s="860" t="str">
        <f t="shared" si="13"/>
        <v/>
      </c>
      <c r="X56" s="821" t="str">
        <f t="shared" si="18"/>
        <v/>
      </c>
      <c r="Y56" s="861" t="str">
        <f t="shared" si="14"/>
        <v/>
      </c>
      <c r="Z56" s="864" t="str">
        <f t="shared" si="19"/>
        <v/>
      </c>
      <c r="AA56" s="885" t="str">
        <f t="shared" si="15"/>
        <v/>
      </c>
      <c r="AB56" s="827">
        <f t="shared" si="20"/>
        <v>0</v>
      </c>
      <c r="AC56" s="821" t="str">
        <f t="shared" si="4"/>
        <v/>
      </c>
      <c r="AD56" s="821" t="str">
        <f t="shared" si="5"/>
        <v/>
      </c>
      <c r="AE56" s="821" t="str">
        <f t="shared" si="16"/>
        <v/>
      </c>
      <c r="AF56" s="821" t="str">
        <f t="shared" si="6"/>
        <v/>
      </c>
      <c r="AG56" s="865" t="str">
        <f t="shared" si="21"/>
        <v/>
      </c>
    </row>
    <row r="57" spans="1:33" ht="24.95" customHeight="1" x14ac:dyDescent="0.2">
      <c r="A57" s="869"/>
      <c r="B57" s="996"/>
      <c r="C57" s="997"/>
      <c r="D57" s="124"/>
      <c r="E57" s="124"/>
      <c r="F57" s="731" t="str">
        <f t="shared" si="7"/>
        <v/>
      </c>
      <c r="G57" s="149">
        <v>1</v>
      </c>
      <c r="H57" s="149">
        <v>1</v>
      </c>
      <c r="I57" s="351">
        <v>2</v>
      </c>
      <c r="J57" s="894">
        <v>1</v>
      </c>
      <c r="K57" s="822">
        <v>0</v>
      </c>
      <c r="L57" s="895"/>
      <c r="M57" s="854" t="str">
        <f t="shared" si="8"/>
        <v/>
      </c>
      <c r="N57" s="895"/>
      <c r="O57" s="821" t="str">
        <f t="shared" si="9"/>
        <v/>
      </c>
      <c r="P57" s="895"/>
      <c r="Q57" s="821" t="str">
        <f t="shared" si="10"/>
        <v/>
      </c>
      <c r="R57" s="897" t="str">
        <f t="shared" si="22"/>
        <v/>
      </c>
      <c r="S57" s="908" t="str">
        <f t="shared" si="23"/>
        <v/>
      </c>
      <c r="T57" s="908" t="str">
        <f t="shared" si="24"/>
        <v/>
      </c>
      <c r="U57" s="303" t="str">
        <f t="shared" si="11"/>
        <v/>
      </c>
      <c r="V57" s="839" t="str">
        <f t="shared" si="12"/>
        <v/>
      </c>
      <c r="W57" s="860" t="str">
        <f t="shared" si="13"/>
        <v/>
      </c>
      <c r="X57" s="821" t="str">
        <f t="shared" si="18"/>
        <v/>
      </c>
      <c r="Y57" s="861" t="str">
        <f t="shared" si="14"/>
        <v/>
      </c>
      <c r="Z57" s="864" t="str">
        <f t="shared" si="19"/>
        <v/>
      </c>
      <c r="AA57" s="885" t="str">
        <f t="shared" si="15"/>
        <v/>
      </c>
      <c r="AB57" s="827">
        <f t="shared" si="20"/>
        <v>0</v>
      </c>
      <c r="AC57" s="821" t="str">
        <f t="shared" si="4"/>
        <v/>
      </c>
      <c r="AD57" s="821" t="str">
        <f t="shared" si="5"/>
        <v/>
      </c>
      <c r="AE57" s="821" t="str">
        <f t="shared" si="16"/>
        <v/>
      </c>
      <c r="AF57" s="821" t="str">
        <f t="shared" si="6"/>
        <v/>
      </c>
      <c r="AG57" s="865" t="str">
        <f t="shared" si="21"/>
        <v/>
      </c>
    </row>
    <row r="58" spans="1:33" ht="21" customHeight="1" thickBot="1" x14ac:dyDescent="0.25">
      <c r="F58" s="825" t="s">
        <v>82</v>
      </c>
      <c r="G58" s="824">
        <f>SUM(G44:G57)</f>
        <v>14</v>
      </c>
      <c r="J58" s="881" t="s">
        <v>505</v>
      </c>
      <c r="K58" s="880">
        <f>IF(SUM(K44:K57)&gt;0,AVERAGEIF(K44:K57,"&gt;0"),0)</f>
        <v>0</v>
      </c>
      <c r="L58" s="842"/>
      <c r="M58" s="827">
        <f t="shared" ref="M58" si="25">AVERAGEIF(M44:M57,"&gt;0")</f>
        <v>98.018994023904384</v>
      </c>
      <c r="O58" s="827">
        <f t="shared" ref="O58" si="26">AVERAGEIF(O44:O57,"&gt;0")</f>
        <v>40.645372549019612</v>
      </c>
      <c r="Q58" s="827">
        <f t="shared" ref="Q58:T58" si="27">AVERAGEIF(Q44:Q57,"&gt;0")</f>
        <v>17.769822670103899</v>
      </c>
      <c r="R58" s="898">
        <f>AVERAGEIF(R44:R57,"&gt;0")</f>
        <v>5.7177746513944232</v>
      </c>
      <c r="S58" s="908">
        <f t="shared" si="27"/>
        <v>3.5395747841965477</v>
      </c>
      <c r="T58" s="908">
        <f t="shared" si="27"/>
        <v>4.3085272098419507</v>
      </c>
      <c r="U58" s="361">
        <f t="shared" ref="U58:Z58" si="28">SUM(U44:U57)</f>
        <v>0.23333333333333334</v>
      </c>
      <c r="V58" s="361">
        <f t="shared" si="28"/>
        <v>0.14444444444444446</v>
      </c>
      <c r="W58" s="837">
        <f t="shared" si="28"/>
        <v>4</v>
      </c>
      <c r="X58" s="826">
        <f t="shared" si="28"/>
        <v>22.871098605577693</v>
      </c>
      <c r="Y58" s="862">
        <f t="shared" si="28"/>
        <v>14.158299136786191</v>
      </c>
      <c r="Z58" s="866">
        <f t="shared" si="28"/>
        <v>17.234108839367803</v>
      </c>
      <c r="AA58" s="866">
        <f t="shared" ref="AA58:AB58" si="29">SUM(AA44:AA57)</f>
        <v>0</v>
      </c>
      <c r="AB58" s="866">
        <f t="shared" si="29"/>
        <v>17.234108839367803</v>
      </c>
      <c r="AC58" s="867">
        <f>SUM(AC44:AC57)</f>
        <v>7.6774592592592601</v>
      </c>
      <c r="AD58" s="867">
        <f>SUM(AD44:AD57)</f>
        <v>3.3565220599085146</v>
      </c>
      <c r="AE58" s="867">
        <f>SUM(AE44:AE57)</f>
        <v>4.7222222222222223</v>
      </c>
      <c r="AF58" s="867">
        <f>SUM(AF44:AF57)</f>
        <v>15.756203541389995</v>
      </c>
      <c r="AG58" s="868">
        <f>SUM(AG44:AG57)</f>
        <v>1.4779052979778085</v>
      </c>
    </row>
    <row r="59" spans="1:33" ht="27" customHeight="1" x14ac:dyDescent="0.4">
      <c r="B59" s="583" t="s">
        <v>625</v>
      </c>
      <c r="C59"/>
      <c r="D59"/>
      <c r="E59"/>
      <c r="F59"/>
      <c r="G59" s="998" t="str">
        <f>T3</f>
        <v xml:space="preserve">Kytketty koneet: Valtra Tiesarja Etuaura </v>
      </c>
      <c r="H59" s="998"/>
      <c r="I59" s="998"/>
      <c r="J59" s="998"/>
      <c r="K59" s="998"/>
      <c r="L59" s="998"/>
      <c r="M59" s="998"/>
      <c r="N59" s="998"/>
      <c r="O59" s="998"/>
      <c r="P59" s="998"/>
      <c r="Q59" s="998"/>
      <c r="R59" s="1004" t="s">
        <v>653</v>
      </c>
      <c r="S59" s="1005"/>
      <c r="T59" s="1005"/>
      <c r="U59" s="1035" t="s">
        <v>652</v>
      </c>
      <c r="V59" s="1036"/>
      <c r="W59" s="1036"/>
      <c r="X59" s="1036"/>
      <c r="Y59" s="1037"/>
      <c r="Z59" s="1038" t="s">
        <v>652</v>
      </c>
      <c r="AA59" s="1033"/>
      <c r="AB59" s="1033"/>
      <c r="AC59" s="1033"/>
      <c r="AD59" s="1033"/>
      <c r="AE59" s="1033"/>
      <c r="AF59" s="1033"/>
      <c r="AG59" s="1033"/>
    </row>
    <row r="60" spans="1:33" ht="25.5" x14ac:dyDescent="0.25">
      <c r="B60" s="279" t="s">
        <v>646</v>
      </c>
      <c r="C60"/>
      <c r="D60"/>
      <c r="E60"/>
      <c r="F60" s="833" t="s">
        <v>637</v>
      </c>
      <c r="G60" s="828" t="s">
        <v>178</v>
      </c>
      <c r="H60" s="857" t="s">
        <v>34</v>
      </c>
      <c r="I60" s="844" t="s">
        <v>638</v>
      </c>
      <c r="J60" s="840" t="s">
        <v>189</v>
      </c>
      <c r="K60" s="841" t="s">
        <v>635</v>
      </c>
      <c r="L60" s="995" t="s">
        <v>82</v>
      </c>
      <c r="M60" s="995"/>
      <c r="N60" s="360" t="s">
        <v>158</v>
      </c>
    </row>
    <row r="61" spans="1:33" x14ac:dyDescent="0.2">
      <c r="A61" s="856" t="str">
        <f>IF(A44="","",A44)</f>
        <v>x</v>
      </c>
      <c r="B61" s="990" t="str">
        <f>IF(B44&lt;&gt;"",B44,"")</f>
        <v>Auraus soratiet etuauralla (ei alusterää) Alue  1</v>
      </c>
      <c r="C61" s="990"/>
      <c r="D61" s="990"/>
      <c r="E61" s="990"/>
      <c r="F61" s="830"/>
      <c r="G61" s="843">
        <f t="shared" ref="G61:G66" si="30">IF(F61&gt;0,F61,W44)</f>
        <v>2</v>
      </c>
      <c r="H61" s="280" t="s">
        <v>78</v>
      </c>
      <c r="I61" s="838">
        <v>0</v>
      </c>
      <c r="J61" s="834">
        <f>IF(I61&gt;0,I61,T44)</f>
        <v>5.601085372794536</v>
      </c>
      <c r="K61" s="318">
        <v>1</v>
      </c>
      <c r="L61" s="1000">
        <f>IF(G61&lt;&gt;"",G61*J61*K61,0)</f>
        <v>11.202170745589072</v>
      </c>
      <c r="M61" s="1001"/>
      <c r="N61" s="846">
        <f t="shared" ref="N61:N66" si="31">IF(J61&lt;&gt;"",L61/$L$78,0)</f>
        <v>0.65</v>
      </c>
    </row>
    <row r="62" spans="1:33" ht="12.75" customHeight="1" x14ac:dyDescent="0.2">
      <c r="A62" s="856" t="str">
        <f>IF(A45="","",A45)</f>
        <v/>
      </c>
      <c r="B62" s="990" t="str">
        <f t="shared" ref="B62:B74" si="32">IF(B45&lt;&gt;"",B45,"")</f>
        <v>Auraus soratiet etuauralla (+alusterä)</v>
      </c>
      <c r="C62" s="990"/>
      <c r="D62" s="990"/>
      <c r="E62" s="990"/>
      <c r="F62" s="830"/>
      <c r="G62" s="843" t="str">
        <f t="shared" si="30"/>
        <v/>
      </c>
      <c r="H62" s="280" t="s">
        <v>78</v>
      </c>
      <c r="I62" s="838">
        <v>0</v>
      </c>
      <c r="J62" s="834" t="str">
        <f>IF(I62&gt;0,I62,T45)</f>
        <v/>
      </c>
      <c r="K62" s="318">
        <v>1</v>
      </c>
      <c r="L62" s="1000">
        <f t="shared" ref="L62:L77" si="33">IF(G62&lt;&gt;"",G62*J62*K62,0)</f>
        <v>0</v>
      </c>
      <c r="M62" s="1001"/>
      <c r="N62" s="846">
        <f t="shared" si="31"/>
        <v>0</v>
      </c>
    </row>
    <row r="63" spans="1:33" x14ac:dyDescent="0.2">
      <c r="A63" s="856" t="str">
        <f t="shared" ref="A63:A73" si="34">IF(A46="","",A46)</f>
        <v>x</v>
      </c>
      <c r="B63" s="990" t="str">
        <f t="shared" si="32"/>
        <v>Auraus pintatiet (asfaltti) Alue 2</v>
      </c>
      <c r="C63" s="990"/>
      <c r="D63" s="990"/>
      <c r="E63" s="990"/>
      <c r="F63" s="830"/>
      <c r="G63" s="843">
        <f t="shared" si="30"/>
        <v>2</v>
      </c>
      <c r="H63" s="280" t="s">
        <v>78</v>
      </c>
      <c r="I63" s="838">
        <v>0</v>
      </c>
      <c r="J63" s="834">
        <f>IF(I63&gt;0,I63,T46)</f>
        <v>3.0159690468893658</v>
      </c>
      <c r="K63" s="318">
        <v>1</v>
      </c>
      <c r="L63" s="1000">
        <f t="shared" si="33"/>
        <v>6.0319380937787317</v>
      </c>
      <c r="M63" s="1001"/>
      <c r="N63" s="846">
        <f t="shared" si="31"/>
        <v>0.35000000000000003</v>
      </c>
    </row>
    <row r="64" spans="1:33" x14ac:dyDescent="0.2">
      <c r="A64" s="856" t="str">
        <f t="shared" si="34"/>
        <v/>
      </c>
      <c r="B64" s="990" t="str">
        <f t="shared" si="32"/>
        <v>Linkous km-taksalla</v>
      </c>
      <c r="C64" s="990"/>
      <c r="D64" s="990"/>
      <c r="E64" s="990"/>
      <c r="F64" s="830"/>
      <c r="G64" s="843" t="str">
        <f t="shared" si="30"/>
        <v/>
      </c>
      <c r="H64" s="280" t="s">
        <v>78</v>
      </c>
      <c r="I64" s="838">
        <v>0</v>
      </c>
      <c r="J64" s="834" t="str">
        <f>IF(I64&gt;0,I64,T47)</f>
        <v/>
      </c>
      <c r="K64" s="318">
        <v>1</v>
      </c>
      <c r="L64" s="1000">
        <f t="shared" si="33"/>
        <v>0</v>
      </c>
      <c r="M64" s="1001"/>
      <c r="N64" s="846">
        <f t="shared" si="31"/>
        <v>0</v>
      </c>
    </row>
    <row r="65" spans="1:14" x14ac:dyDescent="0.2">
      <c r="A65" s="856" t="str">
        <f t="shared" si="34"/>
        <v/>
      </c>
      <c r="B65" s="990" t="str">
        <f t="shared" si="32"/>
        <v/>
      </c>
      <c r="C65" s="990"/>
      <c r="D65" s="990"/>
      <c r="E65" s="990"/>
      <c r="F65" s="830"/>
      <c r="G65" s="843" t="str">
        <f t="shared" si="30"/>
        <v/>
      </c>
      <c r="H65" s="280" t="s">
        <v>78</v>
      </c>
      <c r="I65" s="838">
        <v>0</v>
      </c>
      <c r="J65" s="834" t="str">
        <f>IF(I65&gt;0,I65,T48)</f>
        <v/>
      </c>
      <c r="K65" s="318">
        <v>1</v>
      </c>
      <c r="L65" s="1000">
        <f t="shared" si="33"/>
        <v>0</v>
      </c>
      <c r="M65" s="1001"/>
      <c r="N65" s="846">
        <f t="shared" si="31"/>
        <v>0</v>
      </c>
    </row>
    <row r="66" spans="1:14" x14ac:dyDescent="0.2">
      <c r="A66" s="856" t="str">
        <f t="shared" si="34"/>
        <v/>
      </c>
      <c r="B66" s="990" t="str">
        <f t="shared" si="32"/>
        <v/>
      </c>
      <c r="C66" s="990"/>
      <c r="D66" s="990"/>
      <c r="E66" s="990"/>
      <c r="F66" s="830"/>
      <c r="G66" s="843" t="str">
        <f t="shared" si="30"/>
        <v/>
      </c>
      <c r="H66" s="280" t="s">
        <v>78</v>
      </c>
      <c r="I66" s="838">
        <v>0</v>
      </c>
      <c r="J66" s="834" t="str">
        <f t="shared" ref="J66:J74" si="35">IF(I66&gt;0,I66,T49)</f>
        <v/>
      </c>
      <c r="K66" s="318">
        <v>1</v>
      </c>
      <c r="L66" s="1000">
        <f t="shared" si="33"/>
        <v>0</v>
      </c>
      <c r="M66" s="1001"/>
      <c r="N66" s="846">
        <f t="shared" si="31"/>
        <v>0</v>
      </c>
    </row>
    <row r="67" spans="1:14" x14ac:dyDescent="0.2">
      <c r="A67" s="856" t="str">
        <f t="shared" si="34"/>
        <v/>
      </c>
      <c r="B67" s="990" t="str">
        <f t="shared" si="32"/>
        <v/>
      </c>
      <c r="C67" s="990"/>
      <c r="D67" s="990"/>
      <c r="E67" s="990"/>
      <c r="F67" s="830"/>
      <c r="G67" s="843" t="str">
        <f t="shared" ref="G67:G74" si="36">IF(F67&gt;0,F67,W50)</f>
        <v/>
      </c>
      <c r="H67" s="280" t="s">
        <v>78</v>
      </c>
      <c r="I67" s="838">
        <v>0</v>
      </c>
      <c r="J67" s="834" t="str">
        <f t="shared" si="35"/>
        <v/>
      </c>
      <c r="K67" s="318">
        <v>1</v>
      </c>
      <c r="L67" s="1000">
        <f t="shared" si="33"/>
        <v>0</v>
      </c>
      <c r="M67" s="1001"/>
      <c r="N67" s="846">
        <f t="shared" ref="N67:N72" si="37">IF(J67&lt;&gt;"",L67/$L$78,0)</f>
        <v>0</v>
      </c>
    </row>
    <row r="68" spans="1:14" x14ac:dyDescent="0.2">
      <c r="A68" s="856" t="str">
        <f t="shared" si="34"/>
        <v/>
      </c>
      <c r="B68" s="990" t="str">
        <f t="shared" si="32"/>
        <v/>
      </c>
      <c r="C68" s="990"/>
      <c r="D68" s="990"/>
      <c r="E68" s="990"/>
      <c r="F68" s="830"/>
      <c r="G68" s="843" t="str">
        <f t="shared" si="36"/>
        <v/>
      </c>
      <c r="H68" s="280" t="s">
        <v>78</v>
      </c>
      <c r="I68" s="838">
        <v>0</v>
      </c>
      <c r="J68" s="834" t="str">
        <f t="shared" si="35"/>
        <v/>
      </c>
      <c r="K68" s="318">
        <v>1</v>
      </c>
      <c r="L68" s="1000">
        <f t="shared" si="33"/>
        <v>0</v>
      </c>
      <c r="M68" s="1001"/>
      <c r="N68" s="846">
        <f t="shared" si="37"/>
        <v>0</v>
      </c>
    </row>
    <row r="69" spans="1:14" x14ac:dyDescent="0.2">
      <c r="A69" s="856" t="str">
        <f t="shared" si="34"/>
        <v/>
      </c>
      <c r="B69" s="990" t="str">
        <f t="shared" si="32"/>
        <v/>
      </c>
      <c r="C69" s="990"/>
      <c r="D69" s="990"/>
      <c r="E69" s="990"/>
      <c r="F69" s="830"/>
      <c r="G69" s="843" t="str">
        <f t="shared" si="36"/>
        <v/>
      </c>
      <c r="H69" s="280" t="s">
        <v>78</v>
      </c>
      <c r="I69" s="838">
        <v>0</v>
      </c>
      <c r="J69" s="834" t="str">
        <f t="shared" si="35"/>
        <v/>
      </c>
      <c r="K69" s="318">
        <v>1</v>
      </c>
      <c r="L69" s="1000">
        <f t="shared" si="33"/>
        <v>0</v>
      </c>
      <c r="M69" s="1001"/>
      <c r="N69" s="846">
        <f t="shared" si="37"/>
        <v>0</v>
      </c>
    </row>
    <row r="70" spans="1:14" x14ac:dyDescent="0.2">
      <c r="A70" s="856" t="str">
        <f t="shared" si="34"/>
        <v/>
      </c>
      <c r="B70" s="990" t="str">
        <f t="shared" si="32"/>
        <v/>
      </c>
      <c r="C70" s="990"/>
      <c r="D70" s="990"/>
      <c r="E70" s="990"/>
      <c r="F70" s="830"/>
      <c r="G70" s="843" t="str">
        <f t="shared" si="36"/>
        <v/>
      </c>
      <c r="H70" s="280" t="s">
        <v>78</v>
      </c>
      <c r="I70" s="838">
        <v>0</v>
      </c>
      <c r="J70" s="834" t="str">
        <f t="shared" si="35"/>
        <v/>
      </c>
      <c r="K70" s="318">
        <v>1</v>
      </c>
      <c r="L70" s="1000">
        <f t="shared" si="33"/>
        <v>0</v>
      </c>
      <c r="M70" s="1001"/>
      <c r="N70" s="846">
        <f t="shared" si="37"/>
        <v>0</v>
      </c>
    </row>
    <row r="71" spans="1:14" x14ac:dyDescent="0.2">
      <c r="A71" s="856" t="str">
        <f t="shared" si="34"/>
        <v/>
      </c>
      <c r="B71" s="990" t="str">
        <f t="shared" si="32"/>
        <v/>
      </c>
      <c r="C71" s="990"/>
      <c r="D71" s="990"/>
      <c r="E71" s="990"/>
      <c r="F71" s="830"/>
      <c r="G71" s="843" t="str">
        <f t="shared" si="36"/>
        <v/>
      </c>
      <c r="H71" s="280" t="s">
        <v>78</v>
      </c>
      <c r="I71" s="838">
        <v>0</v>
      </c>
      <c r="J71" s="834" t="str">
        <f t="shared" si="35"/>
        <v/>
      </c>
      <c r="K71" s="318">
        <v>1</v>
      </c>
      <c r="L71" s="1000">
        <f t="shared" si="33"/>
        <v>0</v>
      </c>
      <c r="M71" s="1001"/>
      <c r="N71" s="846">
        <f t="shared" si="37"/>
        <v>0</v>
      </c>
    </row>
    <row r="72" spans="1:14" x14ac:dyDescent="0.2">
      <c r="A72" s="856" t="str">
        <f t="shared" si="34"/>
        <v/>
      </c>
      <c r="B72" s="990" t="str">
        <f t="shared" si="32"/>
        <v/>
      </c>
      <c r="C72" s="990"/>
      <c r="D72" s="990"/>
      <c r="E72" s="990"/>
      <c r="F72" s="830"/>
      <c r="G72" s="843" t="str">
        <f t="shared" si="36"/>
        <v/>
      </c>
      <c r="H72" s="280" t="s">
        <v>78</v>
      </c>
      <c r="I72" s="838">
        <v>0</v>
      </c>
      <c r="J72" s="834" t="str">
        <f t="shared" si="35"/>
        <v/>
      </c>
      <c r="K72" s="318">
        <v>1</v>
      </c>
      <c r="L72" s="1000">
        <f t="shared" si="33"/>
        <v>0</v>
      </c>
      <c r="M72" s="1001"/>
      <c r="N72" s="846">
        <f t="shared" si="37"/>
        <v>0</v>
      </c>
    </row>
    <row r="73" spans="1:14" x14ac:dyDescent="0.2">
      <c r="A73" s="856" t="str">
        <f t="shared" si="34"/>
        <v/>
      </c>
      <c r="B73" s="990" t="str">
        <f t="shared" si="32"/>
        <v/>
      </c>
      <c r="C73" s="990"/>
      <c r="D73" s="990"/>
      <c r="E73" s="990"/>
      <c r="F73" s="830"/>
      <c r="G73" s="843" t="str">
        <f t="shared" si="36"/>
        <v/>
      </c>
      <c r="H73" s="280" t="s">
        <v>78</v>
      </c>
      <c r="I73" s="838">
        <v>0</v>
      </c>
      <c r="J73" s="834" t="str">
        <f t="shared" si="35"/>
        <v/>
      </c>
      <c r="K73" s="318">
        <v>1</v>
      </c>
      <c r="L73" s="1000">
        <f t="shared" si="33"/>
        <v>0</v>
      </c>
      <c r="M73" s="1001"/>
      <c r="N73" s="846">
        <f>IF(J73&lt;&gt;"",L73/$L$78,0)</f>
        <v>0</v>
      </c>
    </row>
    <row r="74" spans="1:14" x14ac:dyDescent="0.2">
      <c r="A74" s="856" t="str">
        <f>IF(A57="","",A57)</f>
        <v/>
      </c>
      <c r="B74" s="990" t="str">
        <f t="shared" si="32"/>
        <v/>
      </c>
      <c r="C74" s="990"/>
      <c r="D74" s="990"/>
      <c r="E74" s="990"/>
      <c r="F74" s="830"/>
      <c r="G74" s="843" t="str">
        <f t="shared" si="36"/>
        <v/>
      </c>
      <c r="H74" s="280" t="s">
        <v>78</v>
      </c>
      <c r="I74" s="838">
        <v>0</v>
      </c>
      <c r="J74" s="834" t="str">
        <f t="shared" si="35"/>
        <v/>
      </c>
      <c r="K74" s="318">
        <v>1</v>
      </c>
      <c r="L74" s="1000">
        <f t="shared" si="33"/>
        <v>0</v>
      </c>
      <c r="M74" s="1001"/>
      <c r="N74" s="846">
        <f>IF(J74&lt;&gt;"",L74/$L$78,0)</f>
        <v>0</v>
      </c>
    </row>
    <row r="75" spans="1:14" x14ac:dyDescent="0.2">
      <c r="A75" s="878"/>
      <c r="B75" s="1028" t="s">
        <v>658</v>
      </c>
      <c r="C75" s="1029"/>
      <c r="D75" s="1029"/>
      <c r="E75" s="1030"/>
      <c r="F75" s="879"/>
      <c r="G75" s="843"/>
      <c r="H75" s="280" t="s">
        <v>506</v>
      </c>
      <c r="I75" s="838">
        <v>0</v>
      </c>
      <c r="J75" s="834">
        <f>AA58</f>
        <v>0</v>
      </c>
      <c r="K75" s="318">
        <v>1</v>
      </c>
      <c r="L75" s="1000">
        <f>IF(J75&lt;&gt;"",J75*K75,0)</f>
        <v>0</v>
      </c>
      <c r="M75" s="1001"/>
      <c r="N75" s="846">
        <f>IF(J75&lt;&gt;"",L75/$L$78,0)</f>
        <v>0</v>
      </c>
    </row>
    <row r="76" spans="1:14" ht="15" x14ac:dyDescent="0.2">
      <c r="B76" s="963" t="s">
        <v>654</v>
      </c>
      <c r="C76" s="963"/>
      <c r="D76" s="963"/>
      <c r="E76" s="963"/>
      <c r="F76" s="964"/>
      <c r="G76" s="830">
        <v>0</v>
      </c>
      <c r="H76" s="280" t="s">
        <v>73</v>
      </c>
      <c r="I76" s="838">
        <v>0</v>
      </c>
      <c r="J76" s="834">
        <f>IF(I76&gt;0,I76,T58)</f>
        <v>4.3085272098419507</v>
      </c>
      <c r="K76" s="318">
        <v>1</v>
      </c>
      <c r="L76" s="1000">
        <f t="shared" si="33"/>
        <v>0</v>
      </c>
      <c r="M76" s="1001"/>
      <c r="N76" s="846">
        <f>IF(J76&lt;&gt;"",L76/$L$78,0)</f>
        <v>0</v>
      </c>
    </row>
    <row r="77" spans="1:14" ht="15" x14ac:dyDescent="0.2">
      <c r="B77" s="963" t="s">
        <v>620</v>
      </c>
      <c r="C77" s="963"/>
      <c r="D77" s="963"/>
      <c r="E77" s="963"/>
      <c r="F77" s="964"/>
      <c r="G77" s="830">
        <v>0</v>
      </c>
      <c r="H77" s="280" t="s">
        <v>228</v>
      </c>
      <c r="I77" s="838">
        <v>0</v>
      </c>
      <c r="J77" s="834">
        <f>IF(I77&gt;0,I77,T36)</f>
        <v>98.018994023904384</v>
      </c>
      <c r="K77" s="318">
        <v>1</v>
      </c>
      <c r="L77" s="1000">
        <f t="shared" si="33"/>
        <v>0</v>
      </c>
      <c r="M77" s="1001"/>
      <c r="N77" s="846">
        <f>IF(J77&lt;&gt;"",L77/$L$78,0)</f>
        <v>0</v>
      </c>
    </row>
    <row r="78" spans="1:14" ht="15.75" x14ac:dyDescent="0.25">
      <c r="B78" s="504" t="s">
        <v>201</v>
      </c>
      <c r="C78" s="503"/>
      <c r="D78" s="503"/>
      <c r="E78" s="503"/>
      <c r="F78" s="507"/>
      <c r="G78" s="505"/>
      <c r="H78" s="313"/>
      <c r="L78" s="1010">
        <f>SUM(L61:M77)</f>
        <v>17.234108839367803</v>
      </c>
      <c r="M78" s="1011"/>
      <c r="N78" s="846">
        <f>IF(J77&lt;&gt;"",L78/$L$78,0)</f>
        <v>1</v>
      </c>
    </row>
    <row r="79" spans="1:14" ht="15" x14ac:dyDescent="0.2">
      <c r="B79" s="962" t="s">
        <v>202</v>
      </c>
      <c r="C79" s="962"/>
      <c r="D79" s="962"/>
      <c r="E79" s="962"/>
      <c r="F79" s="586"/>
      <c r="G79" s="830">
        <v>1</v>
      </c>
      <c r="H79" s="280" t="s">
        <v>73</v>
      </c>
      <c r="I79" s="838">
        <v>0</v>
      </c>
      <c r="J79" s="834">
        <f>AC58</f>
        <v>7.6774592592592601</v>
      </c>
      <c r="K79" s="318">
        <v>1</v>
      </c>
      <c r="L79" s="1006">
        <f>J79*G79</f>
        <v>7.6774592592592601</v>
      </c>
      <c r="M79" s="1006"/>
      <c r="N79" s="846">
        <f>IF(J79&lt;&gt;"",L79/$L$78,0)</f>
        <v>0.44548049050970784</v>
      </c>
    </row>
    <row r="80" spans="1:14" ht="15" x14ac:dyDescent="0.2">
      <c r="B80" s="963" t="s">
        <v>626</v>
      </c>
      <c r="C80" s="963"/>
      <c r="D80" s="963"/>
      <c r="E80" s="963"/>
      <c r="F80" s="964"/>
      <c r="G80" s="830">
        <v>1</v>
      </c>
      <c r="H80" s="280" t="s">
        <v>73</v>
      </c>
      <c r="I80" s="999">
        <v>0</v>
      </c>
      <c r="J80" s="999"/>
      <c r="K80" s="318">
        <v>1</v>
      </c>
      <c r="L80" s="1006">
        <f>I80*G80</f>
        <v>0</v>
      </c>
      <c r="M80" s="1006"/>
      <c r="N80" s="846">
        <f>IF(I80&lt;&gt;"",L80/$L$78,0)</f>
        <v>0</v>
      </c>
    </row>
    <row r="81" spans="2:14" ht="15.75" x14ac:dyDescent="0.25">
      <c r="B81" s="279" t="s">
        <v>204</v>
      </c>
      <c r="C81"/>
      <c r="D81"/>
      <c r="E81"/>
      <c r="F81"/>
      <c r="G81" s="831"/>
      <c r="H81" s="832"/>
      <c r="I81" s="1002"/>
      <c r="J81" s="1003"/>
      <c r="L81" s="1007">
        <f>L78-L79-L80</f>
        <v>9.5566495801085427</v>
      </c>
      <c r="M81" s="1007"/>
      <c r="N81" s="846">
        <f>IF(L78&lt;&gt;"",L81/$L$78,0)</f>
        <v>0.55451950949029216</v>
      </c>
    </row>
    <row r="82" spans="2:14" ht="15" x14ac:dyDescent="0.2">
      <c r="B82" s="470" t="s">
        <v>205</v>
      </c>
      <c r="C82"/>
      <c r="D82"/>
      <c r="E82"/>
      <c r="F82" s="830"/>
      <c r="G82" s="843">
        <f>IF(F82&gt;0,F82,AVERAGE(U58:V58))</f>
        <v>0.18888888888888888</v>
      </c>
      <c r="H82" s="280" t="s">
        <v>228</v>
      </c>
      <c r="I82" s="845"/>
      <c r="J82" s="834">
        <f>IF(I82&gt;0,I82,U35)</f>
        <v>25</v>
      </c>
      <c r="K82" s="318">
        <v>1</v>
      </c>
      <c r="L82" s="1006">
        <f>G82*J82*K82</f>
        <v>4.7222222222222223</v>
      </c>
      <c r="M82" s="1006"/>
      <c r="N82" s="846">
        <f>IF(J82&lt;&gt;"",L82/$L$78,0)</f>
        <v>0.27400443308303069</v>
      </c>
    </row>
    <row r="83" spans="2:14" ht="15" x14ac:dyDescent="0.2">
      <c r="B83" s="470" t="s">
        <v>206</v>
      </c>
      <c r="C83"/>
      <c r="D83"/>
      <c r="E83"/>
      <c r="F83"/>
      <c r="G83" s="830">
        <v>1</v>
      </c>
      <c r="H83" s="280" t="s">
        <v>73</v>
      </c>
      <c r="I83" s="845"/>
      <c r="J83" s="834">
        <f>IF(I83&gt;0,I83,AD58)</f>
        <v>3.3565220599085146</v>
      </c>
      <c r="K83" s="318">
        <v>1</v>
      </c>
      <c r="L83" s="1006">
        <f>G83*J83*K83</f>
        <v>3.3565220599085146</v>
      </c>
      <c r="M83" s="1006"/>
      <c r="N83" s="846">
        <f>IF(J83&lt;&gt;"",L83/$L$78,0)</f>
        <v>0.19476040746831222</v>
      </c>
    </row>
    <row r="84" spans="2:14" ht="15" x14ac:dyDescent="0.2">
      <c r="B84" s="470" t="s">
        <v>113</v>
      </c>
      <c r="C84"/>
      <c r="D84"/>
      <c r="E84"/>
      <c r="F84"/>
      <c r="G84" s="830">
        <v>1</v>
      </c>
      <c r="H84" s="280" t="s">
        <v>73</v>
      </c>
      <c r="I84" s="999">
        <v>0</v>
      </c>
      <c r="J84" s="999"/>
      <c r="K84" s="318">
        <v>1</v>
      </c>
      <c r="L84" s="1008">
        <f>G84*I84</f>
        <v>0</v>
      </c>
      <c r="M84" s="1009"/>
      <c r="N84" s="846">
        <f>IF(G84&lt;&gt;"",L84/$L$78,0)</f>
        <v>0</v>
      </c>
    </row>
    <row r="85" spans="2:14" ht="15" x14ac:dyDescent="0.2">
      <c r="B85" s="470" t="s">
        <v>207</v>
      </c>
      <c r="C85"/>
      <c r="D85"/>
      <c r="E85"/>
      <c r="F85"/>
      <c r="G85" s="454"/>
      <c r="H85" s="313"/>
      <c r="L85" s="1007">
        <f>L81-L82-L83-L84</f>
        <v>1.4779052979778058</v>
      </c>
      <c r="M85" s="1007"/>
      <c r="N85" s="846">
        <f>IF(L81&lt;&gt;"",L85/$L$78,0)</f>
        <v>8.5754668938949299E-2</v>
      </c>
    </row>
    <row r="86" spans="2:14" ht="15" x14ac:dyDescent="0.2">
      <c r="B86" s="470" t="s">
        <v>208</v>
      </c>
      <c r="C86"/>
      <c r="D86"/>
      <c r="E86"/>
      <c r="F86"/>
      <c r="G86" s="454"/>
      <c r="H86" s="427">
        <v>0.2</v>
      </c>
      <c r="L86" s="1006">
        <f>L85*H86</f>
        <v>0.29558105959556119</v>
      </c>
      <c r="M86" s="1006"/>
      <c r="N86" s="846">
        <f>IF(L85&lt;&gt;"",L86/$L$78,0)</f>
        <v>1.7150933787789865E-2</v>
      </c>
    </row>
    <row r="87" spans="2:14" ht="15.75" x14ac:dyDescent="0.25">
      <c r="B87" s="279" t="s">
        <v>209</v>
      </c>
      <c r="C87"/>
      <c r="D87"/>
      <c r="E87"/>
      <c r="L87" s="1007">
        <f>L85-L86</f>
        <v>1.1823242383822445</v>
      </c>
      <c r="M87" s="1007"/>
      <c r="N87" s="846">
        <f>IF(L85&lt;&gt;"",L87/$L$78,0)</f>
        <v>6.8603735151159445E-2</v>
      </c>
    </row>
    <row r="89" spans="2:14" ht="20.25" x14ac:dyDescent="0.3">
      <c r="B89" s="820" t="s">
        <v>655</v>
      </c>
    </row>
    <row r="90" spans="2:14" ht="18" x14ac:dyDescent="0.25">
      <c r="B90" s="582" t="s">
        <v>138</v>
      </c>
    </row>
    <row r="92" spans="2:14" x14ac:dyDescent="0.2">
      <c r="B92" s="4" t="s">
        <v>139</v>
      </c>
      <c r="C92" s="398" t="str">
        <f>Ohjeet!C2</f>
        <v>2024.12</v>
      </c>
    </row>
    <row r="97" spans="2:3" x14ac:dyDescent="0.2">
      <c r="B97" s="160"/>
    </row>
    <row r="98" spans="2:3" x14ac:dyDescent="0.2">
      <c r="C98" s="829"/>
    </row>
  </sheetData>
  <sheetProtection algorithmName="SHA-512" hashValue="yZ5aqetyJTv7+Tw5BpKUGkhkQWIFjVjnXlbbqLClQOJ23/XhAoWxLS6fmhzlMxyFLZ6QjQ66f9NH8lLTx7RDFw==" saltValue="mXQ0ew0Qm1ppjlBhGM+wEg==" spinCount="100000" sheet="1" formatCells="0" formatColumns="0" formatRows="0"/>
  <mergeCells count="119">
    <mergeCell ref="B75:E75"/>
    <mergeCell ref="Z42:Z43"/>
    <mergeCell ref="AA42:AA43"/>
    <mergeCell ref="AB42:AB43"/>
    <mergeCell ref="U59:Y59"/>
    <mergeCell ref="Z59:AG59"/>
    <mergeCell ref="L75:M75"/>
    <mergeCell ref="Z40:AB40"/>
    <mergeCell ref="B40:E40"/>
    <mergeCell ref="M40:Q40"/>
    <mergeCell ref="R40:T40"/>
    <mergeCell ref="U40:V40"/>
    <mergeCell ref="X40:Y40"/>
    <mergeCell ref="U41:V41"/>
    <mergeCell ref="X41:Y41"/>
    <mergeCell ref="U42:U43"/>
    <mergeCell ref="V42:V43"/>
    <mergeCell ref="W42:W43"/>
    <mergeCell ref="X42:X43"/>
    <mergeCell ref="Y42:Y43"/>
    <mergeCell ref="H41:H43"/>
    <mergeCell ref="G41:G42"/>
    <mergeCell ref="B73:E73"/>
    <mergeCell ref="B68:E68"/>
    <mergeCell ref="L85:M85"/>
    <mergeCell ref="L86:M86"/>
    <mergeCell ref="L87:M87"/>
    <mergeCell ref="R42:R43"/>
    <mergeCell ref="S42:S43"/>
    <mergeCell ref="L41:L43"/>
    <mergeCell ref="L76:M76"/>
    <mergeCell ref="L77:M77"/>
    <mergeCell ref="R59:T59"/>
    <mergeCell ref="L67:M67"/>
    <mergeCell ref="L68:M68"/>
    <mergeCell ref="L69:M69"/>
    <mergeCell ref="L70:M70"/>
    <mergeCell ref="L71:M71"/>
    <mergeCell ref="L72:M72"/>
    <mergeCell ref="L74:M74"/>
    <mergeCell ref="R41:T41"/>
    <mergeCell ref="M41:M43"/>
    <mergeCell ref="N41:N43"/>
    <mergeCell ref="O41:O43"/>
    <mergeCell ref="P41:P43"/>
    <mergeCell ref="T42:T43"/>
    <mergeCell ref="I81:J81"/>
    <mergeCell ref="I84:J84"/>
    <mergeCell ref="Q41:Q43"/>
    <mergeCell ref="L79:M79"/>
    <mergeCell ref="L80:M80"/>
    <mergeCell ref="L81:M81"/>
    <mergeCell ref="L82:M82"/>
    <mergeCell ref="L83:M83"/>
    <mergeCell ref="L84:M84"/>
    <mergeCell ref="L78:M78"/>
    <mergeCell ref="L65:M65"/>
    <mergeCell ref="L66:M66"/>
    <mergeCell ref="L73:M73"/>
    <mergeCell ref="I41:I43"/>
    <mergeCell ref="J41:J43"/>
    <mergeCell ref="K41:K42"/>
    <mergeCell ref="B80:F80"/>
    <mergeCell ref="G59:Q59"/>
    <mergeCell ref="I80:J80"/>
    <mergeCell ref="B76:F76"/>
    <mergeCell ref="B50:C50"/>
    <mergeCell ref="B56:C56"/>
    <mergeCell ref="B57:C57"/>
    <mergeCell ref="B77:F77"/>
    <mergeCell ref="B79:E79"/>
    <mergeCell ref="L60:M60"/>
    <mergeCell ref="L61:M61"/>
    <mergeCell ref="L62:M62"/>
    <mergeCell ref="L63:M63"/>
    <mergeCell ref="L64:M64"/>
    <mergeCell ref="B61:E61"/>
    <mergeCell ref="B62:E62"/>
    <mergeCell ref="B51:C51"/>
    <mergeCell ref="B52:C52"/>
    <mergeCell ref="B53:C53"/>
    <mergeCell ref="B54:C54"/>
    <mergeCell ref="B55:C55"/>
    <mergeCell ref="B67:E67"/>
    <mergeCell ref="B65:E65"/>
    <mergeCell ref="B66:E66"/>
    <mergeCell ref="E1:G1"/>
    <mergeCell ref="H1:J1"/>
    <mergeCell ref="L1:N1"/>
    <mergeCell ref="P1:R1"/>
    <mergeCell ref="E3:F3"/>
    <mergeCell ref="I3:J3"/>
    <mergeCell ref="M3:N3"/>
    <mergeCell ref="Q3:R3"/>
    <mergeCell ref="M2:N2"/>
    <mergeCell ref="Q2:R2"/>
    <mergeCell ref="I2:J2"/>
    <mergeCell ref="C19:E19"/>
    <mergeCell ref="D41:F41"/>
    <mergeCell ref="D43:E43"/>
    <mergeCell ref="B69:E69"/>
    <mergeCell ref="B70:E70"/>
    <mergeCell ref="B71:E71"/>
    <mergeCell ref="B72:E72"/>
    <mergeCell ref="B74:E74"/>
    <mergeCell ref="A2:B2"/>
    <mergeCell ref="E2:F2"/>
    <mergeCell ref="C29:E29"/>
    <mergeCell ref="C28:E28"/>
    <mergeCell ref="B44:C44"/>
    <mergeCell ref="B63:E63"/>
    <mergeCell ref="B64:E64"/>
    <mergeCell ref="A41:A43"/>
    <mergeCell ref="B41:C43"/>
    <mergeCell ref="B45:C45"/>
    <mergeCell ref="B46:C46"/>
    <mergeCell ref="B47:C47"/>
    <mergeCell ref="B48:C48"/>
    <mergeCell ref="B49:C49"/>
  </mergeCells>
  <conditionalFormatting sqref="I61:I77">
    <cfRule type="cellIs" dxfId="36" priority="4" operator="greaterThan">
      <formula>0</formula>
    </cfRule>
  </conditionalFormatting>
  <conditionalFormatting sqref="I79">
    <cfRule type="cellIs" dxfId="35" priority="1" operator="greaterThan">
      <formula>0</formula>
    </cfRule>
  </conditionalFormatting>
  <conditionalFormatting sqref="L44:L57">
    <cfRule type="cellIs" dxfId="34" priority="5" operator="greaterThan">
      <formula>0</formula>
    </cfRule>
  </conditionalFormatting>
  <conditionalFormatting sqref="N44:N57">
    <cfRule type="cellIs" dxfId="33" priority="3" operator="greaterThan">
      <formula>0</formula>
    </cfRule>
  </conditionalFormatting>
  <conditionalFormatting sqref="P44:P57">
    <cfRule type="cellIs" dxfId="32" priority="2" operator="greaterThan">
      <formula>0</formula>
    </cfRule>
  </conditionalFormatting>
  <hyperlinks>
    <hyperlink ref="B89" location="'Koneketjujen ketjutus Tieketju'!A1" display="Siirry koneketjujen ketjuun urakan laskentaan tai tekemään vertailua" xr:uid="{F383ECB2-EE29-43E5-A8F0-D04435D44935}"/>
    <hyperlink ref="J41:J43" location="'Työpäivien lkm'!A1" display="Arvaus ajokerroista kaudella (ei pakollinen, oletus 1" xr:uid="{5DE1B1C0-43A3-41DA-A964-CD9D92223253}"/>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4423761-B85F-4C55-B88B-2A693BC83731}">
          <x14:formula1>
            <xm:f>Laskentayksikot!$E$7:$E$8</xm:f>
          </x14:formula1>
          <xm:sqref>D2</xm:sqref>
        </x14:dataValidation>
        <x14:dataValidation type="list" allowBlank="1" showInputMessage="1" showErrorMessage="1" xr:uid="{CCD706F8-A631-4487-AF8F-322F24E12F27}">
          <x14:formula1>
            <xm:f>Laskentayksikot!$E$2:$E$3</xm:f>
          </x14:formula1>
          <xm:sqref>E2:F2 I2:J2 M2:N2 Q2:R2</xm:sqref>
        </x14:dataValidation>
        <x14:dataValidation type="list" allowBlank="1" showInputMessage="1" showErrorMessage="1" xr:uid="{B454E50C-2E72-45FC-814B-4D55FCD9EF01}">
          <x14:formula1>
            <xm:f>Ohjeet!$A$63:$A$68</xm:f>
          </x14:formula1>
          <xm:sqref>V25</xm:sqref>
        </x14:dataValidation>
        <x14:dataValidation type="list" allowBlank="1" showInputMessage="1" showErrorMessage="1" xr:uid="{4CBEE367-83CE-43B9-9DE3-B238F87948AB}">
          <x14:formula1>
            <xm:f>Laskentayksikot!$B$2:$B$14</xm:f>
          </x14:formula1>
          <xm:sqref>H82:H84 H79:H80 H61:H77</xm:sqref>
        </x14:dataValidation>
        <x14:dataValidation type="list" allowBlank="1" showInputMessage="1" showErrorMessage="1" xr:uid="{6468F47E-E005-4111-ADE8-C2C157C2DE5A}">
          <x14:formula1>
            <xm:f>Laskentayksikot!$E$15:$E$16</xm:f>
          </x14:formula1>
          <xm:sqref>A44:A57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A9DA-7363-4CA4-947C-C0A0A9AC9489}">
  <sheetPr>
    <pageSetUpPr fitToPage="1"/>
  </sheetPr>
  <dimension ref="A1:AG92"/>
  <sheetViews>
    <sheetView zoomScale="90" zoomScaleNormal="90" workbookViewId="0">
      <selection activeCell="L45" sqref="L45"/>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3" width="10.140625" style="4" customWidth="1"/>
    <col min="14" max="14" width="13.85546875" style="4" customWidth="1"/>
    <col min="15" max="15" width="12.42578125" style="4" customWidth="1"/>
    <col min="16" max="16" width="8.42578125" style="4" customWidth="1"/>
    <col min="17" max="17" width="9.140625" style="4"/>
    <col min="18" max="18" width="14.140625" style="4" customWidth="1"/>
    <col min="19" max="19" width="13" style="4" customWidth="1"/>
    <col min="20" max="20" width="16.5703125" style="4" customWidth="1"/>
    <col min="21" max="21" width="12.7109375" style="4" customWidth="1"/>
    <col min="22" max="22" width="15.42578125" style="4" customWidth="1"/>
    <col min="23" max="23" width="12" style="4" customWidth="1"/>
    <col min="24" max="24" width="12.28515625" style="4" customWidth="1"/>
    <col min="25" max="25" width="13.85546875" style="4" customWidth="1"/>
    <col min="26" max="26" width="20.28515625" style="4" customWidth="1"/>
    <col min="27" max="27" width="13.7109375" style="4" customWidth="1"/>
    <col min="28" max="28" width="13.85546875" style="4" customWidth="1"/>
    <col min="29" max="29" width="12.5703125" style="4" customWidth="1"/>
    <col min="30" max="30" width="13.140625" style="4" customWidth="1"/>
    <col min="31" max="31" width="15.85546875" style="4" customWidth="1"/>
    <col min="32" max="32" width="13.7109375" style="4" customWidth="1"/>
    <col min="33" max="33" width="15.42578125" style="4" customWidth="1"/>
    <col min="34" max="16384" width="9.140625" style="4"/>
  </cols>
  <sheetData>
    <row r="1" spans="1:29" ht="39" thickBot="1" x14ac:dyDescent="0.25">
      <c r="A1" s="6" t="s">
        <v>79</v>
      </c>
      <c r="C1" s="6"/>
      <c r="E1" s="917" t="s">
        <v>80</v>
      </c>
      <c r="F1" s="917"/>
      <c r="G1" s="917"/>
      <c r="H1" s="918" t="s">
        <v>81</v>
      </c>
      <c r="I1" s="918"/>
      <c r="J1" s="918"/>
      <c r="L1" s="918" t="s">
        <v>81</v>
      </c>
      <c r="M1" s="918"/>
      <c r="N1" s="918"/>
      <c r="P1" s="918" t="s">
        <v>81</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603</v>
      </c>
      <c r="B2" s="912"/>
      <c r="C2" s="4" t="s">
        <v>90</v>
      </c>
      <c r="D2" s="70" t="s">
        <v>69</v>
      </c>
      <c r="E2" s="913" t="s">
        <v>60</v>
      </c>
      <c r="F2" s="914"/>
      <c r="G2" s="72"/>
      <c r="H2" s="402"/>
      <c r="I2" s="913" t="s">
        <v>60</v>
      </c>
      <c r="J2" s="914"/>
      <c r="K2" s="71"/>
      <c r="L2" s="402"/>
      <c r="M2" s="913" t="s">
        <v>62</v>
      </c>
      <c r="N2" s="914"/>
      <c r="O2" s="71"/>
      <c r="P2" s="402"/>
      <c r="Q2" s="913" t="s">
        <v>62</v>
      </c>
      <c r="R2" s="914"/>
      <c r="S2" s="71"/>
    </row>
    <row r="3" spans="1:29" ht="13.5" thickBot="1" x14ac:dyDescent="0.25">
      <c r="C3" s="10" t="s">
        <v>91</v>
      </c>
      <c r="E3" s="921" t="s">
        <v>604</v>
      </c>
      <c r="F3" s="922"/>
      <c r="H3" s="403"/>
      <c r="I3" s="923" t="s">
        <v>656</v>
      </c>
      <c r="J3" s="916"/>
      <c r="K3" s="73"/>
      <c r="L3" s="403"/>
      <c r="M3" s="923" t="s">
        <v>93</v>
      </c>
      <c r="N3" s="916"/>
      <c r="O3" s="73"/>
      <c r="P3" s="403"/>
      <c r="Q3" s="923" t="s">
        <v>94</v>
      </c>
      <c r="R3" s="916"/>
      <c r="S3" s="73"/>
      <c r="T3" s="6" t="str">
        <f>"Kytketty koneet: "&amp;IF(E2="k",E3&amp;" ","")&amp;IF(I2="k",I3&amp;" ","")&amp;IF(M2="k",M3&amp;" ","")&amp;(IF(Q2="k",Q3&amp;" ",""))</f>
        <v xml:space="preserve">Kytketty koneet: Valtra tiesarja Tieharjauslaite </v>
      </c>
    </row>
    <row r="4" spans="1:29" x14ac:dyDescent="0.2">
      <c r="A4" s="4" t="s">
        <v>95</v>
      </c>
      <c r="E4" s="4" t="s">
        <v>96</v>
      </c>
      <c r="F4" s="75">
        <v>6</v>
      </c>
      <c r="H4" s="119"/>
      <c r="I4" s="4" t="s">
        <v>96</v>
      </c>
      <c r="J4" s="75">
        <v>8</v>
      </c>
      <c r="K4" s="73"/>
      <c r="L4" s="119"/>
      <c r="M4" s="4" t="s">
        <v>96</v>
      </c>
      <c r="N4" s="75">
        <v>8</v>
      </c>
      <c r="O4" s="73"/>
      <c r="P4" s="119"/>
      <c r="Q4" s="4" t="s">
        <v>96</v>
      </c>
      <c r="R4" s="75">
        <v>8</v>
      </c>
      <c r="S4" s="73"/>
      <c r="T4" s="160" t="s">
        <v>97</v>
      </c>
    </row>
    <row r="5" spans="1:29" ht="13.5" thickBot="1" x14ac:dyDescent="0.25">
      <c r="A5" s="4" t="s">
        <v>98</v>
      </c>
      <c r="E5" s="4" t="s">
        <v>99</v>
      </c>
      <c r="F5" s="640">
        <v>1600</v>
      </c>
      <c r="H5" s="119"/>
      <c r="I5" s="4" t="s">
        <v>99</v>
      </c>
      <c r="J5" s="640">
        <v>120</v>
      </c>
      <c r="K5" s="73"/>
      <c r="L5" s="119"/>
      <c r="M5" s="4" t="s">
        <v>99</v>
      </c>
      <c r="N5" s="640">
        <v>250</v>
      </c>
      <c r="O5" s="73"/>
      <c r="P5" s="119"/>
      <c r="Q5" s="4" t="s">
        <v>99</v>
      </c>
      <c r="R5" s="640">
        <v>105</v>
      </c>
      <c r="S5" s="73"/>
      <c r="T5" s="641">
        <f>IF($E$2="k",(F5),0)+IF($I$2="k",(J5),0)+IF($M$2="k",(N5),0)+IF($Q$2="k",(R5),0)</f>
        <v>1720</v>
      </c>
    </row>
    <row r="6" spans="1:29" ht="13.5" thickBot="1" x14ac:dyDescent="0.25">
      <c r="A6" s="160" t="s">
        <v>545</v>
      </c>
      <c r="E6" s="795">
        <v>0.85</v>
      </c>
      <c r="F6" s="794">
        <f>E6*F5</f>
        <v>1360</v>
      </c>
      <c r="G6" s="793"/>
      <c r="I6" s="795">
        <v>0.9</v>
      </c>
      <c r="J6" s="794">
        <f>I6*J5</f>
        <v>108</v>
      </c>
      <c r="K6" s="73"/>
      <c r="M6" s="795">
        <f>I6</f>
        <v>0.9</v>
      </c>
      <c r="N6" s="794">
        <f>M6*N5</f>
        <v>225</v>
      </c>
      <c r="O6" s="73"/>
      <c r="Q6" s="795">
        <f>M6</f>
        <v>0.9</v>
      </c>
      <c r="R6" s="794">
        <f>Q6*R5</f>
        <v>94.5</v>
      </c>
      <c r="S6" s="73"/>
      <c r="T6" s="641">
        <f>IF($E$2="k",(F6),0)+IF($I$2="k",(J6),0)+IF($M$2="k",(N6),0)+IF($Q$2="k",(R6),0)</f>
        <v>1468</v>
      </c>
    </row>
    <row r="7" spans="1:29" x14ac:dyDescent="0.2">
      <c r="A7" s="4" t="s">
        <v>100</v>
      </c>
      <c r="F7" s="77">
        <v>120000</v>
      </c>
      <c r="H7" s="119"/>
      <c r="J7" s="77">
        <v>20000</v>
      </c>
      <c r="K7" s="73"/>
      <c r="L7" s="119"/>
      <c r="N7" s="77">
        <v>25000</v>
      </c>
      <c r="O7" s="73"/>
      <c r="P7" s="119"/>
      <c r="R7" s="77">
        <v>18000</v>
      </c>
      <c r="S7" s="73"/>
    </row>
    <row r="8" spans="1:29" x14ac:dyDescent="0.2">
      <c r="A8" s="4" t="s">
        <v>101</v>
      </c>
      <c r="E8" s="596">
        <v>0.255</v>
      </c>
      <c r="F8" s="222">
        <f>F7/(100%+E8)*E8</f>
        <v>24382.470119521913</v>
      </c>
      <c r="G8" s="7"/>
      <c r="H8" s="404"/>
      <c r="I8" s="596">
        <f>E8</f>
        <v>0.255</v>
      </c>
      <c r="J8" s="222">
        <f>J7/(100%+I8)*I8</f>
        <v>4063.745019920319</v>
      </c>
      <c r="K8" s="79"/>
      <c r="L8" s="404"/>
      <c r="M8" s="596">
        <f>I8</f>
        <v>0.255</v>
      </c>
      <c r="N8" s="222">
        <f>N7/(100%+M8)*M8</f>
        <v>5079.6812749003984</v>
      </c>
      <c r="O8" s="79"/>
      <c r="P8" s="404"/>
      <c r="Q8" s="596">
        <f>M8</f>
        <v>0.255</v>
      </c>
      <c r="R8" s="222">
        <f>R7/(100%+Q8)*Q8</f>
        <v>3657.370517928287</v>
      </c>
      <c r="S8" s="79"/>
    </row>
    <row r="9" spans="1:29" x14ac:dyDescent="0.2">
      <c r="A9" s="4" t="s">
        <v>102</v>
      </c>
      <c r="F9" s="80">
        <f>F7-F8</f>
        <v>95617.52988047809</v>
      </c>
      <c r="H9" s="119"/>
      <c r="J9" s="80">
        <f>J7-J8</f>
        <v>15936.254980079681</v>
      </c>
      <c r="K9" s="73"/>
      <c r="L9" s="119"/>
      <c r="N9" s="80">
        <f>N7-N8</f>
        <v>19920.318725099602</v>
      </c>
      <c r="O9" s="73"/>
      <c r="P9" s="119"/>
      <c r="R9" s="80">
        <f>R7-R8</f>
        <v>14342.629482071712</v>
      </c>
      <c r="S9" s="73"/>
    </row>
    <row r="10" spans="1:29" x14ac:dyDescent="0.2">
      <c r="A10" s="4" t="s">
        <v>103</v>
      </c>
      <c r="E10" s="225">
        <v>0.5</v>
      </c>
      <c r="F10" s="222">
        <f>E10*F9</f>
        <v>47808.764940239045</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47808.764940239045</v>
      </c>
      <c r="H11" s="119"/>
      <c r="J11" s="81">
        <f>J9-J10</f>
        <v>15936.254980079681</v>
      </c>
      <c r="K11" s="73"/>
      <c r="L11" s="119"/>
      <c r="N11" s="81">
        <f>N9-N10</f>
        <v>19920.318725099602</v>
      </c>
      <c r="O11" s="73"/>
      <c r="P11" s="119"/>
      <c r="R11" s="81">
        <f>R9-R10</f>
        <v>14342.629482071712</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10358.565737051793</v>
      </c>
      <c r="H13" s="119"/>
      <c r="I13" s="226">
        <v>0.05</v>
      </c>
      <c r="J13" s="222">
        <f>IF(I2="k",IF($D$2="A",ABS(PMT(I13,J4,-J9,I10*J9,0)),SUM(J14:J15)),0)</f>
        <v>2390.4382470119522</v>
      </c>
      <c r="K13" s="73"/>
      <c r="L13" s="119"/>
      <c r="M13" s="226">
        <v>0.05</v>
      </c>
      <c r="N13" s="222">
        <f>IF(M2="k",IF($D$2="A",ABS(PMT(M13,N4,-N9,M10*N9,0)),SUM(N14:N15)),0)</f>
        <v>0</v>
      </c>
      <c r="O13" s="73"/>
      <c r="P13" s="119"/>
      <c r="Q13" s="226">
        <v>0.05</v>
      </c>
      <c r="R13" s="222">
        <f>IF(Q2="k",IF($D$2="A",ABS(PMT(Q13,R4,-R9,Q10*R9,0)),SUM(R14:R15)),0)</f>
        <v>0</v>
      </c>
      <c r="S13" s="73"/>
      <c r="T13" s="36">
        <f>SUM(F13,J13,N13,R13)</f>
        <v>12749.003984063746</v>
      </c>
    </row>
    <row r="14" spans="1:29" x14ac:dyDescent="0.2">
      <c r="B14" s="30" t="s">
        <v>109</v>
      </c>
      <c r="F14" s="84">
        <f>IF(E2="k",IF(D2="A",E13*F9,F9/2*E13),0)</f>
        <v>2390.4382470119522</v>
      </c>
      <c r="G14" s="10"/>
      <c r="H14" s="405"/>
      <c r="J14" s="84">
        <f>IF(I2="k",IF($D$2="A",I13*J9,J9/2*I13),0)</f>
        <v>398.40637450199205</v>
      </c>
      <c r="K14" s="85"/>
      <c r="L14" s="405"/>
      <c r="N14" s="84">
        <f>IF(M2="k",IF($D$2="A",M13*N9,N9/2*M13),0)</f>
        <v>0</v>
      </c>
      <c r="O14" s="85"/>
      <c r="P14" s="405"/>
      <c r="R14" s="84">
        <f>IF(Q2="k",IF($D$2="A",Q13*R9,R9/2*Q13),0)</f>
        <v>0</v>
      </c>
      <c r="S14" s="85"/>
      <c r="T14" s="36">
        <f t="shared" ref="T14:T25" si="0">SUM(F14,J14,N14,R14)</f>
        <v>2788.8446215139443</v>
      </c>
    </row>
    <row r="15" spans="1:29" ht="13.5" thickBot="1" x14ac:dyDescent="0.25">
      <c r="B15" s="32" t="s">
        <v>110</v>
      </c>
      <c r="C15" s="33"/>
      <c r="D15" s="33"/>
      <c r="E15" s="33"/>
      <c r="F15" s="86">
        <f>IF(E2="k",IF(D2="A",F13-F14,F11/F4),0)</f>
        <v>7968.1274900398412</v>
      </c>
      <c r="H15" s="119"/>
      <c r="J15" s="86">
        <f>IF(I2="k",IF($D$2="A",J13-J14,J11/J4),0)</f>
        <v>1992.0318725099601</v>
      </c>
      <c r="K15" s="73"/>
      <c r="L15" s="119"/>
      <c r="N15" s="86">
        <f>IF(M2="k",IF($D$2="A",N13-N14,N11/N4),0)</f>
        <v>0</v>
      </c>
      <c r="O15" s="73"/>
      <c r="P15" s="119"/>
      <c r="R15" s="86">
        <f>IF(Q2="k",IF($D$2="A",R13-R14,R11/R4),0)</f>
        <v>0</v>
      </c>
      <c r="S15" s="73"/>
      <c r="T15" s="36">
        <f t="shared" si="0"/>
        <v>9960.1593625498008</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1000</v>
      </c>
      <c r="G18" s="10"/>
      <c r="H18" s="405"/>
      <c r="J18" s="77">
        <v>0</v>
      </c>
      <c r="K18" s="85"/>
      <c r="L18" s="405"/>
      <c r="N18" s="77">
        <v>0</v>
      </c>
      <c r="O18" s="85"/>
      <c r="P18" s="405"/>
      <c r="R18" s="77">
        <v>0</v>
      </c>
      <c r="S18" s="85"/>
      <c r="T18" s="8">
        <f>IF($E$2="k",F18)+IF($I$2="k",J18)+IF($M$2="k",N18)+IF($Q$2="k",R18)</f>
        <v>1000</v>
      </c>
    </row>
    <row r="19" spans="1:29" x14ac:dyDescent="0.2">
      <c r="B19" s="35" t="s">
        <v>113</v>
      </c>
      <c r="C19" s="986" t="s">
        <v>691</v>
      </c>
      <c r="D19" s="986"/>
      <c r="E19" s="986"/>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286.85258964143429</v>
      </c>
      <c r="G21" s="10"/>
      <c r="H21" s="405"/>
      <c r="I21" s="226">
        <v>3.0000000000000001E-3</v>
      </c>
      <c r="J21" s="290">
        <f>IF(I2="k",I21*J9,0)</f>
        <v>47.808764940239044</v>
      </c>
      <c r="K21" s="85"/>
      <c r="L21" s="405"/>
      <c r="M21" s="226">
        <v>3.0000000000000001E-3</v>
      </c>
      <c r="N21" s="290">
        <f>IF(M2="k",M21*N9,0)</f>
        <v>0</v>
      </c>
      <c r="O21" s="85"/>
      <c r="P21" s="405"/>
      <c r="Q21" s="226">
        <v>3.0000000000000001E-3</v>
      </c>
      <c r="R21" s="19">
        <f>IF(Q2="k",Q21*R9,0)</f>
        <v>0</v>
      </c>
      <c r="S21" s="85"/>
      <c r="T21" s="36">
        <f t="shared" si="0"/>
        <v>334.66135458167332</v>
      </c>
    </row>
    <row r="22" spans="1:29" ht="13.5" thickBot="1" x14ac:dyDescent="0.25">
      <c r="B22" s="50" t="s">
        <v>115</v>
      </c>
      <c r="C22" s="51"/>
      <c r="D22" s="51"/>
      <c r="E22" s="52"/>
      <c r="F22" s="91">
        <f>IF(E2="k",SUM(F14:F21),0)</f>
        <v>11885.418326693227</v>
      </c>
      <c r="G22" s="209">
        <f>IF(E$6=0%,F22/F$5,F22/F$6)</f>
        <v>8.7392781813920788</v>
      </c>
      <c r="H22" s="406"/>
      <c r="J22" s="91">
        <f>IF(I2="k",SUM(J14:J21),0)</f>
        <v>2438.2470119521913</v>
      </c>
      <c r="K22" s="209">
        <f>IF(I$6=0%,J22/J$5,J22/J$6)</f>
        <v>22.57636122177955</v>
      </c>
      <c r="L22" s="406"/>
      <c r="N22" s="91">
        <f>IF(M2="k",SUM(N14:N21),0)</f>
        <v>0</v>
      </c>
      <c r="O22" s="209">
        <f>IF(M$6=0%,N22/N$5,N22/N$6)</f>
        <v>0</v>
      </c>
      <c r="P22" s="406"/>
      <c r="R22" s="93">
        <f>IF(Q2="k",SUM(R14:R21),0)</f>
        <v>0</v>
      </c>
      <c r="S22" s="209">
        <f>IF(Q$6=0%,R22/R$5,R22/R$6)</f>
        <v>0</v>
      </c>
      <c r="T22" s="94">
        <f t="shared" si="0"/>
        <v>14323.665338645418</v>
      </c>
      <c r="U22" s="425">
        <f>SUM(G22,K22,O22,S22)</f>
        <v>31.31563940317163</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2500</v>
      </c>
      <c r="G24" s="47"/>
      <c r="H24" s="409"/>
      <c r="J24" s="77">
        <v>1000</v>
      </c>
      <c r="K24" s="99"/>
      <c r="L24" s="409"/>
      <c r="N24" s="77">
        <v>800</v>
      </c>
      <c r="O24" s="99"/>
      <c r="P24" s="409"/>
      <c r="R24" s="77">
        <v>800</v>
      </c>
      <c r="S24" s="99"/>
      <c r="T24" s="8">
        <f>IF($E$2="k",F24)+IF($I$2="k",J24)+IF($M$2="k",N24)+IF($Q$2="k",R24)</f>
        <v>3500</v>
      </c>
    </row>
    <row r="25" spans="1:29" ht="15.75" x14ac:dyDescent="0.2">
      <c r="B25" s="11" t="s">
        <v>118</v>
      </c>
      <c r="C25" s="196">
        <v>15</v>
      </c>
      <c r="D25" s="197">
        <v>1.5</v>
      </c>
      <c r="E25" s="289"/>
      <c r="F25" s="100">
        <f>IF(E2="k",C25*D25*F5,0)</f>
        <v>36000</v>
      </c>
      <c r="G25" s="39"/>
      <c r="H25" s="410">
        <v>4</v>
      </c>
      <c r="I25" s="102">
        <f>$D$25</f>
        <v>1.5</v>
      </c>
      <c r="J25" s="100">
        <f>IF(I2="k",H25*I25*J5,0)</f>
        <v>720</v>
      </c>
      <c r="K25" s="101"/>
      <c r="L25" s="410">
        <f>H25</f>
        <v>4</v>
      </c>
      <c r="M25" s="102">
        <f>$D$25</f>
        <v>1.5</v>
      </c>
      <c r="N25" s="100">
        <f>IF(M2="k",L25*M25*N5,0)</f>
        <v>0</v>
      </c>
      <c r="O25" s="101"/>
      <c r="P25" s="410">
        <f>L25</f>
        <v>4</v>
      </c>
      <c r="Q25" s="102">
        <f>$D$25</f>
        <v>1.5</v>
      </c>
      <c r="R25" s="100">
        <f>IF(Q2="k",P25*Q25*R5,0)</f>
        <v>0</v>
      </c>
      <c r="S25" s="101"/>
      <c r="T25" s="36">
        <f t="shared" si="0"/>
        <v>36720</v>
      </c>
      <c r="V25" s="165" t="s">
        <v>37</v>
      </c>
      <c r="W25" s="642">
        <f>IF($E$2="k",(C25*F5),0)+IF($I$2="k",(H25*J5),0)+IF($M$2="k",(L25*N5),0)+IF($Q$2="k",(P25*R5),0)</f>
        <v>24480</v>
      </c>
      <c r="X25" s="642">
        <f>W25/159</f>
        <v>153.96226415094338</v>
      </c>
      <c r="Y25" s="161">
        <f>VLOOKUP(V25,Ohjeet!A63:F68,6,FALSE)</f>
        <v>2.66</v>
      </c>
      <c r="Z25" s="168">
        <f>W25*Y25</f>
        <v>65116.800000000003</v>
      </c>
      <c r="AA25" s="164">
        <f>Z25/1000</f>
        <v>65.116799999999998</v>
      </c>
      <c r="AB25" s="162">
        <f>Z25*0.27</f>
        <v>17581.536000000004</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37.858604651162793</v>
      </c>
    </row>
    <row r="27" spans="1:29"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0.28000000000000003</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1680.2800000000002</v>
      </c>
    </row>
    <row r="28" spans="1:29" x14ac:dyDescent="0.2">
      <c r="B28" s="396" t="s">
        <v>125</v>
      </c>
      <c r="C28" s="919" t="s">
        <v>126</v>
      </c>
      <c r="D28" s="920"/>
      <c r="E28" s="920"/>
      <c r="F28" s="77">
        <v>2000</v>
      </c>
      <c r="G28" s="39"/>
      <c r="H28" s="411"/>
      <c r="I28" s="412" t="str">
        <f>$B$28</f>
        <v>Muut:</v>
      </c>
      <c r="J28" s="77"/>
      <c r="K28" s="101"/>
      <c r="L28" s="411"/>
      <c r="M28" s="412" t="str">
        <f>$B$28</f>
        <v>Muut:</v>
      </c>
      <c r="N28" s="77">
        <v>0</v>
      </c>
      <c r="O28" s="101"/>
      <c r="P28" s="411"/>
      <c r="Q28" s="412" t="str">
        <f>$B$28</f>
        <v>Muut:</v>
      </c>
      <c r="R28" s="77">
        <v>0</v>
      </c>
      <c r="S28" s="101"/>
      <c r="T28" s="8">
        <f>IF($E$2="k",F28)+IF($I$2="k",J28)+IF($M$2="k",N28)+IF($Q$2="k",R28)</f>
        <v>2000</v>
      </c>
    </row>
    <row r="29" spans="1:29" ht="13.5" thickBot="1" x14ac:dyDescent="0.25">
      <c r="B29" s="396" t="s">
        <v>125</v>
      </c>
      <c r="C29" s="919"/>
      <c r="D29" s="920"/>
      <c r="E29" s="920"/>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42180</v>
      </c>
      <c r="G30" s="209">
        <f>IF(E$6=0%,F30/F$5,F30/F$6)</f>
        <v>31.014705882352942</v>
      </c>
      <c r="H30" s="413"/>
      <c r="J30" s="55">
        <f>IF(I2="k",SUM(J24:J29),0)</f>
        <v>1720.28</v>
      </c>
      <c r="K30" s="209">
        <f>IF(I$6=0%,J30/J$5,J30/J$6)</f>
        <v>15.928518518518517</v>
      </c>
      <c r="L30" s="413"/>
      <c r="N30" s="55">
        <f>IF(M2="k",SUM(N24:N29),0)</f>
        <v>0</v>
      </c>
      <c r="O30" s="209">
        <f>IF(M$6=0%,N30/N$5,N30/N$6)</f>
        <v>0</v>
      </c>
      <c r="P30" s="413"/>
      <c r="R30" s="55">
        <f>IF(Q2="k",SUM(R24:R29),0)</f>
        <v>0</v>
      </c>
      <c r="S30" s="209">
        <f>IF(Q$6=0%,R30/R$5,R30/R$6)</f>
        <v>0</v>
      </c>
      <c r="T30" s="94">
        <f t="shared" ref="T30:T38" si="1">SUM(F30,J30,N30,R30)</f>
        <v>43900.28</v>
      </c>
      <c r="U30" s="105">
        <f>SUM(G30,K30,O30,S30)</f>
        <v>46.943224400871458</v>
      </c>
    </row>
    <row r="31" spans="1:29" ht="13.5" thickBot="1" x14ac:dyDescent="0.25">
      <c r="A31" s="6" t="s">
        <v>128</v>
      </c>
      <c r="F31" s="106">
        <f>F22+F30</f>
        <v>54065.418326693223</v>
      </c>
      <c r="G31" s="12"/>
      <c r="H31" s="415"/>
      <c r="J31" s="55">
        <f>IF(I2="k",J22+J30,0)</f>
        <v>4158.5270119521911</v>
      </c>
      <c r="K31" s="107"/>
      <c r="L31" s="415"/>
      <c r="N31" s="55">
        <f>IF(M2="k",N22+N30,0)</f>
        <v>0</v>
      </c>
      <c r="O31" s="107"/>
      <c r="P31" s="415"/>
      <c r="R31" s="55">
        <f>IF(Q2="k",R22+R30,0)</f>
        <v>0</v>
      </c>
      <c r="S31" s="107"/>
      <c r="T31" s="94">
        <f t="shared" si="1"/>
        <v>58223.945338645412</v>
      </c>
    </row>
    <row r="32" spans="1:29" ht="13.5" thickBot="1" x14ac:dyDescent="0.25">
      <c r="F32" s="7"/>
      <c r="H32" s="119"/>
      <c r="J32" s="7"/>
      <c r="K32" s="73"/>
      <c r="L32" s="119"/>
      <c r="N32" s="7"/>
      <c r="O32" s="73"/>
      <c r="P32" s="119"/>
      <c r="R32" s="7"/>
      <c r="S32" s="73"/>
    </row>
    <row r="33" spans="1:33" ht="13.5" thickBot="1" x14ac:dyDescent="0.25">
      <c r="A33" s="6" t="s">
        <v>129</v>
      </c>
      <c r="F33" s="235">
        <f>IF(E2="k",IF(E6=0%,F31/F5,F31/F6),0)</f>
        <v>39.753984063745015</v>
      </c>
      <c r="G33" s="12"/>
      <c r="H33" s="415"/>
      <c r="J33" s="235">
        <f>IF(I2="k",IF(I6=0%,J31/J5,J31/J6),0)</f>
        <v>38.504879740298065</v>
      </c>
      <c r="K33" s="107"/>
      <c r="L33" s="415"/>
      <c r="N33" s="235">
        <f>IF(M2="k",IF(M6=0%,N31/N5,N31/N6),0)</f>
        <v>0</v>
      </c>
      <c r="O33" s="107"/>
      <c r="P33" s="415"/>
      <c r="R33" s="235">
        <f>IF(Q2="k",IF(Q6=0%,R31/R5,R31/R6),0)</f>
        <v>0</v>
      </c>
      <c r="S33" s="107"/>
      <c r="T33" s="108">
        <f t="shared" si="1"/>
        <v>78.258863804043074</v>
      </c>
    </row>
    <row r="34" spans="1:33" x14ac:dyDescent="0.2">
      <c r="B34" s="6" t="s">
        <v>130</v>
      </c>
      <c r="E34" s="203">
        <v>0.15</v>
      </c>
      <c r="F34" s="234">
        <f>IF(E2="k",((100%/(100%-E34))*F33)-F33,0)</f>
        <v>7.0154089524255951</v>
      </c>
      <c r="G34" s="10"/>
      <c r="H34" s="405"/>
      <c r="I34" s="295">
        <f>E34</f>
        <v>0.15</v>
      </c>
      <c r="J34" s="234">
        <f>IF(I2="k",((100%/(100%-I34))*J33)-J33,0)</f>
        <v>6.7949787776996615</v>
      </c>
      <c r="K34" s="85"/>
      <c r="L34" s="405"/>
      <c r="M34" s="295">
        <f>I34</f>
        <v>0.15</v>
      </c>
      <c r="N34" s="234">
        <f>IF(M2="k",((100%/(100%-M34))*N33)-N33,0)</f>
        <v>0</v>
      </c>
      <c r="O34" s="85"/>
      <c r="P34" s="405"/>
      <c r="Q34" s="295">
        <f>M34</f>
        <v>0.15</v>
      </c>
      <c r="R34" s="234">
        <f>IF(Q2="k",((100%/(100%-Q34))*R33)-R33,0)</f>
        <v>0</v>
      </c>
      <c r="S34" s="85"/>
      <c r="T34" s="36">
        <f t="shared" si="1"/>
        <v>13.810387730125257</v>
      </c>
    </row>
    <row r="35" spans="1:33" ht="13.5" thickBot="1" x14ac:dyDescent="0.25">
      <c r="B35" s="4" t="s">
        <v>131</v>
      </c>
      <c r="C35" s="160" t="s">
        <v>132</v>
      </c>
      <c r="F35" s="292">
        <v>25</v>
      </c>
      <c r="G35" s="10"/>
      <c r="H35" s="405"/>
      <c r="I35" s="109" t="s">
        <v>133</v>
      </c>
      <c r="J35" s="609">
        <v>0</v>
      </c>
      <c r="K35" s="85"/>
      <c r="L35" s="405"/>
      <c r="M35" s="109" t="str">
        <f>I35</f>
        <v>Traktorissa</v>
      </c>
      <c r="N35" s="292">
        <v>0</v>
      </c>
      <c r="O35" s="85"/>
      <c r="P35" s="405"/>
      <c r="Q35" s="109" t="str">
        <f>M35</f>
        <v>Traktorissa</v>
      </c>
      <c r="R35" s="292">
        <v>0</v>
      </c>
      <c r="S35" s="85"/>
      <c r="T35" s="8">
        <f>IF($E$2="k",F35)+IF($I$2="k",J35)+IF($M$2="k",N35)+IF($Q$2="k",R35)</f>
        <v>25</v>
      </c>
    </row>
    <row r="36" spans="1:33" ht="18" x14ac:dyDescent="0.25">
      <c r="B36" s="116" t="s">
        <v>134</v>
      </c>
      <c r="C36" s="115"/>
      <c r="D36" s="115"/>
      <c r="E36" s="115"/>
      <c r="F36" s="293">
        <f>IF(E2="K",SUM(F33:F35),0)</f>
        <v>71.769393016170611</v>
      </c>
      <c r="G36" s="10"/>
      <c r="H36" s="405"/>
      <c r="J36" s="117">
        <f>IF(I2="K",SUM(J33:J35),0)</f>
        <v>45.299858517997727</v>
      </c>
      <c r="K36" s="85"/>
      <c r="L36" s="405"/>
      <c r="N36" s="293">
        <f>IF(M2="K",SUM(N33:N35),0)</f>
        <v>0</v>
      </c>
      <c r="O36" s="85"/>
      <c r="P36" s="405"/>
      <c r="R36" s="293">
        <f>IF(Q2="K",SUM(R33:R35),0)</f>
        <v>0</v>
      </c>
      <c r="S36" s="10"/>
      <c r="T36" s="855">
        <f>SUM(F36,J36,N36,R36)</f>
        <v>117.06925153416833</v>
      </c>
    </row>
    <row r="37" spans="1:33" ht="13.5" thickBot="1" x14ac:dyDescent="0.25">
      <c r="B37" s="119" t="s">
        <v>135</v>
      </c>
      <c r="E37" s="592">
        <v>0.255</v>
      </c>
      <c r="F37" s="291">
        <f>E37*F36</f>
        <v>18.301195219123507</v>
      </c>
      <c r="G37" s="401"/>
      <c r="H37" s="405"/>
      <c r="I37" s="593">
        <f>$E$37</f>
        <v>0.255</v>
      </c>
      <c r="J37" s="291">
        <f>I37*J36</f>
        <v>11.55146392208942</v>
      </c>
      <c r="K37" s="85"/>
      <c r="L37" s="405"/>
      <c r="M37" s="593">
        <f>$E$37</f>
        <v>0.255</v>
      </c>
      <c r="N37" s="291">
        <f>M37*N36</f>
        <v>0</v>
      </c>
      <c r="O37" s="85"/>
      <c r="P37" s="405"/>
      <c r="Q37" s="593">
        <f>$E$37</f>
        <v>0.255</v>
      </c>
      <c r="R37" s="291">
        <f>Q37*R36</f>
        <v>0</v>
      </c>
      <c r="S37" s="85"/>
      <c r="T37" s="120">
        <f>SUM(F37,J37,N37,R37)</f>
        <v>29.852659141212925</v>
      </c>
    </row>
    <row r="38" spans="1:33" ht="13.5" thickBot="1" x14ac:dyDescent="0.25">
      <c r="B38" s="121" t="s">
        <v>136</v>
      </c>
      <c r="C38" s="114"/>
      <c r="D38" s="114"/>
      <c r="E38" s="114"/>
      <c r="F38" s="110">
        <f>IF(E2="k",SUM(F36:F37),0)</f>
        <v>90.07058823529411</v>
      </c>
      <c r="G38" s="113"/>
      <c r="H38" s="416"/>
      <c r="I38" s="114"/>
      <c r="J38" s="110">
        <f>IF(I2="k",SUM(J36:J37),0)</f>
        <v>56.851322440087145</v>
      </c>
      <c r="K38" s="112"/>
      <c r="L38" s="416"/>
      <c r="M38" s="114"/>
      <c r="N38" s="110">
        <f>IF(M2="k",SUM(N36:N37),0)</f>
        <v>0</v>
      </c>
      <c r="O38" s="112"/>
      <c r="P38" s="416"/>
      <c r="Q38" s="114"/>
      <c r="R38" s="110">
        <f>IF(Q2="k",SUM(R36:R37),0)</f>
        <v>0</v>
      </c>
      <c r="S38" s="112"/>
      <c r="T38" s="108">
        <f t="shared" si="1"/>
        <v>146.92191067538124</v>
      </c>
    </row>
    <row r="39" spans="1:33" ht="13.5" thickBot="1" x14ac:dyDescent="0.25"/>
    <row r="40" spans="1:33" ht="26.25" customHeight="1" thickBot="1" x14ac:dyDescent="0.25">
      <c r="B40" s="1040" t="str">
        <f>T3</f>
        <v xml:space="preserve">Kytketty koneet: Valtra tiesarja Tieharjauslaite </v>
      </c>
      <c r="C40" s="1041"/>
      <c r="D40" s="1041"/>
      <c r="E40" s="1042"/>
      <c r="F40" s="877">
        <v>1</v>
      </c>
      <c r="M40" s="1043">
        <v>2</v>
      </c>
      <c r="N40" s="1043"/>
      <c r="O40" s="1043"/>
      <c r="P40" s="1043"/>
      <c r="Q40" s="1043"/>
      <c r="R40" s="1044">
        <v>6</v>
      </c>
      <c r="S40" s="1045"/>
      <c r="T40" s="1046"/>
      <c r="U40" s="1047">
        <v>4</v>
      </c>
      <c r="V40" s="1048"/>
      <c r="W40" s="360">
        <v>3</v>
      </c>
      <c r="X40" s="1049">
        <v>5</v>
      </c>
      <c r="Y40" s="1049"/>
      <c r="Z40" s="1049">
        <v>7</v>
      </c>
      <c r="AA40" s="1049"/>
      <c r="AB40" s="1049"/>
      <c r="AC40" s="882">
        <v>8</v>
      </c>
      <c r="AD40" s="883"/>
      <c r="AE40" s="883"/>
      <c r="AF40" s="884"/>
      <c r="AG40" s="863">
        <v>9</v>
      </c>
    </row>
    <row r="41" spans="1:33" ht="12.75" customHeight="1" x14ac:dyDescent="0.25">
      <c r="A41" s="992" t="s">
        <v>651</v>
      </c>
      <c r="B41" s="994" t="s">
        <v>556</v>
      </c>
      <c r="C41" s="994"/>
      <c r="D41" s="987" t="s">
        <v>704</v>
      </c>
      <c r="E41" s="987"/>
      <c r="F41" s="987"/>
      <c r="G41" s="1060" t="s">
        <v>559</v>
      </c>
      <c r="H41" s="1059" t="s">
        <v>627</v>
      </c>
      <c r="I41" s="1012" t="s">
        <v>596</v>
      </c>
      <c r="J41" s="1015" t="s">
        <v>636</v>
      </c>
      <c r="K41" s="1016" t="s">
        <v>618</v>
      </c>
      <c r="L41" s="1022" t="s">
        <v>647</v>
      </c>
      <c r="M41" s="1004" t="s">
        <v>631</v>
      </c>
      <c r="N41" s="1022" t="s">
        <v>649</v>
      </c>
      <c r="O41" s="1004" t="s">
        <v>632</v>
      </c>
      <c r="P41" s="1022" t="s">
        <v>648</v>
      </c>
      <c r="Q41" s="1004" t="s">
        <v>633</v>
      </c>
      <c r="R41" s="1062" t="s">
        <v>611</v>
      </c>
      <c r="S41" s="1063"/>
      <c r="T41" s="1064"/>
      <c r="U41" s="1050" t="s">
        <v>558</v>
      </c>
      <c r="V41" s="1051"/>
      <c r="W41" s="836"/>
      <c r="X41" s="1052" t="s">
        <v>617</v>
      </c>
      <c r="Y41" s="1053"/>
      <c r="Z41" s="890" t="s">
        <v>209</v>
      </c>
      <c r="AC41" s="875"/>
      <c r="AD41" s="875"/>
      <c r="AE41" s="875"/>
      <c r="AF41" s="875"/>
      <c r="AG41" s="876"/>
    </row>
    <row r="42" spans="1:33" ht="63.75" customHeight="1" x14ac:dyDescent="0.2">
      <c r="A42" s="993"/>
      <c r="B42" s="995"/>
      <c r="C42" s="995"/>
      <c r="D42" s="902" t="s">
        <v>705</v>
      </c>
      <c r="E42" s="902" t="s">
        <v>706</v>
      </c>
      <c r="F42" s="902" t="s">
        <v>707</v>
      </c>
      <c r="G42" s="1061"/>
      <c r="H42" s="1059"/>
      <c r="I42" s="1013"/>
      <c r="J42" s="1015"/>
      <c r="K42" s="1017"/>
      <c r="L42" s="1022"/>
      <c r="M42" s="1005"/>
      <c r="N42" s="1022"/>
      <c r="O42" s="1005"/>
      <c r="P42" s="1022"/>
      <c r="Q42" s="1005"/>
      <c r="R42" s="1018" t="s">
        <v>608</v>
      </c>
      <c r="S42" s="1020" t="s">
        <v>609</v>
      </c>
      <c r="T42" s="1026" t="s">
        <v>560</v>
      </c>
      <c r="U42" s="1054" t="s">
        <v>623</v>
      </c>
      <c r="V42" s="1012" t="s">
        <v>624</v>
      </c>
      <c r="W42" s="1055" t="s">
        <v>610</v>
      </c>
      <c r="X42" s="1012" t="s">
        <v>614</v>
      </c>
      <c r="Y42" s="1057" t="s">
        <v>612</v>
      </c>
      <c r="Z42" s="1031" t="s">
        <v>674</v>
      </c>
      <c r="AA42" s="1032" t="s">
        <v>659</v>
      </c>
      <c r="AB42" s="1004" t="s">
        <v>660</v>
      </c>
      <c r="AC42" s="872" t="s">
        <v>622</v>
      </c>
      <c r="AD42" s="872" t="s">
        <v>629</v>
      </c>
      <c r="AE42" s="872" t="s">
        <v>628</v>
      </c>
      <c r="AF42" s="872" t="s">
        <v>630</v>
      </c>
      <c r="AG42" s="870" t="s">
        <v>621</v>
      </c>
    </row>
    <row r="43" spans="1:33" ht="48" customHeight="1" thickBot="1" x14ac:dyDescent="0.25">
      <c r="A43" s="993"/>
      <c r="B43" s="995"/>
      <c r="C43" s="995"/>
      <c r="D43" s="988" t="s">
        <v>711</v>
      </c>
      <c r="E43" s="989"/>
      <c r="F43" s="901" t="s">
        <v>711</v>
      </c>
      <c r="G43" s="903" t="s">
        <v>712</v>
      </c>
      <c r="H43" s="1059"/>
      <c r="I43" s="1014"/>
      <c r="J43" s="1015"/>
      <c r="K43" s="835" t="s">
        <v>613</v>
      </c>
      <c r="L43" s="1022"/>
      <c r="M43" s="1005"/>
      <c r="N43" s="1022"/>
      <c r="O43" s="1005"/>
      <c r="P43" s="1022"/>
      <c r="Q43" s="1005"/>
      <c r="R43" s="1019"/>
      <c r="S43" s="1021"/>
      <c r="T43" s="1027"/>
      <c r="U43" s="1054"/>
      <c r="V43" s="1014"/>
      <c r="W43" s="1056"/>
      <c r="X43" s="1014"/>
      <c r="Y43" s="1058"/>
      <c r="Z43" s="1031"/>
      <c r="AA43" s="1033"/>
      <c r="AB43" s="1004"/>
      <c r="AC43" s="873"/>
      <c r="AD43" s="873"/>
      <c r="AE43" s="873"/>
      <c r="AF43" s="873"/>
      <c r="AG43" s="871"/>
    </row>
    <row r="44" spans="1:33" ht="24.95" customHeight="1" x14ac:dyDescent="0.2">
      <c r="A44" s="869" t="s">
        <v>48</v>
      </c>
      <c r="B44" s="996" t="s">
        <v>679</v>
      </c>
      <c r="C44" s="997"/>
      <c r="D44" s="124">
        <v>15</v>
      </c>
      <c r="E44" s="124">
        <v>20</v>
      </c>
      <c r="F44" s="731">
        <f>IF($A44="","",IF(AND(D44&gt;0,E44&gt;0),(AVERAGE(D44:E44)),""))</f>
        <v>17.5</v>
      </c>
      <c r="G44" s="149">
        <v>1</v>
      </c>
      <c r="H44" s="149">
        <v>1</v>
      </c>
      <c r="I44" s="351">
        <v>2</v>
      </c>
      <c r="J44" s="894">
        <v>1</v>
      </c>
      <c r="K44" s="823">
        <v>0</v>
      </c>
      <c r="L44" s="895"/>
      <c r="M44" s="854">
        <f>IF($A44="","",IF(D44&gt;0,IF(L44&gt;0,L44,$T$36),0))</f>
        <v>117.06925153416833</v>
      </c>
      <c r="N44" s="895"/>
      <c r="O44" s="821">
        <f>IF($A44="","",IF(D44&gt;0,IF(N44&gt;0,N44,$U$30),0))</f>
        <v>46.943224400871458</v>
      </c>
      <c r="P44" s="895"/>
      <c r="Q44" s="821">
        <f>IF($A44="","",IF(D44&gt;0,IF(P44&gt;0,P44,$U$22),0))</f>
        <v>31.31563940317163</v>
      </c>
      <c r="R44" s="897">
        <f t="shared" ref="R44:R48" si="2">IF($A44="","",IF(X44&gt;0,X44/W44,0))</f>
        <v>7.8046167689445554</v>
      </c>
      <c r="S44" s="908">
        <f t="shared" ref="S44:S48" si="3">IF($A44="","",IF(Y44&gt;0,Y44/W44,0))</f>
        <v>5.8534625767084165</v>
      </c>
      <c r="T44" s="908">
        <f t="shared" ref="T44:T48" si="4">IF($A44="","",IF(U44&gt;0,W44/F44*M44/W44*H44,0))</f>
        <v>6.6896715162381897</v>
      </c>
      <c r="U44" s="303">
        <f>IF($A44="","",IF(D44&gt;0,W44/D44*H44,0))</f>
        <v>0.13333333333333333</v>
      </c>
      <c r="V44" s="839">
        <f>IF($A44="","",IF(E44&gt;0,W44/E44*H44,0))</f>
        <v>0.1</v>
      </c>
      <c r="W44" s="860">
        <f>IF($A44="","",IF(AND(G44&gt;0,M44&gt;0),G44*I44*J44,0))</f>
        <v>2</v>
      </c>
      <c r="X44" s="821">
        <f>IF($A44="","",IF(U44&gt;0,U44*M44,0))</f>
        <v>15.609233537889111</v>
      </c>
      <c r="Y44" s="861">
        <f>IF($A44="","",IF(V44&gt;0,V44*M44,0))</f>
        <v>11.706925153416833</v>
      </c>
      <c r="Z44" s="864">
        <f>IF($A44="","",T44*W44)</f>
        <v>13.379343032476379</v>
      </c>
      <c r="AA44" s="885">
        <f>IF($A44="","",K44*J44)</f>
        <v>0</v>
      </c>
      <c r="AB44" s="889">
        <f>SUM(Z44:AA44)</f>
        <v>13.379343032476379</v>
      </c>
      <c r="AC44" s="821">
        <f t="shared" ref="AC44:AC57" si="5">IF($A44="","",IF(T44&gt;0,O44*(AVERAGE(U44:V44)),0))</f>
        <v>5.4767095134350035</v>
      </c>
      <c r="AD44" s="821">
        <f t="shared" ref="AD44:AD57" si="6">IF($A44="","",IF(Z44&gt;0,Q44*(AVERAGE(U44:V44)),0))</f>
        <v>3.6534912637033568</v>
      </c>
      <c r="AE44" s="821">
        <f>IF($A44="","",IF(Z44&gt;0,$T$35*(AVERAGE(U44:V44)),0))</f>
        <v>2.9166666666666665</v>
      </c>
      <c r="AF44" s="821">
        <f t="shared" ref="AF44:AF57" si="7">IF($A44="","",SUM(AC44:AE44))</f>
        <v>12.046867443805025</v>
      </c>
      <c r="AG44" s="865">
        <f>IF($A44="","",IF(AB44&gt;0,AB44-AF44,0))</f>
        <v>1.332475588671354</v>
      </c>
    </row>
    <row r="45" spans="1:33" ht="24.95" customHeight="1" x14ac:dyDescent="0.2">
      <c r="A45" s="869" t="s">
        <v>48</v>
      </c>
      <c r="B45" s="996" t="s">
        <v>680</v>
      </c>
      <c r="C45" s="997"/>
      <c r="D45" s="124">
        <v>10</v>
      </c>
      <c r="E45" s="124">
        <v>20</v>
      </c>
      <c r="F45" s="731">
        <f t="shared" ref="F45:F57" si="8">IF($A45="","",IF(AND(D45&gt;0,E45&gt;0),(AVERAGE(D45:E45)),""))</f>
        <v>15</v>
      </c>
      <c r="G45" s="149">
        <v>1</v>
      </c>
      <c r="H45" s="149">
        <v>1</v>
      </c>
      <c r="I45" s="351">
        <v>2</v>
      </c>
      <c r="J45" s="894">
        <v>1</v>
      </c>
      <c r="K45" s="822">
        <v>0</v>
      </c>
      <c r="L45" s="895"/>
      <c r="M45" s="854">
        <f t="shared" ref="M45:M57" si="9">IF($A45="","",IF(D45&gt;0,IF(L45&gt;0,L45,$T$36),0))</f>
        <v>117.06925153416833</v>
      </c>
      <c r="N45" s="895"/>
      <c r="O45" s="821">
        <f t="shared" ref="O45:O57" si="10">IF($A45="","",IF(D45&gt;0,IF(N45&gt;0,N45,$U$30),0))</f>
        <v>46.943224400871458</v>
      </c>
      <c r="P45" s="895"/>
      <c r="Q45" s="821">
        <f t="shared" ref="Q45:Q57" si="11">IF($A45="","",IF(D45&gt;0,IF(P45&gt;0,P45,$U$22),0))</f>
        <v>31.31563940317163</v>
      </c>
      <c r="R45" s="897">
        <f t="shared" si="2"/>
        <v>11.706925153416833</v>
      </c>
      <c r="S45" s="908">
        <f t="shared" si="3"/>
        <v>5.8534625767084165</v>
      </c>
      <c r="T45" s="908">
        <f t="shared" si="4"/>
        <v>7.8046167689445554</v>
      </c>
      <c r="U45" s="303">
        <f t="shared" ref="U45:U57" si="12">IF($A45="","",IF(D45&gt;0,W45/D45*H45,0))</f>
        <v>0.2</v>
      </c>
      <c r="V45" s="839">
        <f t="shared" ref="V45:V57" si="13">IF($A45="","",IF(E45&gt;0,W45/E45*H45,0))</f>
        <v>0.1</v>
      </c>
      <c r="W45" s="860">
        <f t="shared" ref="W45:W57" si="14">IF($A45="","",IF(AND(G45&gt;0,M45&gt;0),G45*I45*J45,0))</f>
        <v>2</v>
      </c>
      <c r="X45" s="821">
        <f t="shared" ref="X45:X57" si="15">IF($A45="","",IF(U45&gt;0,U45*M45,0))</f>
        <v>23.413850306833666</v>
      </c>
      <c r="Y45" s="861">
        <f t="shared" ref="Y45:Y57" si="16">IF($A45="","",IF(V45&gt;0,V45*M45,0))</f>
        <v>11.706925153416833</v>
      </c>
      <c r="Z45" s="864">
        <f t="shared" ref="Z45:Z57" si="17">IF($A45="","",T45*W45)</f>
        <v>15.609233537889111</v>
      </c>
      <c r="AA45" s="885">
        <f t="shared" ref="AA45:AA57" si="18">IF($A45="","",K45*J45)</f>
        <v>0</v>
      </c>
      <c r="AB45" s="889">
        <f t="shared" ref="AB45:AB57" si="19">SUM(Z45:AA45)</f>
        <v>15.609233537889111</v>
      </c>
      <c r="AC45" s="821">
        <f t="shared" si="5"/>
        <v>7.0414836601307194</v>
      </c>
      <c r="AD45" s="821">
        <f t="shared" si="6"/>
        <v>4.6973459104757449</v>
      </c>
      <c r="AE45" s="821">
        <f t="shared" ref="AE45:AE57" si="20">IF($A45="","",IF(Z45&gt;0,$T$35*(AVERAGE(U45:V45)),0))</f>
        <v>3.7500000000000004</v>
      </c>
      <c r="AF45" s="821">
        <f t="shared" si="7"/>
        <v>15.488829570606464</v>
      </c>
      <c r="AG45" s="865">
        <f t="shared" ref="AG45:AG46" si="21">IF($A45="","",IF(AB45&gt;0,AB45-AF45,0))</f>
        <v>0.12040396728264646</v>
      </c>
    </row>
    <row r="46" spans="1:33" ht="24.95" customHeight="1" x14ac:dyDescent="0.2">
      <c r="A46" s="869" t="s">
        <v>48</v>
      </c>
      <c r="B46" s="996" t="s">
        <v>681</v>
      </c>
      <c r="C46" s="997"/>
      <c r="D46" s="633">
        <v>20</v>
      </c>
      <c r="E46" s="633">
        <v>45</v>
      </c>
      <c r="F46" s="731">
        <f t="shared" si="8"/>
        <v>32.5</v>
      </c>
      <c r="G46" s="149">
        <v>1</v>
      </c>
      <c r="H46" s="149">
        <v>1</v>
      </c>
      <c r="I46" s="351">
        <v>2</v>
      </c>
      <c r="J46" s="894">
        <v>1</v>
      </c>
      <c r="K46" s="822">
        <v>0</v>
      </c>
      <c r="L46" s="895"/>
      <c r="M46" s="854">
        <f t="shared" si="9"/>
        <v>117.06925153416833</v>
      </c>
      <c r="N46" s="895"/>
      <c r="O46" s="821">
        <f t="shared" si="10"/>
        <v>46.943224400871458</v>
      </c>
      <c r="P46" s="895"/>
      <c r="Q46" s="821">
        <f t="shared" si="11"/>
        <v>31.31563940317163</v>
      </c>
      <c r="R46" s="897">
        <f t="shared" si="2"/>
        <v>5.8534625767084165</v>
      </c>
      <c r="S46" s="908">
        <f t="shared" si="3"/>
        <v>2.6015389229815185</v>
      </c>
      <c r="T46" s="908">
        <f t="shared" si="4"/>
        <v>3.6021308164359489</v>
      </c>
      <c r="U46" s="303">
        <f t="shared" si="12"/>
        <v>0.1</v>
      </c>
      <c r="V46" s="839">
        <f t="shared" si="13"/>
        <v>4.4444444444444446E-2</v>
      </c>
      <c r="W46" s="860">
        <f t="shared" si="14"/>
        <v>2</v>
      </c>
      <c r="X46" s="821">
        <f t="shared" si="15"/>
        <v>11.706925153416833</v>
      </c>
      <c r="Y46" s="861">
        <f t="shared" si="16"/>
        <v>5.2030778459630369</v>
      </c>
      <c r="Z46" s="864">
        <f t="shared" si="17"/>
        <v>7.2042616328718978</v>
      </c>
      <c r="AA46" s="885">
        <f t="shared" si="18"/>
        <v>0</v>
      </c>
      <c r="AB46" s="889">
        <f t="shared" si="19"/>
        <v>7.2042616328718978</v>
      </c>
      <c r="AC46" s="821">
        <f t="shared" si="5"/>
        <v>3.3903439845073833</v>
      </c>
      <c r="AD46" s="821">
        <f t="shared" si="6"/>
        <v>2.2616850680068401</v>
      </c>
      <c r="AE46" s="821">
        <f t="shared" si="20"/>
        <v>1.8055555555555558</v>
      </c>
      <c r="AF46" s="821">
        <f t="shared" si="7"/>
        <v>7.4575846080697783</v>
      </c>
      <c r="AG46" s="865">
        <f t="shared" si="21"/>
        <v>-0.2533229751978805</v>
      </c>
    </row>
    <row r="47" spans="1:33" ht="24.95" customHeight="1" x14ac:dyDescent="0.2">
      <c r="A47" s="869" t="s">
        <v>48</v>
      </c>
      <c r="B47" s="996" t="s">
        <v>682</v>
      </c>
      <c r="C47" s="997"/>
      <c r="D47" s="124">
        <v>5</v>
      </c>
      <c r="E47" s="124">
        <v>10</v>
      </c>
      <c r="F47" s="731">
        <f t="shared" si="8"/>
        <v>7.5</v>
      </c>
      <c r="G47" s="149">
        <v>1</v>
      </c>
      <c r="H47" s="149">
        <v>1</v>
      </c>
      <c r="I47" s="351">
        <v>2</v>
      </c>
      <c r="J47" s="894">
        <v>1</v>
      </c>
      <c r="K47" s="822">
        <v>0</v>
      </c>
      <c r="L47" s="896"/>
      <c r="M47" s="854">
        <f t="shared" si="9"/>
        <v>117.06925153416833</v>
      </c>
      <c r="N47" s="896"/>
      <c r="O47" s="821">
        <f t="shared" si="10"/>
        <v>46.943224400871458</v>
      </c>
      <c r="P47" s="896"/>
      <c r="Q47" s="821">
        <f t="shared" si="11"/>
        <v>31.31563940317163</v>
      </c>
      <c r="R47" s="897">
        <f t="shared" si="2"/>
        <v>23.413850306833666</v>
      </c>
      <c r="S47" s="908">
        <f t="shared" si="3"/>
        <v>11.706925153416833</v>
      </c>
      <c r="T47" s="908">
        <f t="shared" si="4"/>
        <v>15.609233537889111</v>
      </c>
      <c r="U47" s="303">
        <f t="shared" si="12"/>
        <v>0.4</v>
      </c>
      <c r="V47" s="839">
        <f t="shared" si="13"/>
        <v>0.2</v>
      </c>
      <c r="W47" s="860">
        <f t="shared" si="14"/>
        <v>2</v>
      </c>
      <c r="X47" s="821">
        <f t="shared" si="15"/>
        <v>46.827700613667332</v>
      </c>
      <c r="Y47" s="861">
        <f t="shared" si="16"/>
        <v>23.413850306833666</v>
      </c>
      <c r="Z47" s="864">
        <f t="shared" si="17"/>
        <v>31.218467075778221</v>
      </c>
      <c r="AA47" s="885">
        <f t="shared" si="18"/>
        <v>0</v>
      </c>
      <c r="AB47" s="889">
        <f t="shared" si="19"/>
        <v>31.218467075778221</v>
      </c>
      <c r="AC47" s="821">
        <f t="shared" si="5"/>
        <v>14.082967320261439</v>
      </c>
      <c r="AD47" s="821">
        <f t="shared" si="6"/>
        <v>9.3946918209514898</v>
      </c>
      <c r="AE47" s="821">
        <f t="shared" si="20"/>
        <v>7.5000000000000009</v>
      </c>
      <c r="AF47" s="821">
        <f t="shared" si="7"/>
        <v>30.977659141212929</v>
      </c>
      <c r="AG47" s="865">
        <f>IF($A47="","",IF(AB47&gt;0,AB47-AF47,0))</f>
        <v>0.24080793456529292</v>
      </c>
    </row>
    <row r="48" spans="1:33" ht="24.95" customHeight="1" x14ac:dyDescent="0.2">
      <c r="A48" s="869"/>
      <c r="B48" s="996"/>
      <c r="C48" s="997"/>
      <c r="D48" s="124">
        <v>3</v>
      </c>
      <c r="E48" s="124">
        <v>5</v>
      </c>
      <c r="F48" s="731" t="str">
        <f t="shared" si="8"/>
        <v/>
      </c>
      <c r="G48" s="149">
        <v>1</v>
      </c>
      <c r="H48" s="149">
        <v>1</v>
      </c>
      <c r="I48" s="351">
        <v>2</v>
      </c>
      <c r="J48" s="894">
        <v>1</v>
      </c>
      <c r="K48" s="822">
        <v>0</v>
      </c>
      <c r="L48" s="895"/>
      <c r="M48" s="854" t="str">
        <f t="shared" si="9"/>
        <v/>
      </c>
      <c r="N48" s="895"/>
      <c r="O48" s="821" t="str">
        <f t="shared" si="10"/>
        <v/>
      </c>
      <c r="P48" s="895"/>
      <c r="Q48" s="821" t="str">
        <f t="shared" si="11"/>
        <v/>
      </c>
      <c r="R48" s="897" t="str">
        <f t="shared" si="2"/>
        <v/>
      </c>
      <c r="S48" s="908" t="str">
        <f t="shared" si="3"/>
        <v/>
      </c>
      <c r="T48" s="908" t="str">
        <f t="shared" si="4"/>
        <v/>
      </c>
      <c r="U48" s="303" t="str">
        <f t="shared" si="12"/>
        <v/>
      </c>
      <c r="V48" s="839" t="str">
        <f t="shared" si="13"/>
        <v/>
      </c>
      <c r="W48" s="860" t="str">
        <f t="shared" si="14"/>
        <v/>
      </c>
      <c r="X48" s="821" t="str">
        <f t="shared" si="15"/>
        <v/>
      </c>
      <c r="Y48" s="861" t="str">
        <f t="shared" si="16"/>
        <v/>
      </c>
      <c r="Z48" s="864" t="str">
        <f t="shared" si="17"/>
        <v/>
      </c>
      <c r="AA48" s="885" t="str">
        <f t="shared" si="18"/>
        <v/>
      </c>
      <c r="AB48" s="889">
        <f t="shared" si="19"/>
        <v>0</v>
      </c>
      <c r="AC48" s="821" t="str">
        <f t="shared" si="5"/>
        <v/>
      </c>
      <c r="AD48" s="821" t="str">
        <f t="shared" si="6"/>
        <v/>
      </c>
      <c r="AE48" s="821" t="str">
        <f t="shared" si="20"/>
        <v/>
      </c>
      <c r="AF48" s="821" t="str">
        <f t="shared" si="7"/>
        <v/>
      </c>
      <c r="AG48" s="865" t="str">
        <f t="shared" ref="AG48:AG57" si="22">IF($A48="","",IF(AB48&gt;0,AB48-AF48,0))</f>
        <v/>
      </c>
    </row>
    <row r="49" spans="1:33" ht="24.95" customHeight="1" x14ac:dyDescent="0.2">
      <c r="A49" s="869"/>
      <c r="B49" s="996"/>
      <c r="C49" s="997"/>
      <c r="D49" s="124">
        <v>3</v>
      </c>
      <c r="E49" s="124">
        <v>5</v>
      </c>
      <c r="F49" s="731" t="str">
        <f t="shared" si="8"/>
        <v/>
      </c>
      <c r="G49" s="149">
        <v>1</v>
      </c>
      <c r="H49" s="149">
        <v>1</v>
      </c>
      <c r="I49" s="351">
        <v>2</v>
      </c>
      <c r="J49" s="894">
        <v>1</v>
      </c>
      <c r="K49" s="822">
        <v>0</v>
      </c>
      <c r="L49" s="895"/>
      <c r="M49" s="854" t="str">
        <f t="shared" si="9"/>
        <v/>
      </c>
      <c r="N49" s="895"/>
      <c r="O49" s="821" t="str">
        <f t="shared" si="10"/>
        <v/>
      </c>
      <c r="P49" s="895"/>
      <c r="Q49" s="821" t="str">
        <f t="shared" si="11"/>
        <v/>
      </c>
      <c r="R49" s="897" t="str">
        <f>IF($A49="","",IF(X49&gt;0,X49/W49,0))</f>
        <v/>
      </c>
      <c r="S49" s="908" t="str">
        <f>IF($A49="","",IF(Y49&gt;0,Y49/W49,0))</f>
        <v/>
      </c>
      <c r="T49" s="908" t="str">
        <f>IF($A49="","",IF(U49&gt;0,W49/F49*M49/W49*H49,0))</f>
        <v/>
      </c>
      <c r="U49" s="303" t="str">
        <f t="shared" si="12"/>
        <v/>
      </c>
      <c r="V49" s="839" t="str">
        <f t="shared" si="13"/>
        <v/>
      </c>
      <c r="W49" s="860" t="str">
        <f t="shared" si="14"/>
        <v/>
      </c>
      <c r="X49" s="821" t="str">
        <f t="shared" si="15"/>
        <v/>
      </c>
      <c r="Y49" s="861" t="str">
        <f t="shared" si="16"/>
        <v/>
      </c>
      <c r="Z49" s="864" t="str">
        <f>IF($A49="","",T49*W49)</f>
        <v/>
      </c>
      <c r="AA49" s="885" t="str">
        <f t="shared" si="18"/>
        <v/>
      </c>
      <c r="AB49" s="889">
        <f t="shared" si="19"/>
        <v>0</v>
      </c>
      <c r="AC49" s="821" t="str">
        <f t="shared" si="5"/>
        <v/>
      </c>
      <c r="AD49" s="821" t="str">
        <f t="shared" si="6"/>
        <v/>
      </c>
      <c r="AE49" s="821" t="str">
        <f t="shared" si="20"/>
        <v/>
      </c>
      <c r="AF49" s="821" t="str">
        <f t="shared" si="7"/>
        <v/>
      </c>
      <c r="AG49" s="865" t="str">
        <f t="shared" si="22"/>
        <v/>
      </c>
    </row>
    <row r="50" spans="1:33" ht="24.95" customHeight="1" x14ac:dyDescent="0.2">
      <c r="A50" s="869"/>
      <c r="B50" s="996"/>
      <c r="C50" s="997"/>
      <c r="D50" s="124">
        <v>3</v>
      </c>
      <c r="E50" s="124">
        <v>5</v>
      </c>
      <c r="F50" s="731" t="str">
        <f t="shared" si="8"/>
        <v/>
      </c>
      <c r="G50" s="149">
        <v>1</v>
      </c>
      <c r="H50" s="149">
        <v>1</v>
      </c>
      <c r="I50" s="351">
        <v>2</v>
      </c>
      <c r="J50" s="894">
        <v>1</v>
      </c>
      <c r="K50" s="822">
        <v>0</v>
      </c>
      <c r="L50" s="895"/>
      <c r="M50" s="854" t="str">
        <f t="shared" si="9"/>
        <v/>
      </c>
      <c r="N50" s="895"/>
      <c r="O50" s="821" t="str">
        <f t="shared" si="10"/>
        <v/>
      </c>
      <c r="P50" s="895"/>
      <c r="Q50" s="821" t="str">
        <f t="shared" si="11"/>
        <v/>
      </c>
      <c r="R50" s="897" t="str">
        <f t="shared" ref="R50:R57" si="23">IF($A50="","",IF(X50&gt;0,X50/W50,0))</f>
        <v/>
      </c>
      <c r="S50" s="908" t="str">
        <f t="shared" ref="S50:S57" si="24">IF($A50="","",IF(Y50&gt;0,Y50/W50,0))</f>
        <v/>
      </c>
      <c r="T50" s="908" t="str">
        <f t="shared" ref="T50:T57" si="25">IF($A50="","",IF(U50&gt;0,W50/F50*M50/W50*H50,0))</f>
        <v/>
      </c>
      <c r="U50" s="303" t="str">
        <f t="shared" si="12"/>
        <v/>
      </c>
      <c r="V50" s="839" t="str">
        <f t="shared" si="13"/>
        <v/>
      </c>
      <c r="W50" s="860" t="str">
        <f t="shared" si="14"/>
        <v/>
      </c>
      <c r="X50" s="821" t="str">
        <f t="shared" si="15"/>
        <v/>
      </c>
      <c r="Y50" s="861" t="str">
        <f t="shared" si="16"/>
        <v/>
      </c>
      <c r="Z50" s="864" t="str">
        <f t="shared" si="17"/>
        <v/>
      </c>
      <c r="AA50" s="885" t="str">
        <f t="shared" si="18"/>
        <v/>
      </c>
      <c r="AB50" s="889">
        <f t="shared" si="19"/>
        <v>0</v>
      </c>
      <c r="AC50" s="821" t="str">
        <f t="shared" si="5"/>
        <v/>
      </c>
      <c r="AD50" s="821" t="str">
        <f t="shared" si="6"/>
        <v/>
      </c>
      <c r="AE50" s="821" t="str">
        <f t="shared" si="20"/>
        <v/>
      </c>
      <c r="AF50" s="821" t="str">
        <f t="shared" si="7"/>
        <v/>
      </c>
      <c r="AG50" s="865" t="str">
        <f t="shared" si="22"/>
        <v/>
      </c>
    </row>
    <row r="51" spans="1:33" ht="24.95" customHeight="1" x14ac:dyDescent="0.2">
      <c r="A51" s="869"/>
      <c r="B51" s="996"/>
      <c r="C51" s="997"/>
      <c r="D51" s="124">
        <v>3</v>
      </c>
      <c r="E51" s="124">
        <v>5</v>
      </c>
      <c r="F51" s="731" t="str">
        <f t="shared" si="8"/>
        <v/>
      </c>
      <c r="G51" s="149">
        <v>1</v>
      </c>
      <c r="H51" s="149">
        <v>1</v>
      </c>
      <c r="I51" s="351">
        <v>2</v>
      </c>
      <c r="J51" s="894">
        <v>1</v>
      </c>
      <c r="K51" s="822">
        <v>0</v>
      </c>
      <c r="L51" s="895"/>
      <c r="M51" s="854" t="str">
        <f t="shared" si="9"/>
        <v/>
      </c>
      <c r="N51" s="895"/>
      <c r="O51" s="821" t="str">
        <f t="shared" si="10"/>
        <v/>
      </c>
      <c r="P51" s="895"/>
      <c r="Q51" s="821" t="str">
        <f t="shared" si="11"/>
        <v/>
      </c>
      <c r="R51" s="897" t="str">
        <f t="shared" si="23"/>
        <v/>
      </c>
      <c r="S51" s="908" t="str">
        <f t="shared" si="24"/>
        <v/>
      </c>
      <c r="T51" s="908" t="str">
        <f t="shared" si="25"/>
        <v/>
      </c>
      <c r="U51" s="303" t="str">
        <f t="shared" si="12"/>
        <v/>
      </c>
      <c r="V51" s="839" t="str">
        <f t="shared" si="13"/>
        <v/>
      </c>
      <c r="W51" s="860" t="str">
        <f t="shared" si="14"/>
        <v/>
      </c>
      <c r="X51" s="821" t="str">
        <f t="shared" si="15"/>
        <v/>
      </c>
      <c r="Y51" s="861" t="str">
        <f t="shared" si="16"/>
        <v/>
      </c>
      <c r="Z51" s="864" t="str">
        <f t="shared" si="17"/>
        <v/>
      </c>
      <c r="AA51" s="885" t="str">
        <f t="shared" si="18"/>
        <v/>
      </c>
      <c r="AB51" s="889">
        <f t="shared" si="19"/>
        <v>0</v>
      </c>
      <c r="AC51" s="821" t="str">
        <f t="shared" si="5"/>
        <v/>
      </c>
      <c r="AD51" s="821" t="str">
        <f t="shared" si="6"/>
        <v/>
      </c>
      <c r="AE51" s="821" t="str">
        <f t="shared" si="20"/>
        <v/>
      </c>
      <c r="AF51" s="821" t="str">
        <f t="shared" si="7"/>
        <v/>
      </c>
      <c r="AG51" s="865" t="str">
        <f t="shared" si="22"/>
        <v/>
      </c>
    </row>
    <row r="52" spans="1:33" ht="24.95" customHeight="1" x14ac:dyDescent="0.2">
      <c r="A52" s="869"/>
      <c r="B52" s="996"/>
      <c r="C52" s="997"/>
      <c r="D52" s="124">
        <v>3</v>
      </c>
      <c r="E52" s="124">
        <v>5</v>
      </c>
      <c r="F52" s="731" t="str">
        <f t="shared" si="8"/>
        <v/>
      </c>
      <c r="G52" s="149">
        <v>1</v>
      </c>
      <c r="H52" s="149">
        <v>1</v>
      </c>
      <c r="I52" s="351">
        <v>2</v>
      </c>
      <c r="J52" s="894">
        <v>1</v>
      </c>
      <c r="K52" s="822">
        <v>0</v>
      </c>
      <c r="L52" s="895"/>
      <c r="M52" s="854" t="str">
        <f t="shared" si="9"/>
        <v/>
      </c>
      <c r="N52" s="895"/>
      <c r="O52" s="821" t="str">
        <f t="shared" si="10"/>
        <v/>
      </c>
      <c r="P52" s="895"/>
      <c r="Q52" s="821" t="str">
        <f t="shared" si="11"/>
        <v/>
      </c>
      <c r="R52" s="897" t="str">
        <f t="shared" si="23"/>
        <v/>
      </c>
      <c r="S52" s="908" t="str">
        <f t="shared" si="24"/>
        <v/>
      </c>
      <c r="T52" s="908" t="str">
        <f t="shared" si="25"/>
        <v/>
      </c>
      <c r="U52" s="303" t="str">
        <f t="shared" si="12"/>
        <v/>
      </c>
      <c r="V52" s="839" t="str">
        <f t="shared" si="13"/>
        <v/>
      </c>
      <c r="W52" s="860" t="str">
        <f t="shared" si="14"/>
        <v/>
      </c>
      <c r="X52" s="821" t="str">
        <f t="shared" si="15"/>
        <v/>
      </c>
      <c r="Y52" s="861" t="str">
        <f t="shared" si="16"/>
        <v/>
      </c>
      <c r="Z52" s="864" t="str">
        <f t="shared" si="17"/>
        <v/>
      </c>
      <c r="AA52" s="885" t="str">
        <f t="shared" si="18"/>
        <v/>
      </c>
      <c r="AB52" s="889">
        <f t="shared" si="19"/>
        <v>0</v>
      </c>
      <c r="AC52" s="821" t="str">
        <f t="shared" si="5"/>
        <v/>
      </c>
      <c r="AD52" s="821" t="str">
        <f t="shared" si="6"/>
        <v/>
      </c>
      <c r="AE52" s="821" t="str">
        <f t="shared" si="20"/>
        <v/>
      </c>
      <c r="AF52" s="821" t="str">
        <f t="shared" si="7"/>
        <v/>
      </c>
      <c r="AG52" s="865" t="str">
        <f t="shared" si="22"/>
        <v/>
      </c>
    </row>
    <row r="53" spans="1:33" ht="24.95" customHeight="1" x14ac:dyDescent="0.2">
      <c r="A53" s="869"/>
      <c r="B53" s="996"/>
      <c r="C53" s="997"/>
      <c r="D53" s="124">
        <v>3</v>
      </c>
      <c r="E53" s="124">
        <v>5</v>
      </c>
      <c r="F53" s="731" t="str">
        <f t="shared" si="8"/>
        <v/>
      </c>
      <c r="G53" s="149">
        <v>1</v>
      </c>
      <c r="H53" s="149">
        <v>1</v>
      </c>
      <c r="I53" s="351">
        <v>2</v>
      </c>
      <c r="J53" s="894">
        <v>1</v>
      </c>
      <c r="K53" s="822">
        <v>0</v>
      </c>
      <c r="L53" s="895"/>
      <c r="M53" s="854" t="str">
        <f t="shared" si="9"/>
        <v/>
      </c>
      <c r="N53" s="895"/>
      <c r="O53" s="821" t="str">
        <f t="shared" si="10"/>
        <v/>
      </c>
      <c r="P53" s="895"/>
      <c r="Q53" s="821" t="str">
        <f t="shared" si="11"/>
        <v/>
      </c>
      <c r="R53" s="897" t="str">
        <f t="shared" si="23"/>
        <v/>
      </c>
      <c r="S53" s="908" t="str">
        <f t="shared" si="24"/>
        <v/>
      </c>
      <c r="T53" s="908" t="str">
        <f t="shared" si="25"/>
        <v/>
      </c>
      <c r="U53" s="303" t="str">
        <f t="shared" si="12"/>
        <v/>
      </c>
      <c r="V53" s="839" t="str">
        <f t="shared" si="13"/>
        <v/>
      </c>
      <c r="W53" s="860" t="str">
        <f t="shared" si="14"/>
        <v/>
      </c>
      <c r="X53" s="821" t="str">
        <f t="shared" si="15"/>
        <v/>
      </c>
      <c r="Y53" s="861" t="str">
        <f t="shared" si="16"/>
        <v/>
      </c>
      <c r="Z53" s="864" t="str">
        <f t="shared" si="17"/>
        <v/>
      </c>
      <c r="AA53" s="885" t="str">
        <f t="shared" si="18"/>
        <v/>
      </c>
      <c r="AB53" s="889">
        <f t="shared" si="19"/>
        <v>0</v>
      </c>
      <c r="AC53" s="821" t="str">
        <f t="shared" si="5"/>
        <v/>
      </c>
      <c r="AD53" s="821" t="str">
        <f t="shared" si="6"/>
        <v/>
      </c>
      <c r="AE53" s="821" t="str">
        <f t="shared" si="20"/>
        <v/>
      </c>
      <c r="AF53" s="821" t="str">
        <f t="shared" si="7"/>
        <v/>
      </c>
      <c r="AG53" s="865" t="str">
        <f t="shared" si="22"/>
        <v/>
      </c>
    </row>
    <row r="54" spans="1:33" ht="24.95" customHeight="1" x14ac:dyDescent="0.2">
      <c r="A54" s="869"/>
      <c r="B54" s="996"/>
      <c r="C54" s="997"/>
      <c r="D54" s="124">
        <v>4</v>
      </c>
      <c r="E54" s="124">
        <v>7</v>
      </c>
      <c r="F54" s="731" t="str">
        <f t="shared" si="8"/>
        <v/>
      </c>
      <c r="G54" s="149">
        <v>1</v>
      </c>
      <c r="H54" s="149">
        <v>1</v>
      </c>
      <c r="I54" s="351">
        <v>2</v>
      </c>
      <c r="J54" s="894">
        <v>1</v>
      </c>
      <c r="K54" s="822">
        <v>0</v>
      </c>
      <c r="L54" s="895">
        <v>0</v>
      </c>
      <c r="M54" s="854" t="str">
        <f t="shared" si="9"/>
        <v/>
      </c>
      <c r="N54" s="895"/>
      <c r="O54" s="821" t="str">
        <f t="shared" si="10"/>
        <v/>
      </c>
      <c r="P54" s="895"/>
      <c r="Q54" s="821" t="str">
        <f t="shared" si="11"/>
        <v/>
      </c>
      <c r="R54" s="897" t="str">
        <f t="shared" si="23"/>
        <v/>
      </c>
      <c r="S54" s="908" t="str">
        <f t="shared" si="24"/>
        <v/>
      </c>
      <c r="T54" s="908" t="str">
        <f t="shared" si="25"/>
        <v/>
      </c>
      <c r="U54" s="303" t="str">
        <f t="shared" si="12"/>
        <v/>
      </c>
      <c r="V54" s="839" t="str">
        <f t="shared" si="13"/>
        <v/>
      </c>
      <c r="W54" s="860" t="str">
        <f t="shared" si="14"/>
        <v/>
      </c>
      <c r="X54" s="821" t="str">
        <f t="shared" si="15"/>
        <v/>
      </c>
      <c r="Y54" s="861" t="str">
        <f t="shared" si="16"/>
        <v/>
      </c>
      <c r="Z54" s="864" t="str">
        <f t="shared" si="17"/>
        <v/>
      </c>
      <c r="AA54" s="885" t="str">
        <f t="shared" si="18"/>
        <v/>
      </c>
      <c r="AB54" s="889">
        <f t="shared" si="19"/>
        <v>0</v>
      </c>
      <c r="AC54" s="821" t="str">
        <f t="shared" si="5"/>
        <v/>
      </c>
      <c r="AD54" s="821" t="str">
        <f t="shared" si="6"/>
        <v/>
      </c>
      <c r="AE54" s="821" t="str">
        <f t="shared" si="20"/>
        <v/>
      </c>
      <c r="AF54" s="821" t="str">
        <f t="shared" si="7"/>
        <v/>
      </c>
      <c r="AG54" s="865" t="str">
        <f t="shared" si="22"/>
        <v/>
      </c>
    </row>
    <row r="55" spans="1:33" ht="24.95" customHeight="1" x14ac:dyDescent="0.2">
      <c r="A55" s="869"/>
      <c r="B55" s="996"/>
      <c r="C55" s="997"/>
      <c r="D55" s="124">
        <v>4</v>
      </c>
      <c r="E55" s="124">
        <v>7</v>
      </c>
      <c r="F55" s="731" t="str">
        <f t="shared" si="8"/>
        <v/>
      </c>
      <c r="G55" s="149">
        <v>1</v>
      </c>
      <c r="H55" s="149">
        <v>1</v>
      </c>
      <c r="I55" s="351">
        <v>2</v>
      </c>
      <c r="J55" s="894">
        <v>1</v>
      </c>
      <c r="K55" s="822">
        <v>0</v>
      </c>
      <c r="L55" s="895"/>
      <c r="M55" s="854" t="str">
        <f t="shared" si="9"/>
        <v/>
      </c>
      <c r="N55" s="895"/>
      <c r="O55" s="821" t="str">
        <f t="shared" si="10"/>
        <v/>
      </c>
      <c r="P55" s="895"/>
      <c r="Q55" s="821" t="str">
        <f t="shared" si="11"/>
        <v/>
      </c>
      <c r="R55" s="897" t="str">
        <f t="shared" si="23"/>
        <v/>
      </c>
      <c r="S55" s="908" t="str">
        <f t="shared" si="24"/>
        <v/>
      </c>
      <c r="T55" s="908" t="str">
        <f t="shared" si="25"/>
        <v/>
      </c>
      <c r="U55" s="303" t="str">
        <f t="shared" si="12"/>
        <v/>
      </c>
      <c r="V55" s="839" t="str">
        <f t="shared" si="13"/>
        <v/>
      </c>
      <c r="W55" s="860" t="str">
        <f t="shared" si="14"/>
        <v/>
      </c>
      <c r="X55" s="821" t="str">
        <f t="shared" si="15"/>
        <v/>
      </c>
      <c r="Y55" s="861" t="str">
        <f t="shared" si="16"/>
        <v/>
      </c>
      <c r="Z55" s="864" t="str">
        <f t="shared" si="17"/>
        <v/>
      </c>
      <c r="AA55" s="885" t="str">
        <f t="shared" si="18"/>
        <v/>
      </c>
      <c r="AB55" s="889">
        <f t="shared" si="19"/>
        <v>0</v>
      </c>
      <c r="AC55" s="821" t="str">
        <f t="shared" si="5"/>
        <v/>
      </c>
      <c r="AD55" s="821" t="str">
        <f t="shared" si="6"/>
        <v/>
      </c>
      <c r="AE55" s="821" t="str">
        <f t="shared" si="20"/>
        <v/>
      </c>
      <c r="AF55" s="821" t="str">
        <f t="shared" si="7"/>
        <v/>
      </c>
      <c r="AG55" s="865" t="str">
        <f t="shared" si="22"/>
        <v/>
      </c>
    </row>
    <row r="56" spans="1:33" ht="24.95" customHeight="1" x14ac:dyDescent="0.2">
      <c r="A56" s="869"/>
      <c r="B56" s="996"/>
      <c r="C56" s="997"/>
      <c r="D56" s="124">
        <v>4</v>
      </c>
      <c r="E56" s="124">
        <v>7</v>
      </c>
      <c r="F56" s="731" t="str">
        <f t="shared" si="8"/>
        <v/>
      </c>
      <c r="G56" s="149">
        <v>1</v>
      </c>
      <c r="H56" s="149">
        <v>1</v>
      </c>
      <c r="I56" s="351">
        <v>2</v>
      </c>
      <c r="J56" s="894">
        <v>1</v>
      </c>
      <c r="K56" s="822">
        <v>0</v>
      </c>
      <c r="L56" s="895"/>
      <c r="M56" s="854" t="str">
        <f t="shared" si="9"/>
        <v/>
      </c>
      <c r="N56" s="895"/>
      <c r="O56" s="821" t="str">
        <f t="shared" si="10"/>
        <v/>
      </c>
      <c r="P56" s="895"/>
      <c r="Q56" s="821" t="str">
        <f t="shared" si="11"/>
        <v/>
      </c>
      <c r="R56" s="897" t="str">
        <f t="shared" si="23"/>
        <v/>
      </c>
      <c r="S56" s="908" t="str">
        <f t="shared" si="24"/>
        <v/>
      </c>
      <c r="T56" s="908" t="str">
        <f t="shared" si="25"/>
        <v/>
      </c>
      <c r="U56" s="303" t="str">
        <f t="shared" si="12"/>
        <v/>
      </c>
      <c r="V56" s="839" t="str">
        <f t="shared" si="13"/>
        <v/>
      </c>
      <c r="W56" s="860" t="str">
        <f t="shared" si="14"/>
        <v/>
      </c>
      <c r="X56" s="821" t="str">
        <f t="shared" si="15"/>
        <v/>
      </c>
      <c r="Y56" s="861" t="str">
        <f t="shared" si="16"/>
        <v/>
      </c>
      <c r="Z56" s="864" t="str">
        <f t="shared" si="17"/>
        <v/>
      </c>
      <c r="AA56" s="885" t="str">
        <f t="shared" si="18"/>
        <v/>
      </c>
      <c r="AB56" s="889">
        <f t="shared" si="19"/>
        <v>0</v>
      </c>
      <c r="AC56" s="821" t="str">
        <f t="shared" si="5"/>
        <v/>
      </c>
      <c r="AD56" s="821" t="str">
        <f t="shared" si="6"/>
        <v/>
      </c>
      <c r="AE56" s="821" t="str">
        <f t="shared" si="20"/>
        <v/>
      </c>
      <c r="AF56" s="821" t="str">
        <f t="shared" si="7"/>
        <v/>
      </c>
      <c r="AG56" s="865" t="str">
        <f t="shared" si="22"/>
        <v/>
      </c>
    </row>
    <row r="57" spans="1:33" ht="24.95" customHeight="1" x14ac:dyDescent="0.2">
      <c r="A57" s="869"/>
      <c r="B57" s="996"/>
      <c r="C57" s="997"/>
      <c r="D57" s="124">
        <v>4</v>
      </c>
      <c r="E57" s="124">
        <v>7</v>
      </c>
      <c r="F57" s="731" t="str">
        <f t="shared" si="8"/>
        <v/>
      </c>
      <c r="G57" s="149">
        <v>1</v>
      </c>
      <c r="H57" s="149">
        <v>1</v>
      </c>
      <c r="I57" s="351">
        <v>2</v>
      </c>
      <c r="J57" s="894">
        <v>1</v>
      </c>
      <c r="K57" s="822">
        <v>0</v>
      </c>
      <c r="L57" s="895"/>
      <c r="M57" s="854" t="str">
        <f t="shared" si="9"/>
        <v/>
      </c>
      <c r="N57" s="895"/>
      <c r="O57" s="821" t="str">
        <f t="shared" si="10"/>
        <v/>
      </c>
      <c r="P57" s="895"/>
      <c r="Q57" s="821" t="str">
        <f t="shared" si="11"/>
        <v/>
      </c>
      <c r="R57" s="897" t="str">
        <f t="shared" si="23"/>
        <v/>
      </c>
      <c r="S57" s="908" t="str">
        <f t="shared" si="24"/>
        <v/>
      </c>
      <c r="T57" s="908" t="str">
        <f t="shared" si="25"/>
        <v/>
      </c>
      <c r="U57" s="303" t="str">
        <f t="shared" si="12"/>
        <v/>
      </c>
      <c r="V57" s="839" t="str">
        <f t="shared" si="13"/>
        <v/>
      </c>
      <c r="W57" s="860" t="str">
        <f t="shared" si="14"/>
        <v/>
      </c>
      <c r="X57" s="821" t="str">
        <f t="shared" si="15"/>
        <v/>
      </c>
      <c r="Y57" s="861" t="str">
        <f t="shared" si="16"/>
        <v/>
      </c>
      <c r="Z57" s="864" t="str">
        <f t="shared" si="17"/>
        <v/>
      </c>
      <c r="AA57" s="885" t="str">
        <f t="shared" si="18"/>
        <v/>
      </c>
      <c r="AB57" s="889">
        <f t="shared" si="19"/>
        <v>0</v>
      </c>
      <c r="AC57" s="821" t="str">
        <f t="shared" si="5"/>
        <v/>
      </c>
      <c r="AD57" s="821" t="str">
        <f t="shared" si="6"/>
        <v/>
      </c>
      <c r="AE57" s="821" t="str">
        <f t="shared" si="20"/>
        <v/>
      </c>
      <c r="AF57" s="821" t="str">
        <f t="shared" si="7"/>
        <v/>
      </c>
      <c r="AG57" s="865" t="str">
        <f t="shared" si="22"/>
        <v/>
      </c>
    </row>
    <row r="58" spans="1:33" ht="21" customHeight="1" x14ac:dyDescent="0.2">
      <c r="F58" s="825" t="s">
        <v>82</v>
      </c>
      <c r="G58" s="824">
        <f>SUM(G44:G57)</f>
        <v>14</v>
      </c>
      <c r="J58" s="881" t="s">
        <v>505</v>
      </c>
      <c r="K58" s="880">
        <f>IF(SUM(K44:K57)&gt;0,AVERAGEIF(K44:K57,"&gt;0"),0)</f>
        <v>0</v>
      </c>
      <c r="L58" s="842"/>
      <c r="M58" s="827">
        <f t="shared" ref="M58" si="26">AVERAGEIF(M44:M57,"&gt;0")</f>
        <v>117.06925153416833</v>
      </c>
      <c r="O58" s="827">
        <f t="shared" ref="O58" si="27">AVERAGEIF(O44:O57,"&gt;0")</f>
        <v>46.943224400871458</v>
      </c>
      <c r="Q58" s="827">
        <f t="shared" ref="Q58:T58" si="28">AVERAGEIF(Q44:Q57,"&gt;0")</f>
        <v>31.31563940317163</v>
      </c>
      <c r="R58" s="898">
        <f>AVERAGEIF(R44:R57,"&gt;0")</f>
        <v>12.194713701475868</v>
      </c>
      <c r="S58" s="908">
        <f t="shared" si="28"/>
        <v>6.5038473074537961</v>
      </c>
      <c r="T58" s="908">
        <f t="shared" si="28"/>
        <v>8.4264131598769509</v>
      </c>
      <c r="U58" s="361">
        <f t="shared" ref="U58:Z58" si="29">SUM(U44:U57)</f>
        <v>0.83333333333333337</v>
      </c>
      <c r="V58" s="361">
        <f t="shared" si="29"/>
        <v>0.44444444444444448</v>
      </c>
      <c r="W58" s="837">
        <f t="shared" si="29"/>
        <v>8</v>
      </c>
      <c r="X58" s="826">
        <f t="shared" si="29"/>
        <v>97.557709611806942</v>
      </c>
      <c r="Y58" s="862">
        <f t="shared" si="29"/>
        <v>52.030778459630369</v>
      </c>
      <c r="Z58" s="886">
        <f t="shared" si="29"/>
        <v>67.411305279015608</v>
      </c>
      <c r="AA58" s="886">
        <f t="shared" ref="AA58:AB58" si="30">SUM(AA44:AA57)</f>
        <v>0</v>
      </c>
      <c r="AB58" s="886">
        <f t="shared" si="30"/>
        <v>67.411305279015608</v>
      </c>
      <c r="AC58" s="887">
        <f>SUM(AC44:AC57)</f>
        <v>29.991504478334548</v>
      </c>
      <c r="AD58" s="887">
        <f>SUM(AD44:AD57)</f>
        <v>20.007214063137432</v>
      </c>
      <c r="AE58" s="887">
        <f>SUM(AE44:AE57)</f>
        <v>15.972222222222225</v>
      </c>
      <c r="AF58" s="887">
        <f>SUM(AF44:AF57)</f>
        <v>65.970940763694202</v>
      </c>
      <c r="AG58" s="888">
        <f>SUM(AG44:AG57)</f>
        <v>1.4403645153214129</v>
      </c>
    </row>
    <row r="59" spans="1:33" ht="27" customHeight="1" x14ac:dyDescent="0.4">
      <c r="B59" s="583" t="s">
        <v>625</v>
      </c>
      <c r="C59"/>
      <c r="D59"/>
      <c r="E59"/>
      <c r="F59"/>
      <c r="G59" s="998" t="str">
        <f>T3</f>
        <v xml:space="preserve">Kytketty koneet: Valtra tiesarja Tieharjauslaite </v>
      </c>
      <c r="H59" s="998"/>
      <c r="I59" s="998"/>
      <c r="J59" s="998"/>
      <c r="K59" s="998"/>
      <c r="L59" s="998"/>
      <c r="M59" s="998"/>
      <c r="N59" s="998"/>
      <c r="O59" s="998"/>
      <c r="P59" s="998"/>
      <c r="Q59" s="998"/>
      <c r="R59" s="1004" t="s">
        <v>653</v>
      </c>
      <c r="S59" s="1005"/>
      <c r="T59" s="1005"/>
      <c r="U59" s="1035" t="s">
        <v>652</v>
      </c>
      <c r="V59" s="1036"/>
      <c r="W59" s="1036"/>
      <c r="X59" s="1036"/>
      <c r="Y59" s="1037"/>
      <c r="Z59" s="1004" t="s">
        <v>661</v>
      </c>
      <c r="AA59" s="1005"/>
      <c r="AB59" s="1005"/>
      <c r="AC59" s="1005"/>
      <c r="AD59" s="1005"/>
      <c r="AE59" s="1005"/>
      <c r="AF59" s="1005"/>
      <c r="AG59" s="1005"/>
    </row>
    <row r="60" spans="1:33" ht="25.5" x14ac:dyDescent="0.25">
      <c r="B60" s="279" t="s">
        <v>646</v>
      </c>
      <c r="C60"/>
      <c r="D60"/>
      <c r="E60"/>
      <c r="F60" s="833" t="s">
        <v>637</v>
      </c>
      <c r="G60" s="828" t="s">
        <v>178</v>
      </c>
      <c r="H60" s="857" t="s">
        <v>34</v>
      </c>
      <c r="I60" s="844" t="s">
        <v>638</v>
      </c>
      <c r="J60" s="840" t="s">
        <v>189</v>
      </c>
      <c r="K60" s="841" t="s">
        <v>635</v>
      </c>
      <c r="L60" s="995" t="s">
        <v>82</v>
      </c>
      <c r="M60" s="995"/>
      <c r="N60" s="360" t="s">
        <v>158</v>
      </c>
    </row>
    <row r="61" spans="1:33" x14ac:dyDescent="0.2">
      <c r="A61" s="856" t="str">
        <f>IF(A44="","",A44)</f>
        <v>x</v>
      </c>
      <c r="B61" s="990" t="str">
        <f>IF(B44&lt;&gt;"",B44,"")</f>
        <v>Tienharjaus tie 1</v>
      </c>
      <c r="C61" s="990"/>
      <c r="D61" s="990"/>
      <c r="E61" s="990"/>
      <c r="F61" s="830"/>
      <c r="G61" s="843">
        <f t="shared" ref="G61:G66" si="31">IF(F61&gt;0,F61,W44)</f>
        <v>2</v>
      </c>
      <c r="H61" s="280" t="s">
        <v>78</v>
      </c>
      <c r="I61" s="838">
        <v>0</v>
      </c>
      <c r="J61" s="834">
        <f>IF(I61&gt;0,I61,T44)</f>
        <v>6.6896715162381897</v>
      </c>
      <c r="K61" s="318">
        <v>1</v>
      </c>
      <c r="L61" s="1000">
        <f>IF(G61&lt;&gt;"",G61*J61*K61,0)</f>
        <v>13.379343032476379</v>
      </c>
      <c r="M61" s="1001"/>
      <c r="N61" s="846">
        <f t="shared" ref="N61:N66" si="32">IF(J61&lt;&gt;"",L61/$L$78,0)</f>
        <v>0.19847328244274809</v>
      </c>
    </row>
    <row r="62" spans="1:33" ht="12.75" customHeight="1" x14ac:dyDescent="0.2">
      <c r="A62" s="856" t="str">
        <f>IF(A45="","",A45)</f>
        <v>x</v>
      </c>
      <c r="B62" s="990" t="str">
        <f t="shared" ref="B62:B74" si="33">IF(B45&lt;&gt;"",B45,"")</f>
        <v>Tienharjaus tie 2</v>
      </c>
      <c r="C62" s="990"/>
      <c r="D62" s="990"/>
      <c r="E62" s="990"/>
      <c r="F62" s="830"/>
      <c r="G62" s="843">
        <f t="shared" si="31"/>
        <v>2</v>
      </c>
      <c r="H62" s="280" t="s">
        <v>78</v>
      </c>
      <c r="I62" s="838">
        <v>0</v>
      </c>
      <c r="J62" s="834">
        <f>IF(I62&gt;0,I62,T45)</f>
        <v>7.8046167689445554</v>
      </c>
      <c r="K62" s="318">
        <v>1</v>
      </c>
      <c r="L62" s="1000">
        <f t="shared" ref="L62:L77" si="34">IF(G62&lt;&gt;"",G62*J62*K62,0)</f>
        <v>15.609233537889111</v>
      </c>
      <c r="M62" s="1001"/>
      <c r="N62" s="846">
        <f t="shared" si="32"/>
        <v>0.23155216284987279</v>
      </c>
    </row>
    <row r="63" spans="1:33" x14ac:dyDescent="0.2">
      <c r="A63" s="856" t="str">
        <f t="shared" ref="A63:A73" si="35">IF(A46="","",A46)</f>
        <v>x</v>
      </c>
      <c r="B63" s="990" t="str">
        <f t="shared" si="33"/>
        <v>Tienharjaus tie 3</v>
      </c>
      <c r="C63" s="990"/>
      <c r="D63" s="990"/>
      <c r="E63" s="990"/>
      <c r="F63" s="830"/>
      <c r="G63" s="843">
        <f t="shared" si="31"/>
        <v>2</v>
      </c>
      <c r="H63" s="280" t="s">
        <v>78</v>
      </c>
      <c r="I63" s="838">
        <v>0</v>
      </c>
      <c r="J63" s="834">
        <f>IF(I63&gt;0,I63,T46)</f>
        <v>3.6021308164359489</v>
      </c>
      <c r="K63" s="318">
        <v>1</v>
      </c>
      <c r="L63" s="1000">
        <f t="shared" si="34"/>
        <v>7.2042616328718978</v>
      </c>
      <c r="M63" s="1001"/>
      <c r="N63" s="846">
        <f t="shared" si="32"/>
        <v>0.1068702290076336</v>
      </c>
    </row>
    <row r="64" spans="1:33" x14ac:dyDescent="0.2">
      <c r="A64" s="856" t="str">
        <f t="shared" si="35"/>
        <v>x</v>
      </c>
      <c r="B64" s="990" t="str">
        <f t="shared" si="33"/>
        <v>Tienharjaus tie 4</v>
      </c>
      <c r="C64" s="990"/>
      <c r="D64" s="990"/>
      <c r="E64" s="990"/>
      <c r="F64" s="830"/>
      <c r="G64" s="843">
        <f t="shared" si="31"/>
        <v>2</v>
      </c>
      <c r="H64" s="280" t="s">
        <v>78</v>
      </c>
      <c r="I64" s="838">
        <v>0</v>
      </c>
      <c r="J64" s="834">
        <f>IF(I64&gt;0,I64,T47)</f>
        <v>15.609233537889111</v>
      </c>
      <c r="K64" s="318">
        <v>1</v>
      </c>
      <c r="L64" s="1000">
        <f t="shared" si="34"/>
        <v>31.218467075778221</v>
      </c>
      <c r="M64" s="1001"/>
      <c r="N64" s="846">
        <f t="shared" si="32"/>
        <v>0.46310432569974558</v>
      </c>
    </row>
    <row r="65" spans="1:14" x14ac:dyDescent="0.2">
      <c r="A65" s="856" t="str">
        <f t="shared" si="35"/>
        <v/>
      </c>
      <c r="B65" s="990" t="str">
        <f t="shared" si="33"/>
        <v/>
      </c>
      <c r="C65" s="990"/>
      <c r="D65" s="990"/>
      <c r="E65" s="990"/>
      <c r="F65" s="830"/>
      <c r="G65" s="843" t="str">
        <f t="shared" si="31"/>
        <v/>
      </c>
      <c r="H65" s="280" t="s">
        <v>78</v>
      </c>
      <c r="I65" s="838">
        <v>0</v>
      </c>
      <c r="J65" s="834" t="str">
        <f>IF(I65&gt;0,I65,T48)</f>
        <v/>
      </c>
      <c r="K65" s="318">
        <v>1</v>
      </c>
      <c r="L65" s="1000">
        <f t="shared" si="34"/>
        <v>0</v>
      </c>
      <c r="M65" s="1001"/>
      <c r="N65" s="846">
        <f t="shared" si="32"/>
        <v>0</v>
      </c>
    </row>
    <row r="66" spans="1:14" x14ac:dyDescent="0.2">
      <c r="A66" s="856" t="str">
        <f t="shared" si="35"/>
        <v/>
      </c>
      <c r="B66" s="990" t="str">
        <f t="shared" si="33"/>
        <v/>
      </c>
      <c r="C66" s="990"/>
      <c r="D66" s="990"/>
      <c r="E66" s="990"/>
      <c r="F66" s="830"/>
      <c r="G66" s="843" t="str">
        <f t="shared" si="31"/>
        <v/>
      </c>
      <c r="H66" s="280" t="s">
        <v>78</v>
      </c>
      <c r="I66" s="838">
        <v>0</v>
      </c>
      <c r="J66" s="834" t="str">
        <f t="shared" ref="J66:J74" si="36">IF(I66&gt;0,I66,T49)</f>
        <v/>
      </c>
      <c r="K66" s="318">
        <v>1</v>
      </c>
      <c r="L66" s="1000">
        <f t="shared" si="34"/>
        <v>0</v>
      </c>
      <c r="M66" s="1001"/>
      <c r="N66" s="846">
        <f t="shared" si="32"/>
        <v>0</v>
      </c>
    </row>
    <row r="67" spans="1:14" x14ac:dyDescent="0.2">
      <c r="A67" s="856" t="str">
        <f t="shared" si="35"/>
        <v/>
      </c>
      <c r="B67" s="990" t="str">
        <f t="shared" si="33"/>
        <v/>
      </c>
      <c r="C67" s="990"/>
      <c r="D67" s="990"/>
      <c r="E67" s="990"/>
      <c r="F67" s="830"/>
      <c r="G67" s="843" t="str">
        <f t="shared" ref="G67:G74" si="37">IF(F67&gt;0,F67,W50)</f>
        <v/>
      </c>
      <c r="H67" s="280" t="s">
        <v>78</v>
      </c>
      <c r="I67" s="838">
        <v>0</v>
      </c>
      <c r="J67" s="834" t="str">
        <f t="shared" si="36"/>
        <v/>
      </c>
      <c r="K67" s="318">
        <v>1</v>
      </c>
      <c r="L67" s="1000">
        <f t="shared" si="34"/>
        <v>0</v>
      </c>
      <c r="M67" s="1001"/>
      <c r="N67" s="846">
        <f t="shared" ref="N67:N72" si="38">IF(J67&lt;&gt;"",L67/$L$78,0)</f>
        <v>0</v>
      </c>
    </row>
    <row r="68" spans="1:14" x14ac:dyDescent="0.2">
      <c r="A68" s="856" t="str">
        <f t="shared" si="35"/>
        <v/>
      </c>
      <c r="B68" s="990" t="str">
        <f t="shared" si="33"/>
        <v/>
      </c>
      <c r="C68" s="990"/>
      <c r="D68" s="990"/>
      <c r="E68" s="990"/>
      <c r="F68" s="830"/>
      <c r="G68" s="843" t="str">
        <f t="shared" si="37"/>
        <v/>
      </c>
      <c r="H68" s="280" t="s">
        <v>78</v>
      </c>
      <c r="I68" s="838">
        <v>0</v>
      </c>
      <c r="J68" s="834" t="str">
        <f t="shared" si="36"/>
        <v/>
      </c>
      <c r="K68" s="318">
        <v>1</v>
      </c>
      <c r="L68" s="1000">
        <f t="shared" si="34"/>
        <v>0</v>
      </c>
      <c r="M68" s="1001"/>
      <c r="N68" s="846">
        <f t="shared" si="38"/>
        <v>0</v>
      </c>
    </row>
    <row r="69" spans="1:14" x14ac:dyDescent="0.2">
      <c r="A69" s="856" t="str">
        <f t="shared" si="35"/>
        <v/>
      </c>
      <c r="B69" s="990" t="str">
        <f t="shared" si="33"/>
        <v/>
      </c>
      <c r="C69" s="990"/>
      <c r="D69" s="990"/>
      <c r="E69" s="990"/>
      <c r="F69" s="830"/>
      <c r="G69" s="843" t="str">
        <f t="shared" si="37"/>
        <v/>
      </c>
      <c r="H69" s="280" t="s">
        <v>78</v>
      </c>
      <c r="I69" s="838">
        <v>0</v>
      </c>
      <c r="J69" s="834" t="str">
        <f t="shared" si="36"/>
        <v/>
      </c>
      <c r="K69" s="318">
        <v>1</v>
      </c>
      <c r="L69" s="1000">
        <f t="shared" si="34"/>
        <v>0</v>
      </c>
      <c r="M69" s="1001"/>
      <c r="N69" s="846">
        <f t="shared" si="38"/>
        <v>0</v>
      </c>
    </row>
    <row r="70" spans="1:14" x14ac:dyDescent="0.2">
      <c r="A70" s="856" t="str">
        <f t="shared" si="35"/>
        <v/>
      </c>
      <c r="B70" s="990" t="str">
        <f t="shared" si="33"/>
        <v/>
      </c>
      <c r="C70" s="990"/>
      <c r="D70" s="990"/>
      <c r="E70" s="990"/>
      <c r="F70" s="830"/>
      <c r="G70" s="843" t="str">
        <f t="shared" si="37"/>
        <v/>
      </c>
      <c r="H70" s="280" t="s">
        <v>78</v>
      </c>
      <c r="I70" s="838">
        <v>0</v>
      </c>
      <c r="J70" s="834" t="str">
        <f t="shared" si="36"/>
        <v/>
      </c>
      <c r="K70" s="318">
        <v>1</v>
      </c>
      <c r="L70" s="1000">
        <f t="shared" si="34"/>
        <v>0</v>
      </c>
      <c r="M70" s="1001"/>
      <c r="N70" s="846">
        <f t="shared" si="38"/>
        <v>0</v>
      </c>
    </row>
    <row r="71" spans="1:14" x14ac:dyDescent="0.2">
      <c r="A71" s="856" t="str">
        <f t="shared" si="35"/>
        <v/>
      </c>
      <c r="B71" s="990" t="str">
        <f t="shared" si="33"/>
        <v/>
      </c>
      <c r="C71" s="990"/>
      <c r="D71" s="990"/>
      <c r="E71" s="990"/>
      <c r="F71" s="830"/>
      <c r="G71" s="843" t="str">
        <f t="shared" si="37"/>
        <v/>
      </c>
      <c r="H71" s="280" t="s">
        <v>78</v>
      </c>
      <c r="I71" s="838">
        <v>0</v>
      </c>
      <c r="J71" s="834" t="str">
        <f t="shared" si="36"/>
        <v/>
      </c>
      <c r="K71" s="318">
        <v>1</v>
      </c>
      <c r="L71" s="1000">
        <f t="shared" si="34"/>
        <v>0</v>
      </c>
      <c r="M71" s="1001"/>
      <c r="N71" s="846">
        <f t="shared" si="38"/>
        <v>0</v>
      </c>
    </row>
    <row r="72" spans="1:14" x14ac:dyDescent="0.2">
      <c r="A72" s="856" t="str">
        <f t="shared" si="35"/>
        <v/>
      </c>
      <c r="B72" s="990" t="str">
        <f t="shared" si="33"/>
        <v/>
      </c>
      <c r="C72" s="990"/>
      <c r="D72" s="990"/>
      <c r="E72" s="990"/>
      <c r="F72" s="830"/>
      <c r="G72" s="843" t="str">
        <f t="shared" si="37"/>
        <v/>
      </c>
      <c r="H72" s="280" t="s">
        <v>78</v>
      </c>
      <c r="I72" s="838">
        <v>0</v>
      </c>
      <c r="J72" s="834" t="str">
        <f t="shared" si="36"/>
        <v/>
      </c>
      <c r="K72" s="318">
        <v>1</v>
      </c>
      <c r="L72" s="1000">
        <f t="shared" si="34"/>
        <v>0</v>
      </c>
      <c r="M72" s="1001"/>
      <c r="N72" s="846">
        <f t="shared" si="38"/>
        <v>0</v>
      </c>
    </row>
    <row r="73" spans="1:14" x14ac:dyDescent="0.2">
      <c r="A73" s="856" t="str">
        <f t="shared" si="35"/>
        <v/>
      </c>
      <c r="B73" s="990" t="str">
        <f t="shared" si="33"/>
        <v/>
      </c>
      <c r="C73" s="990"/>
      <c r="D73" s="990"/>
      <c r="E73" s="990"/>
      <c r="F73" s="830"/>
      <c r="G73" s="843" t="str">
        <f t="shared" si="37"/>
        <v/>
      </c>
      <c r="H73" s="280" t="s">
        <v>78</v>
      </c>
      <c r="I73" s="838">
        <v>0</v>
      </c>
      <c r="J73" s="834" t="str">
        <f t="shared" si="36"/>
        <v/>
      </c>
      <c r="K73" s="318">
        <v>1</v>
      </c>
      <c r="L73" s="1000">
        <f t="shared" si="34"/>
        <v>0</v>
      </c>
      <c r="M73" s="1001"/>
      <c r="N73" s="846">
        <f>IF(J73&lt;&gt;"",L73/$L$78,0)</f>
        <v>0</v>
      </c>
    </row>
    <row r="74" spans="1:14" x14ac:dyDescent="0.2">
      <c r="A74" s="856" t="str">
        <f>IF(A57="","",A57)</f>
        <v/>
      </c>
      <c r="B74" s="990" t="str">
        <f t="shared" si="33"/>
        <v/>
      </c>
      <c r="C74" s="990"/>
      <c r="D74" s="990"/>
      <c r="E74" s="990"/>
      <c r="F74" s="830"/>
      <c r="G74" s="843" t="str">
        <f t="shared" si="37"/>
        <v/>
      </c>
      <c r="H74" s="280" t="s">
        <v>78</v>
      </c>
      <c r="I74" s="838">
        <v>0</v>
      </c>
      <c r="J74" s="834" t="str">
        <f t="shared" si="36"/>
        <v/>
      </c>
      <c r="K74" s="318">
        <v>1</v>
      </c>
      <c r="L74" s="1000">
        <f t="shared" si="34"/>
        <v>0</v>
      </c>
      <c r="M74" s="1001"/>
      <c r="N74" s="846">
        <f>IF(J74&lt;&gt;"",L74/$L$78,0)</f>
        <v>0</v>
      </c>
    </row>
    <row r="75" spans="1:14" x14ac:dyDescent="0.2">
      <c r="A75" s="878"/>
      <c r="B75" s="1028" t="s">
        <v>658</v>
      </c>
      <c r="C75" s="1029"/>
      <c r="D75" s="1029"/>
      <c r="E75" s="1030"/>
      <c r="F75" s="879"/>
      <c r="G75" s="843"/>
      <c r="H75" s="280" t="s">
        <v>506</v>
      </c>
      <c r="I75" s="838">
        <v>0</v>
      </c>
      <c r="J75" s="834">
        <f>AA58</f>
        <v>0</v>
      </c>
      <c r="K75" s="318">
        <v>1</v>
      </c>
      <c r="L75" s="1000">
        <f>IF(J75&lt;&gt;"",J75*K75,0)</f>
        <v>0</v>
      </c>
      <c r="M75" s="1001"/>
      <c r="N75" s="846">
        <f>IF(J75&lt;&gt;"",L75/$L$78,0)</f>
        <v>0</v>
      </c>
    </row>
    <row r="76" spans="1:14" ht="15" x14ac:dyDescent="0.2">
      <c r="B76" s="963" t="s">
        <v>654</v>
      </c>
      <c r="C76" s="963"/>
      <c r="D76" s="963"/>
      <c r="E76" s="963"/>
      <c r="F76" s="964"/>
      <c r="G76" s="830">
        <v>0</v>
      </c>
      <c r="H76" s="280" t="s">
        <v>73</v>
      </c>
      <c r="I76" s="838">
        <v>0</v>
      </c>
      <c r="J76" s="834">
        <f>IF(I76&gt;0,I76,T58)</f>
        <v>8.4264131598769509</v>
      </c>
      <c r="K76" s="318">
        <v>1</v>
      </c>
      <c r="L76" s="1000">
        <f t="shared" si="34"/>
        <v>0</v>
      </c>
      <c r="M76" s="1001"/>
      <c r="N76" s="846">
        <f>IF(J76&lt;&gt;"",L76/$L$78,0)</f>
        <v>0</v>
      </c>
    </row>
    <row r="77" spans="1:14" ht="15" x14ac:dyDescent="0.2">
      <c r="B77" s="963" t="s">
        <v>620</v>
      </c>
      <c r="C77" s="963"/>
      <c r="D77" s="963"/>
      <c r="E77" s="963"/>
      <c r="F77" s="964"/>
      <c r="G77" s="830">
        <v>0</v>
      </c>
      <c r="H77" s="280" t="s">
        <v>228</v>
      </c>
      <c r="I77" s="838">
        <v>0</v>
      </c>
      <c r="J77" s="834">
        <f>IF(I77&gt;0,I77,T36)</f>
        <v>117.06925153416833</v>
      </c>
      <c r="K77" s="318">
        <v>1</v>
      </c>
      <c r="L77" s="1000">
        <f t="shared" si="34"/>
        <v>0</v>
      </c>
      <c r="M77" s="1001"/>
      <c r="N77" s="846">
        <f>IF(J77&lt;&gt;"",L77/$L$78,0)</f>
        <v>0</v>
      </c>
    </row>
    <row r="78" spans="1:14" ht="15.75" x14ac:dyDescent="0.25">
      <c r="B78" s="504" t="s">
        <v>201</v>
      </c>
      <c r="C78" s="503"/>
      <c r="D78" s="503"/>
      <c r="E78" s="503"/>
      <c r="F78" s="507"/>
      <c r="G78" s="505"/>
      <c r="H78" s="313"/>
      <c r="L78" s="1010">
        <f>SUM(L61:M77)</f>
        <v>67.411305279015608</v>
      </c>
      <c r="M78" s="1011"/>
      <c r="N78" s="846">
        <f>IF(J77&lt;&gt;"",L78/$L$78,0)</f>
        <v>1</v>
      </c>
    </row>
    <row r="79" spans="1:14" ht="15" x14ac:dyDescent="0.2">
      <c r="B79" s="962" t="s">
        <v>202</v>
      </c>
      <c r="C79" s="962"/>
      <c r="D79" s="962"/>
      <c r="E79" s="962"/>
      <c r="F79" s="586"/>
      <c r="G79" s="830">
        <v>1</v>
      </c>
      <c r="H79" s="280" t="s">
        <v>73</v>
      </c>
      <c r="I79" s="838">
        <v>0</v>
      </c>
      <c r="J79" s="834">
        <f>AC58</f>
        <v>29.991504478334548</v>
      </c>
      <c r="K79" s="318">
        <v>1</v>
      </c>
      <c r="L79" s="1006">
        <f>J79*G79</f>
        <v>29.991504478334548</v>
      </c>
      <c r="M79" s="1006"/>
      <c r="N79" s="846">
        <f>IF(J79&lt;&gt;"",L79/$L$78,0)</f>
        <v>0.44490318581133559</v>
      </c>
    </row>
    <row r="80" spans="1:14" ht="15" x14ac:dyDescent="0.2">
      <c r="B80" s="963" t="s">
        <v>626</v>
      </c>
      <c r="C80" s="963"/>
      <c r="D80" s="963"/>
      <c r="E80" s="963"/>
      <c r="F80" s="964"/>
      <c r="G80" s="830">
        <v>1</v>
      </c>
      <c r="H80" s="280" t="s">
        <v>73</v>
      </c>
      <c r="I80" s="999">
        <v>0</v>
      </c>
      <c r="J80" s="999"/>
      <c r="K80" s="318">
        <v>1</v>
      </c>
      <c r="L80" s="1006">
        <f>I80*G80</f>
        <v>0</v>
      </c>
      <c r="M80" s="1006"/>
      <c r="N80" s="846">
        <f>IF(I80&lt;&gt;"",L80/$L$78,0)</f>
        <v>0</v>
      </c>
    </row>
    <row r="81" spans="2:14" ht="15.75" x14ac:dyDescent="0.25">
      <c r="B81" s="279" t="s">
        <v>204</v>
      </c>
      <c r="C81"/>
      <c r="D81"/>
      <c r="E81"/>
      <c r="F81"/>
      <c r="G81" s="831"/>
      <c r="H81" s="832"/>
      <c r="I81" s="1002"/>
      <c r="J81" s="1003"/>
      <c r="L81" s="1007">
        <f>L78-L79-L80</f>
        <v>37.41980080068106</v>
      </c>
      <c r="M81" s="1007"/>
      <c r="N81" s="846">
        <f>IF(L78&lt;&gt;"",L81/$L$78,0)</f>
        <v>0.55509681418866441</v>
      </c>
    </row>
    <row r="82" spans="2:14" ht="15" x14ac:dyDescent="0.2">
      <c r="B82" s="470" t="s">
        <v>205</v>
      </c>
      <c r="C82"/>
      <c r="D82"/>
      <c r="E82"/>
      <c r="F82" s="830"/>
      <c r="G82" s="843">
        <f>IF(F82&gt;0,F82,AVERAGE(U58:V58))</f>
        <v>0.63888888888888895</v>
      </c>
      <c r="H82" s="280" t="s">
        <v>228</v>
      </c>
      <c r="I82" s="845"/>
      <c r="J82" s="834">
        <f>IF(I82&gt;0,I82,T35)</f>
        <v>25</v>
      </c>
      <c r="K82" s="318">
        <v>1</v>
      </c>
      <c r="L82" s="1006">
        <f>G82*J82*K82</f>
        <v>15.972222222222223</v>
      </c>
      <c r="M82" s="1006"/>
      <c r="N82" s="846">
        <f>IF(J82&lt;&gt;"",L82/$L$78,0)</f>
        <v>0.2369368484427522</v>
      </c>
    </row>
    <row r="83" spans="2:14" ht="15" x14ac:dyDescent="0.2">
      <c r="B83" s="470" t="s">
        <v>206</v>
      </c>
      <c r="C83"/>
      <c r="D83"/>
      <c r="E83"/>
      <c r="F83"/>
      <c r="G83" s="830">
        <v>1</v>
      </c>
      <c r="H83" s="280" t="s">
        <v>73</v>
      </c>
      <c r="I83" s="845"/>
      <c r="J83" s="834">
        <f>IF(I83&gt;0,I83,AD58)</f>
        <v>20.007214063137432</v>
      </c>
      <c r="K83" s="318">
        <v>1</v>
      </c>
      <c r="L83" s="1006">
        <f>G83*J83*K83</f>
        <v>20.007214063137432</v>
      </c>
      <c r="M83" s="1006"/>
      <c r="N83" s="846">
        <f>IF(J83&lt;&gt;"",L83/$L$78,0)</f>
        <v>0.29679315628628627</v>
      </c>
    </row>
    <row r="84" spans="2:14" ht="15" x14ac:dyDescent="0.2">
      <c r="B84" s="470" t="s">
        <v>113</v>
      </c>
      <c r="C84"/>
      <c r="D84"/>
      <c r="E84"/>
      <c r="F84"/>
      <c r="G84" s="830">
        <v>1</v>
      </c>
      <c r="H84" s="280" t="s">
        <v>73</v>
      </c>
      <c r="I84" s="999">
        <v>0</v>
      </c>
      <c r="J84" s="999"/>
      <c r="K84" s="318">
        <v>1</v>
      </c>
      <c r="L84" s="1008">
        <f>G84*I84</f>
        <v>0</v>
      </c>
      <c r="M84" s="1009"/>
      <c r="N84" s="846">
        <f>IF(G84&lt;&gt;"",L84/$L$78,0)</f>
        <v>0</v>
      </c>
    </row>
    <row r="85" spans="2:14" ht="15" x14ac:dyDescent="0.2">
      <c r="B85" s="470" t="s">
        <v>207</v>
      </c>
      <c r="C85"/>
      <c r="D85"/>
      <c r="E85"/>
      <c r="F85"/>
      <c r="G85" s="454"/>
      <c r="H85" s="313"/>
      <c r="L85" s="1006">
        <f>L81-L82-L83-L84</f>
        <v>1.4403645153214057</v>
      </c>
      <c r="M85" s="1006"/>
      <c r="N85" s="846">
        <f>IF(L81&lt;&gt;"",L85/$L$78,0)</f>
        <v>2.1366809459625984E-2</v>
      </c>
    </row>
    <row r="86" spans="2:14" ht="15" x14ac:dyDescent="0.2">
      <c r="B86" s="470" t="s">
        <v>208</v>
      </c>
      <c r="C86"/>
      <c r="D86"/>
      <c r="E86"/>
      <c r="F86"/>
      <c r="G86" s="454"/>
      <c r="H86" s="427">
        <v>0.2</v>
      </c>
      <c r="L86" s="1006">
        <f>L85*H86</f>
        <v>0.28807290306428118</v>
      </c>
      <c r="M86" s="1006"/>
      <c r="N86" s="846">
        <f>IF(L85&lt;&gt;"",L86/$L$78,0)</f>
        <v>4.2733618919251976E-3</v>
      </c>
    </row>
    <row r="87" spans="2:14" ht="15.75" x14ac:dyDescent="0.25">
      <c r="B87" s="279" t="s">
        <v>209</v>
      </c>
      <c r="C87"/>
      <c r="D87"/>
      <c r="E87"/>
      <c r="L87" s="1007">
        <f>L85-L86</f>
        <v>1.1522916122571245</v>
      </c>
      <c r="M87" s="1007"/>
      <c r="N87" s="846">
        <f>IF(L85&lt;&gt;"",L87/$L$78,0)</f>
        <v>1.7093447567700787E-2</v>
      </c>
    </row>
    <row r="89" spans="2:14" ht="20.25" x14ac:dyDescent="0.3">
      <c r="B89" s="820" t="s">
        <v>655</v>
      </c>
    </row>
    <row r="90" spans="2:14" ht="18" x14ac:dyDescent="0.25">
      <c r="B90" s="582" t="s">
        <v>138</v>
      </c>
    </row>
    <row r="92" spans="2:14" x14ac:dyDescent="0.2">
      <c r="B92" s="4" t="s">
        <v>139</v>
      </c>
      <c r="C92" s="398" t="str">
        <f>Ohjeet!C2</f>
        <v>2024.12</v>
      </c>
    </row>
  </sheetData>
  <sheetProtection algorithmName="SHA-512" hashValue="xj7GolvnFVI8JBCK60mNkzNQE/3mbVIY3AUx6+IVxhW80kRys+Gf3WuLCcLVa8AjMPo/uqgRChRQXlkxOa43mg==" saltValue="zkKidJoH64dYVoyIUYTTdQ==" spinCount="100000" sheet="1" formatCells="0" formatColumns="0" formatRows="0"/>
  <mergeCells count="119">
    <mergeCell ref="L85:M85"/>
    <mergeCell ref="L86:M86"/>
    <mergeCell ref="L87:M87"/>
    <mergeCell ref="B40:E40"/>
    <mergeCell ref="B80:F80"/>
    <mergeCell ref="I80:J80"/>
    <mergeCell ref="L80:M80"/>
    <mergeCell ref="I81:J81"/>
    <mergeCell ref="L81:M81"/>
    <mergeCell ref="L82:M82"/>
    <mergeCell ref="L83:M83"/>
    <mergeCell ref="I84:J84"/>
    <mergeCell ref="L84:M84"/>
    <mergeCell ref="B72:E72"/>
    <mergeCell ref="B73:E73"/>
    <mergeCell ref="B74:E74"/>
    <mergeCell ref="B75:E75"/>
    <mergeCell ref="B76:F76"/>
    <mergeCell ref="B77:F77"/>
    <mergeCell ref="L77:M77"/>
    <mergeCell ref="L78:M78"/>
    <mergeCell ref="B79:E79"/>
    <mergeCell ref="L79:M79"/>
    <mergeCell ref="B46:C46"/>
    <mergeCell ref="R59:T59"/>
    <mergeCell ref="U59:Y59"/>
    <mergeCell ref="Z59:AG59"/>
    <mergeCell ref="B65:E65"/>
    <mergeCell ref="B66:E66"/>
    <mergeCell ref="B67:E67"/>
    <mergeCell ref="B69:E69"/>
    <mergeCell ref="B70:E70"/>
    <mergeCell ref="B71:E71"/>
    <mergeCell ref="L67:M67"/>
    <mergeCell ref="B68:E68"/>
    <mergeCell ref="L68:M68"/>
    <mergeCell ref="L69:M69"/>
    <mergeCell ref="B64:E64"/>
    <mergeCell ref="L64:M64"/>
    <mergeCell ref="L65:M65"/>
    <mergeCell ref="L66:M66"/>
    <mergeCell ref="A2:B2"/>
    <mergeCell ref="E2:F2"/>
    <mergeCell ref="I2:J2"/>
    <mergeCell ref="M2:N2"/>
    <mergeCell ref="Q2:R2"/>
    <mergeCell ref="C29:E29"/>
    <mergeCell ref="E1:G1"/>
    <mergeCell ref="H1:J1"/>
    <mergeCell ref="L1:N1"/>
    <mergeCell ref="P1:R1"/>
    <mergeCell ref="E3:F3"/>
    <mergeCell ref="I3:J3"/>
    <mergeCell ref="M3:N3"/>
    <mergeCell ref="Q3:R3"/>
    <mergeCell ref="C28:E28"/>
    <mergeCell ref="C19:E19"/>
    <mergeCell ref="Z40:AB40"/>
    <mergeCell ref="A41:A43"/>
    <mergeCell ref="B41:C43"/>
    <mergeCell ref="M40:Q40"/>
    <mergeCell ref="R40:T40"/>
    <mergeCell ref="U40:V40"/>
    <mergeCell ref="X40:Y40"/>
    <mergeCell ref="Z42:Z43"/>
    <mergeCell ref="AA42:AA43"/>
    <mergeCell ref="AB42:AB43"/>
    <mergeCell ref="L41:L43"/>
    <mergeCell ref="M41:M43"/>
    <mergeCell ref="N41:N43"/>
    <mergeCell ref="O41:O43"/>
    <mergeCell ref="P41:P43"/>
    <mergeCell ref="G41:G42"/>
    <mergeCell ref="H41:H43"/>
    <mergeCell ref="I41:I43"/>
    <mergeCell ref="J41:J43"/>
    <mergeCell ref="K41:K42"/>
    <mergeCell ref="X41:Y41"/>
    <mergeCell ref="W42:W43"/>
    <mergeCell ref="X42:X43"/>
    <mergeCell ref="Y42:Y43"/>
    <mergeCell ref="B51:C51"/>
    <mergeCell ref="B52:C52"/>
    <mergeCell ref="B53:C53"/>
    <mergeCell ref="B54:C54"/>
    <mergeCell ref="B55:C55"/>
    <mergeCell ref="B56:C56"/>
    <mergeCell ref="B47:C47"/>
    <mergeCell ref="B48:C48"/>
    <mergeCell ref="B49:C49"/>
    <mergeCell ref="B50:C50"/>
    <mergeCell ref="B44:C44"/>
    <mergeCell ref="B45:C45"/>
    <mergeCell ref="Q41:Q43"/>
    <mergeCell ref="R41:T41"/>
    <mergeCell ref="U41:V41"/>
    <mergeCell ref="R42:R43"/>
    <mergeCell ref="S42:S43"/>
    <mergeCell ref="T42:T43"/>
    <mergeCell ref="U42:U43"/>
    <mergeCell ref="V42:V43"/>
    <mergeCell ref="D41:F41"/>
    <mergeCell ref="D43:E43"/>
    <mergeCell ref="L74:M74"/>
    <mergeCell ref="L75:M75"/>
    <mergeCell ref="L76:M76"/>
    <mergeCell ref="L70:M70"/>
    <mergeCell ref="L71:M71"/>
    <mergeCell ref="L72:M72"/>
    <mergeCell ref="L73:M73"/>
    <mergeCell ref="B57:C57"/>
    <mergeCell ref="B61:E61"/>
    <mergeCell ref="L61:M61"/>
    <mergeCell ref="B62:E62"/>
    <mergeCell ref="L62:M62"/>
    <mergeCell ref="B63:E63"/>
    <mergeCell ref="L63:M63"/>
    <mergeCell ref="L60:M60"/>
    <mergeCell ref="G59:Q59"/>
  </mergeCells>
  <phoneticPr fontId="7" type="noConversion"/>
  <conditionalFormatting sqref="I61:I77">
    <cfRule type="cellIs" dxfId="31" priority="4" operator="greaterThan">
      <formula>0</formula>
    </cfRule>
  </conditionalFormatting>
  <conditionalFormatting sqref="I79">
    <cfRule type="cellIs" dxfId="30" priority="1" operator="greaterThan">
      <formula>0</formula>
    </cfRule>
  </conditionalFormatting>
  <conditionalFormatting sqref="L44:L57">
    <cfRule type="cellIs" dxfId="29" priority="5" operator="greaterThan">
      <formula>0</formula>
    </cfRule>
  </conditionalFormatting>
  <conditionalFormatting sqref="N44:N57">
    <cfRule type="cellIs" dxfId="28" priority="3" operator="greaterThan">
      <formula>0</formula>
    </cfRule>
  </conditionalFormatting>
  <conditionalFormatting sqref="P44:P57">
    <cfRule type="cellIs" dxfId="27" priority="2" operator="greaterThan">
      <formula>0</formula>
    </cfRule>
  </conditionalFormatting>
  <hyperlinks>
    <hyperlink ref="B89" location="'Koneketjujen ketjutus Tieketju'!A1" display="Siirry koneketjujen ketjuun urakan laskentaan tai tekemään vertailua" xr:uid="{0638B7A1-10BD-4225-AD03-02F7814E1796}"/>
    <hyperlink ref="J41:J43" location="'Työpäivien lkm'!A1" display="Arvaus ajokerroista kaudella (ei pakollinen, oletus 1" xr:uid="{C346E465-8F6D-467B-9EAC-CB3CEAD45878}"/>
  </hyperlinks>
  <printOptions verticalCentered="1"/>
  <pageMargins left="3.937007874015748E-2" right="3.937007874015748E-2" top="0.74803149606299213" bottom="0.74803149606299213" header="0.31496062992125984" footer="0.31496062992125984"/>
  <pageSetup paperSize="9" scale="57"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0DDFC94-7228-4DA4-B6AC-615BE3CE36EB}">
          <x14:formula1>
            <xm:f>Laskentayksikot!$E$7:$E$8</xm:f>
          </x14:formula1>
          <xm:sqref>D2</xm:sqref>
        </x14:dataValidation>
        <x14:dataValidation type="list" allowBlank="1" showInputMessage="1" showErrorMessage="1" xr:uid="{AFBC3E44-BAC0-48AF-BA8E-F2414B00C1A5}">
          <x14:formula1>
            <xm:f>Laskentayksikot!$E$2:$E$3</xm:f>
          </x14:formula1>
          <xm:sqref>E2:F2 I2:J2 M2:N2 Q2:R2</xm:sqref>
        </x14:dataValidation>
        <x14:dataValidation type="list" allowBlank="1" showInputMessage="1" showErrorMessage="1" xr:uid="{82FF4B50-E6C9-4C0A-B6EC-E4631FB7A5D1}">
          <x14:formula1>
            <xm:f>Ohjeet!$A$63:$A$68</xm:f>
          </x14:formula1>
          <xm:sqref>V25</xm:sqref>
        </x14:dataValidation>
        <x14:dataValidation type="list" allowBlank="1" showInputMessage="1" showErrorMessage="1" xr:uid="{E7A4409F-0F9F-434F-B4EB-964376497C86}">
          <x14:formula1>
            <xm:f>Laskentayksikot!$B$2:$B$14</xm:f>
          </x14:formula1>
          <xm:sqref>H82:H84 H79:H80 H61:H77</xm:sqref>
        </x14:dataValidation>
        <x14:dataValidation type="list" allowBlank="1" showInputMessage="1" showErrorMessage="1" xr:uid="{41355DC6-915D-433F-87CB-AB32B365044F}">
          <x14:formula1>
            <xm:f>Laskentayksikot!$E$15:$E$16</xm:f>
          </x14:formula1>
          <xm:sqref>A44:A57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3158-96C4-460F-BCFD-60C4B283A989}">
  <sheetPr>
    <pageSetUpPr fitToPage="1"/>
  </sheetPr>
  <dimension ref="A1:AG92"/>
  <sheetViews>
    <sheetView zoomScale="90" zoomScaleNormal="90" workbookViewId="0">
      <selection activeCell="E3" sqref="E3:F3"/>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6.28515625" style="4" customWidth="1"/>
    <col min="11" max="11" width="11" style="4" customWidth="1"/>
    <col min="12" max="12" width="10.28515625" style="4" customWidth="1"/>
    <col min="13" max="13" width="10.140625" style="4" customWidth="1"/>
    <col min="14" max="14" width="15" style="4" customWidth="1"/>
    <col min="15" max="15" width="12.42578125" style="4" customWidth="1"/>
    <col min="16" max="16" width="10.7109375" style="4" customWidth="1"/>
    <col min="17" max="17" width="9.140625" style="4"/>
    <col min="18" max="18" width="14.42578125" style="4" customWidth="1"/>
    <col min="19" max="19" width="13.28515625" style="4" customWidth="1"/>
    <col min="20" max="20" width="16.28515625" style="4" customWidth="1"/>
    <col min="21" max="21" width="12.7109375" style="4" customWidth="1"/>
    <col min="22" max="22" width="15.140625" style="4" customWidth="1"/>
    <col min="23" max="23" width="11.140625" style="4" customWidth="1"/>
    <col min="24" max="24" width="14" style="4" customWidth="1"/>
    <col min="25" max="25" width="14.140625" style="4" customWidth="1"/>
    <col min="26" max="26" width="15.42578125" style="4" customWidth="1"/>
    <col min="27" max="27" width="15.85546875" style="4" customWidth="1"/>
    <col min="28" max="29" width="13" style="4" customWidth="1"/>
    <col min="30" max="31" width="12.42578125" style="4" customWidth="1"/>
    <col min="32" max="33" width="13.140625" style="4" customWidth="1"/>
    <col min="34" max="16384" width="9.140625" style="4"/>
  </cols>
  <sheetData>
    <row r="1" spans="1:29" ht="39" thickBot="1" x14ac:dyDescent="0.25">
      <c r="A1" s="6" t="s">
        <v>79</v>
      </c>
      <c r="C1" s="6"/>
      <c r="E1" s="917" t="s">
        <v>80</v>
      </c>
      <c r="F1" s="917"/>
      <c r="G1" s="917"/>
      <c r="H1" s="918" t="s">
        <v>81</v>
      </c>
      <c r="I1" s="918"/>
      <c r="J1" s="918"/>
      <c r="L1" s="918" t="s">
        <v>81</v>
      </c>
      <c r="M1" s="918"/>
      <c r="N1" s="918"/>
      <c r="P1" s="918" t="s">
        <v>81</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602</v>
      </c>
      <c r="B2" s="912"/>
      <c r="C2" s="4" t="s">
        <v>90</v>
      </c>
      <c r="D2" s="70" t="s">
        <v>69</v>
      </c>
      <c r="E2" s="913" t="s">
        <v>60</v>
      </c>
      <c r="F2" s="914"/>
      <c r="G2" s="72"/>
      <c r="H2" s="402"/>
      <c r="I2" s="913" t="s">
        <v>60</v>
      </c>
      <c r="J2" s="914"/>
      <c r="K2" s="71"/>
      <c r="L2" s="402"/>
      <c r="M2" s="913" t="s">
        <v>62</v>
      </c>
      <c r="N2" s="914"/>
      <c r="O2" s="71"/>
      <c r="P2" s="402"/>
      <c r="Q2" s="913" t="s">
        <v>62</v>
      </c>
      <c r="R2" s="914"/>
      <c r="S2" s="71"/>
    </row>
    <row r="3" spans="1:29" ht="13.5" thickBot="1" x14ac:dyDescent="0.25">
      <c r="C3" s="10" t="s">
        <v>91</v>
      </c>
      <c r="E3" s="921" t="s">
        <v>604</v>
      </c>
      <c r="F3" s="922"/>
      <c r="H3" s="403"/>
      <c r="I3" s="923" t="s">
        <v>605</v>
      </c>
      <c r="J3" s="916"/>
      <c r="K3" s="73"/>
      <c r="L3" s="403"/>
      <c r="M3" s="915" t="s">
        <v>93</v>
      </c>
      <c r="N3" s="916"/>
      <c r="O3" s="73"/>
      <c r="P3" s="403"/>
      <c r="Q3" s="915" t="s">
        <v>94</v>
      </c>
      <c r="R3" s="916"/>
      <c r="S3" s="73"/>
      <c r="T3" s="6" t="str">
        <f>"Kytketty koneet: "&amp;IF(E2="k",E3&amp;" ","")&amp;IF(I2="k",I3&amp;" ","")&amp;IF(M2="k",M3&amp;" ","")&amp;(IF(Q2="k",Q3&amp;" ",""))</f>
        <v xml:space="preserve">Kytketty koneet: Valtra tiesarja Lana Ammattilaisen versio </v>
      </c>
    </row>
    <row r="4" spans="1:29" x14ac:dyDescent="0.2">
      <c r="A4" s="4" t="s">
        <v>95</v>
      </c>
      <c r="E4" s="4" t="s">
        <v>96</v>
      </c>
      <c r="F4" s="75">
        <v>6</v>
      </c>
      <c r="H4" s="119"/>
      <c r="I4" s="4" t="s">
        <v>96</v>
      </c>
      <c r="J4" s="75">
        <v>10</v>
      </c>
      <c r="K4" s="73"/>
      <c r="L4" s="119"/>
      <c r="M4" s="4" t="s">
        <v>96</v>
      </c>
      <c r="N4" s="75">
        <v>1</v>
      </c>
      <c r="O4" s="73"/>
      <c r="P4" s="119"/>
      <c r="Q4" s="4" t="s">
        <v>96</v>
      </c>
      <c r="R4" s="75">
        <v>1</v>
      </c>
      <c r="S4" s="73"/>
      <c r="T4" s="160" t="s">
        <v>97</v>
      </c>
    </row>
    <row r="5" spans="1:29" ht="13.5" thickBot="1" x14ac:dyDescent="0.25">
      <c r="A5" s="4" t="s">
        <v>98</v>
      </c>
      <c r="E5" s="4" t="s">
        <v>99</v>
      </c>
      <c r="F5" s="640">
        <v>1600</v>
      </c>
      <c r="H5" s="119"/>
      <c r="I5" s="4" t="s">
        <v>99</v>
      </c>
      <c r="J5" s="640">
        <v>165</v>
      </c>
      <c r="K5" s="73"/>
      <c r="L5" s="119"/>
      <c r="M5" s="4" t="s">
        <v>99</v>
      </c>
      <c r="N5" s="640">
        <v>1</v>
      </c>
      <c r="O5" s="73"/>
      <c r="P5" s="119"/>
      <c r="Q5" s="4" t="s">
        <v>99</v>
      </c>
      <c r="R5" s="640">
        <v>1</v>
      </c>
      <c r="S5" s="73"/>
      <c r="T5" s="641">
        <f>IF($E$2="k",(F5),0)+IF($I$2="k",(J5),0)+IF($M$2="k",(N5),0)+IF($Q$2="k",(R5),0)</f>
        <v>1765</v>
      </c>
    </row>
    <row r="6" spans="1:29" ht="13.5" thickBot="1" x14ac:dyDescent="0.25">
      <c r="A6" s="160" t="s">
        <v>545</v>
      </c>
      <c r="E6" s="795">
        <v>0.85</v>
      </c>
      <c r="F6" s="794">
        <f>E6*F5</f>
        <v>1360</v>
      </c>
      <c r="G6" s="793"/>
      <c r="I6" s="795">
        <v>0.9</v>
      </c>
      <c r="J6" s="794">
        <f>I6*J5</f>
        <v>148.5</v>
      </c>
      <c r="K6" s="73"/>
      <c r="M6" s="795">
        <f>I6</f>
        <v>0.9</v>
      </c>
      <c r="N6" s="794">
        <f>M6*N5</f>
        <v>0.9</v>
      </c>
      <c r="O6" s="73"/>
      <c r="Q6" s="795">
        <f>M6</f>
        <v>0.9</v>
      </c>
      <c r="R6" s="794">
        <f>Q6*R5</f>
        <v>0.9</v>
      </c>
      <c r="S6" s="73"/>
      <c r="T6" s="641">
        <f>IF($E$2="k",(F6),0)+IF($I$2="k",(J6),0)+IF($M$2="k",(N6),0)+IF($Q$2="k",(R6),0)</f>
        <v>1508.5</v>
      </c>
    </row>
    <row r="7" spans="1:29" x14ac:dyDescent="0.2">
      <c r="A7" s="4" t="s">
        <v>100</v>
      </c>
      <c r="F7" s="77">
        <v>120000</v>
      </c>
      <c r="H7" s="119"/>
      <c r="J7" s="77">
        <v>25000</v>
      </c>
      <c r="K7" s="73"/>
      <c r="L7" s="119"/>
      <c r="N7" s="77">
        <v>0</v>
      </c>
      <c r="O7" s="73"/>
      <c r="P7" s="119"/>
      <c r="R7" s="77">
        <v>0</v>
      </c>
      <c r="S7" s="73"/>
    </row>
    <row r="8" spans="1:29" x14ac:dyDescent="0.2">
      <c r="A8" s="4" t="s">
        <v>101</v>
      </c>
      <c r="E8" s="596">
        <v>0.255</v>
      </c>
      <c r="F8" s="222">
        <f>F7/(100%+E8)*E8</f>
        <v>24382.470119521913</v>
      </c>
      <c r="G8" s="7"/>
      <c r="H8" s="404"/>
      <c r="I8" s="596">
        <f>E8</f>
        <v>0.255</v>
      </c>
      <c r="J8" s="222">
        <f>J7/(100%+I8)*I8</f>
        <v>5079.6812749003984</v>
      </c>
      <c r="K8" s="79"/>
      <c r="L8" s="404"/>
      <c r="M8" s="596">
        <f>I8</f>
        <v>0.255</v>
      </c>
      <c r="N8" s="222">
        <f>N7/(100%+M8)*M8</f>
        <v>0</v>
      </c>
      <c r="O8" s="79"/>
      <c r="P8" s="404"/>
      <c r="Q8" s="596">
        <f>M8</f>
        <v>0.255</v>
      </c>
      <c r="R8" s="222">
        <f>R7/(100%+Q8)*Q8</f>
        <v>0</v>
      </c>
      <c r="S8" s="79"/>
    </row>
    <row r="9" spans="1:29" x14ac:dyDescent="0.2">
      <c r="A9" s="4" t="s">
        <v>102</v>
      </c>
      <c r="F9" s="80">
        <f>F7-F8</f>
        <v>95617.52988047809</v>
      </c>
      <c r="H9" s="119"/>
      <c r="J9" s="80">
        <f>J7-J8</f>
        <v>19920.318725099602</v>
      </c>
      <c r="K9" s="73"/>
      <c r="L9" s="119"/>
      <c r="N9" s="80">
        <f>N7-N8</f>
        <v>0</v>
      </c>
      <c r="O9" s="73"/>
      <c r="P9" s="119"/>
      <c r="R9" s="80">
        <f>R7-R8</f>
        <v>0</v>
      </c>
      <c r="S9" s="73"/>
    </row>
    <row r="10" spans="1:29" x14ac:dyDescent="0.2">
      <c r="A10" s="4" t="s">
        <v>103</v>
      </c>
      <c r="E10" s="225">
        <v>0.5</v>
      </c>
      <c r="F10" s="222">
        <f>E10*F9</f>
        <v>47808.764940239045</v>
      </c>
      <c r="H10" s="119"/>
      <c r="I10" s="225">
        <v>0.25</v>
      </c>
      <c r="J10" s="222">
        <f>I10*J9</f>
        <v>4980.0796812749004</v>
      </c>
      <c r="K10" s="73"/>
      <c r="L10" s="119"/>
      <c r="M10" s="225">
        <v>0</v>
      </c>
      <c r="N10" s="222">
        <f>M10*N9</f>
        <v>0</v>
      </c>
      <c r="O10" s="73"/>
      <c r="P10" s="119"/>
      <c r="Q10" s="225">
        <v>0</v>
      </c>
      <c r="R10" s="222">
        <f>Q10*R9</f>
        <v>0</v>
      </c>
      <c r="S10" s="73"/>
    </row>
    <row r="11" spans="1:29" x14ac:dyDescent="0.2">
      <c r="A11" s="4" t="s">
        <v>104</v>
      </c>
      <c r="F11" s="81">
        <f>F9-F10</f>
        <v>47808.764940239045</v>
      </c>
      <c r="H11" s="119"/>
      <c r="J11" s="81">
        <f>J9-J10</f>
        <v>14940.239043824702</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10358.565737051793</v>
      </c>
      <c r="H13" s="119"/>
      <c r="I13" s="226">
        <v>0.05</v>
      </c>
      <c r="J13" s="222">
        <f>IF(I2="k",IF($D$2="A",ABS(PMT(I13,J4,-J9,I10*J9,0)),SUM(J14:J15)),0)</f>
        <v>1992.0318725099603</v>
      </c>
      <c r="K13" s="73"/>
      <c r="L13" s="119"/>
      <c r="M13" s="226">
        <v>0.05</v>
      </c>
      <c r="N13" s="222">
        <f>IF(M2="k",IF($D$2="A",ABS(PMT(M13,N4,-N9,M10*N9,0)),SUM(N14:N15)),0)</f>
        <v>0</v>
      </c>
      <c r="O13" s="73"/>
      <c r="P13" s="119"/>
      <c r="Q13" s="226">
        <v>0.05</v>
      </c>
      <c r="R13" s="222">
        <f>IF(Q2="k",IF($D$2="A",ABS(PMT(Q13,R4,-R9,Q10*R9,0)),SUM(R14:R15)),0)</f>
        <v>0</v>
      </c>
      <c r="S13" s="73"/>
      <c r="T13" s="36">
        <f>SUM(F13,J13,N13,R13)</f>
        <v>12350.597609561753</v>
      </c>
    </row>
    <row r="14" spans="1:29" x14ac:dyDescent="0.2">
      <c r="B14" s="30" t="s">
        <v>109</v>
      </c>
      <c r="F14" s="84">
        <f>IF(E2="k",IF(D2="A",E13*F9,F9/2*E13),0)</f>
        <v>2390.4382470119522</v>
      </c>
      <c r="G14" s="10"/>
      <c r="H14" s="405"/>
      <c r="J14" s="84">
        <f>IF(I2="k",IF($D$2="A",I13*J9,J9/2*I13),0)</f>
        <v>498.00796812749007</v>
      </c>
      <c r="K14" s="85"/>
      <c r="L14" s="405"/>
      <c r="N14" s="84">
        <f>IF(M2="k",IF($D$2="A",M13*N9,N9/2*M13),0)</f>
        <v>0</v>
      </c>
      <c r="O14" s="85"/>
      <c r="P14" s="405"/>
      <c r="R14" s="84">
        <f>IF(Q2="k",IF($D$2="A",Q13*R9,R9/2*Q13),0)</f>
        <v>0</v>
      </c>
      <c r="S14" s="85"/>
      <c r="T14" s="36">
        <f t="shared" ref="T14:T25" si="0">SUM(F14,J14,N14,R14)</f>
        <v>2888.4462151394423</v>
      </c>
    </row>
    <row r="15" spans="1:29" ht="13.5" thickBot="1" x14ac:dyDescent="0.25">
      <c r="B15" s="32" t="s">
        <v>110</v>
      </c>
      <c r="C15" s="33"/>
      <c r="D15" s="33"/>
      <c r="E15" s="33"/>
      <c r="F15" s="86">
        <f>IF(E2="k",IF(D2="A",F13-F14,F11/F4),0)</f>
        <v>7968.1274900398412</v>
      </c>
      <c r="H15" s="119"/>
      <c r="J15" s="86">
        <f>IF(I2="k",IF($D$2="A",J13-J14,J11/J4),0)</f>
        <v>1494.0239043824702</v>
      </c>
      <c r="K15" s="73"/>
      <c r="L15" s="119"/>
      <c r="N15" s="86">
        <f>IF(M2="k",IF($D$2="A",N13-N14,N11/N4),0)</f>
        <v>0</v>
      </c>
      <c r="O15" s="73"/>
      <c r="P15" s="119"/>
      <c r="R15" s="86">
        <f>IF(Q2="k",IF($D$2="A",R13-R14,R11/R4),0)</f>
        <v>0</v>
      </c>
      <c r="S15" s="73"/>
      <c r="T15" s="36">
        <f t="shared" si="0"/>
        <v>9462.1513944223116</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1000</v>
      </c>
      <c r="G18" s="10"/>
      <c r="H18" s="405"/>
      <c r="J18" s="77">
        <v>0</v>
      </c>
      <c r="K18" s="85"/>
      <c r="L18" s="405"/>
      <c r="N18" s="77">
        <v>0</v>
      </c>
      <c r="O18" s="85"/>
      <c r="P18" s="405"/>
      <c r="R18" s="77">
        <v>0</v>
      </c>
      <c r="S18" s="85"/>
      <c r="T18" s="8">
        <f>IF($E$2="k",F18)+IF($I$2="k",J18)+IF($M$2="k",N18)+IF($Q$2="k",R18)</f>
        <v>1000</v>
      </c>
    </row>
    <row r="19" spans="1:29" x14ac:dyDescent="0.2">
      <c r="B19" s="35" t="s">
        <v>113</v>
      </c>
      <c r="C19" s="986" t="s">
        <v>691</v>
      </c>
      <c r="D19" s="986"/>
      <c r="E19" s="986"/>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286.85258964143429</v>
      </c>
      <c r="G21" s="10"/>
      <c r="H21" s="405"/>
      <c r="I21" s="226">
        <v>3.0000000000000001E-3</v>
      </c>
      <c r="J21" s="290">
        <f>IF(I2="k",I21*J9,0)</f>
        <v>59.760956175298809</v>
      </c>
      <c r="K21" s="85"/>
      <c r="L21" s="405"/>
      <c r="M21" s="226">
        <v>3.0000000000000001E-3</v>
      </c>
      <c r="N21" s="290">
        <f>IF(M2="k",M21*N9,0)</f>
        <v>0</v>
      </c>
      <c r="O21" s="85"/>
      <c r="P21" s="405"/>
      <c r="Q21" s="226">
        <v>3.0000000000000001E-3</v>
      </c>
      <c r="R21" s="19">
        <f>IF(Q2="k",Q21*R9,0)</f>
        <v>0</v>
      </c>
      <c r="S21" s="85"/>
      <c r="T21" s="36">
        <f t="shared" si="0"/>
        <v>346.61354581673311</v>
      </c>
    </row>
    <row r="22" spans="1:29" ht="13.5" thickBot="1" x14ac:dyDescent="0.25">
      <c r="B22" s="50" t="s">
        <v>115</v>
      </c>
      <c r="C22" s="51"/>
      <c r="D22" s="51"/>
      <c r="E22" s="52"/>
      <c r="F22" s="91">
        <f>IF(E2="k",SUM(F14:F21),0)</f>
        <v>11885.418326693227</v>
      </c>
      <c r="G22" s="209">
        <f>IF(E$6=0%,F22/F$5,F22/F$6)</f>
        <v>8.7392781813920788</v>
      </c>
      <c r="H22" s="406"/>
      <c r="J22" s="91">
        <f>IF(I2="k",SUM(J14:J21),0)</f>
        <v>2051.7928286852589</v>
      </c>
      <c r="K22" s="209">
        <f>IF(I$6=0%,J22/J$5,J22/J$6)</f>
        <v>13.816786725153259</v>
      </c>
      <c r="L22" s="406"/>
      <c r="N22" s="91">
        <f>IF(M2="k",SUM(N14:N21),0)</f>
        <v>0</v>
      </c>
      <c r="O22" s="209">
        <f>IF(M$6=0%,N22/N$5,N22/N$6)</f>
        <v>0</v>
      </c>
      <c r="P22" s="406"/>
      <c r="R22" s="93">
        <f>IF(Q2="k",SUM(R14:R21),0)</f>
        <v>0</v>
      </c>
      <c r="S22" s="209">
        <f>IF(Q$6=0%,R22/R$5,R22/R$6)</f>
        <v>0</v>
      </c>
      <c r="T22" s="94">
        <f t="shared" si="0"/>
        <v>13937.211155378485</v>
      </c>
      <c r="U22" s="425">
        <f>SUM(G22,K22,O22,S22)</f>
        <v>22.556064906545338</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2500</v>
      </c>
      <c r="G24" s="47"/>
      <c r="H24" s="409"/>
      <c r="J24" s="77">
        <v>1000</v>
      </c>
      <c r="K24" s="99"/>
      <c r="L24" s="409"/>
      <c r="N24" s="77">
        <v>0</v>
      </c>
      <c r="O24" s="99"/>
      <c r="P24" s="409"/>
      <c r="R24" s="77">
        <v>0</v>
      </c>
      <c r="S24" s="99"/>
      <c r="T24" s="8">
        <f>IF($E$2="k",F24)+IF($I$2="k",J24)+IF($M$2="k",N24)+IF($Q$2="k",R24)</f>
        <v>3500</v>
      </c>
    </row>
    <row r="25" spans="1:29" ht="15.75" x14ac:dyDescent="0.2">
      <c r="B25" s="11" t="s">
        <v>118</v>
      </c>
      <c r="C25" s="196">
        <v>15</v>
      </c>
      <c r="D25" s="197">
        <v>1.5</v>
      </c>
      <c r="E25" s="289"/>
      <c r="F25" s="100">
        <f>IF(E2="k",C25*D25*F5,0)</f>
        <v>36000</v>
      </c>
      <c r="G25" s="39"/>
      <c r="H25" s="410">
        <v>4</v>
      </c>
      <c r="I25" s="102">
        <f>$D$25</f>
        <v>1.5</v>
      </c>
      <c r="J25" s="100">
        <f>IF(I2="k",H25*I25*J5,0)</f>
        <v>990</v>
      </c>
      <c r="K25" s="101"/>
      <c r="L25" s="410">
        <f>H25</f>
        <v>4</v>
      </c>
      <c r="M25" s="102">
        <f>$D$25</f>
        <v>1.5</v>
      </c>
      <c r="N25" s="100">
        <f>IF(M2="k",L25*M25*N5,0)</f>
        <v>0</v>
      </c>
      <c r="O25" s="101"/>
      <c r="P25" s="410">
        <f>L25</f>
        <v>4</v>
      </c>
      <c r="Q25" s="102">
        <f>$D$25</f>
        <v>1.5</v>
      </c>
      <c r="R25" s="100">
        <f>IF(Q2="k",P25*Q25*R5,0)</f>
        <v>0</v>
      </c>
      <c r="S25" s="101"/>
      <c r="T25" s="36">
        <f t="shared" si="0"/>
        <v>36990</v>
      </c>
      <c r="V25" s="165" t="s">
        <v>37</v>
      </c>
      <c r="W25" s="642">
        <f>IF($E$2="k",(C25*F5),0)+IF($I$2="k",(H25*J5),0)+IF($M$2="k",(L25*N5),0)+IF($Q$2="k",(P25*R5),0)</f>
        <v>24660</v>
      </c>
      <c r="X25" s="642">
        <f>W25/159</f>
        <v>155.09433962264151</v>
      </c>
      <c r="Y25" s="161">
        <f>VLOOKUP(V25,Ohjeet!A63:F68,6,FALSE)</f>
        <v>2.66</v>
      </c>
      <c r="Z25" s="163">
        <f>W25*Y25</f>
        <v>65595.600000000006</v>
      </c>
      <c r="AA25" s="164">
        <f>Z25/1000</f>
        <v>65.595600000000005</v>
      </c>
      <c r="AB25" s="162">
        <f>Z25*0.27</f>
        <v>17710.812000000002</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37.164645892351281</v>
      </c>
    </row>
    <row r="27" spans="1:29"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0.28000000000000003</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1680.2800000000002</v>
      </c>
    </row>
    <row r="28" spans="1:29" x14ac:dyDescent="0.2">
      <c r="B28" s="396" t="s">
        <v>125</v>
      </c>
      <c r="C28" s="919" t="s">
        <v>126</v>
      </c>
      <c r="D28" s="920"/>
      <c r="E28" s="920"/>
      <c r="F28" s="77">
        <v>2000</v>
      </c>
      <c r="G28" s="39"/>
      <c r="H28" s="411"/>
      <c r="I28" s="412" t="str">
        <f>$B$28</f>
        <v>Muut:</v>
      </c>
      <c r="J28" s="77">
        <v>500</v>
      </c>
      <c r="K28" s="101"/>
      <c r="L28" s="411"/>
      <c r="M28" s="412" t="str">
        <f>$B$28</f>
        <v>Muut:</v>
      </c>
      <c r="N28" s="77">
        <v>0</v>
      </c>
      <c r="O28" s="101"/>
      <c r="P28" s="411"/>
      <c r="Q28" s="412" t="str">
        <f>$B$28</f>
        <v>Muut:</v>
      </c>
      <c r="R28" s="77">
        <v>0</v>
      </c>
      <c r="S28" s="101"/>
      <c r="T28" s="8">
        <f>IF($E$2="k",F28)+IF($I$2="k",J28)+IF($M$2="k",N28)+IF($Q$2="k",R28)</f>
        <v>2500</v>
      </c>
    </row>
    <row r="29" spans="1:29" ht="13.5" thickBot="1" x14ac:dyDescent="0.25">
      <c r="B29" s="396" t="s">
        <v>125</v>
      </c>
      <c r="C29" s="919"/>
      <c r="D29" s="920"/>
      <c r="E29" s="920"/>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42180</v>
      </c>
      <c r="G30" s="209">
        <f>IF(E$6=0%,F30/F$5,F30/F$6)</f>
        <v>31.014705882352942</v>
      </c>
      <c r="H30" s="413"/>
      <c r="J30" s="55">
        <f>IF(I2="k",SUM(J24:J29),0)</f>
        <v>2490.2799999999997</v>
      </c>
      <c r="K30" s="209">
        <f>IF(I$6=0%,J30/J$5,J30/J$6)</f>
        <v>16.769562289562288</v>
      </c>
      <c r="L30" s="413"/>
      <c r="N30" s="55">
        <f>IF(M2="k",SUM(N24:N29),0)</f>
        <v>0</v>
      </c>
      <c r="O30" s="209">
        <f>IF(M$6=0%,N30/N$5,N30/N$6)</f>
        <v>0</v>
      </c>
      <c r="P30" s="413"/>
      <c r="R30" s="55">
        <f>IF(Q2="k",SUM(R24:R29),0)</f>
        <v>0</v>
      </c>
      <c r="S30" s="209">
        <f>IF(Q$6=0%,R30/R$5,R30/R$6)</f>
        <v>0</v>
      </c>
      <c r="T30" s="94">
        <f t="shared" ref="T30:T38" si="1">SUM(F30,J30,N30,R30)</f>
        <v>44670.28</v>
      </c>
      <c r="U30" s="105">
        <f>SUM(G30,K30,O30,S30)</f>
        <v>47.78426817191523</v>
      </c>
      <c r="V30" s="158"/>
    </row>
    <row r="31" spans="1:29" ht="13.5" thickBot="1" x14ac:dyDescent="0.25">
      <c r="A31" s="6" t="s">
        <v>128</v>
      </c>
      <c r="F31" s="106">
        <f>F22+F30</f>
        <v>54065.418326693223</v>
      </c>
      <c r="G31" s="12"/>
      <c r="H31" s="415"/>
      <c r="J31" s="55">
        <f>IF(I2="k",J22+J30,0)</f>
        <v>4542.0728286852591</v>
      </c>
      <c r="K31" s="107"/>
      <c r="L31" s="415"/>
      <c r="N31" s="55">
        <f>IF(M2="k",N22+N30,0)</f>
        <v>0</v>
      </c>
      <c r="O31" s="107"/>
      <c r="P31" s="415"/>
      <c r="R31" s="55">
        <f>IF(Q2="k",R22+R30,0)</f>
        <v>0</v>
      </c>
      <c r="S31" s="107"/>
      <c r="T31" s="94">
        <f t="shared" si="1"/>
        <v>58607.491155378484</v>
      </c>
    </row>
    <row r="32" spans="1:29" ht="13.5" thickBot="1" x14ac:dyDescent="0.25">
      <c r="F32" s="7"/>
      <c r="H32" s="119"/>
      <c r="J32" s="7"/>
      <c r="K32" s="73"/>
      <c r="L32" s="119"/>
      <c r="N32" s="7"/>
      <c r="O32" s="73"/>
      <c r="P32" s="119"/>
      <c r="R32" s="7"/>
      <c r="S32" s="73"/>
    </row>
    <row r="33" spans="1:33" ht="13.5" thickBot="1" x14ac:dyDescent="0.25">
      <c r="A33" s="6" t="s">
        <v>129</v>
      </c>
      <c r="F33" s="235">
        <f>IF(E2="k",IF(E6=0%,F31/F5,F31/F6),0)</f>
        <v>39.753984063745015</v>
      </c>
      <c r="G33" s="12"/>
      <c r="H33" s="415"/>
      <c r="J33" s="235">
        <f>IF(I2="k",IF(I6=0%,J31/J5,J31/J6),0)</f>
        <v>30.586349014715548</v>
      </c>
      <c r="K33" s="107"/>
      <c r="L33" s="415"/>
      <c r="N33" s="235">
        <f>IF(M2="k",IF(M6=0%,N31/N5,N31/N6),0)</f>
        <v>0</v>
      </c>
      <c r="O33" s="107"/>
      <c r="P33" s="415"/>
      <c r="R33" s="235">
        <f>IF(Q2="k",IF(Q6=0%,R31/R5,R31/R6),0)</f>
        <v>0</v>
      </c>
      <c r="S33" s="107"/>
      <c r="T33" s="108">
        <f t="shared" si="1"/>
        <v>70.34033307846056</v>
      </c>
    </row>
    <row r="34" spans="1:33" x14ac:dyDescent="0.2">
      <c r="B34" s="6" t="s">
        <v>130</v>
      </c>
      <c r="E34" s="203">
        <v>0.15</v>
      </c>
      <c r="F34" s="234">
        <f>IF(E2="k",((100%/(100%-E34))*F33)-F33,0)</f>
        <v>7.0154089524255951</v>
      </c>
      <c r="G34" s="10"/>
      <c r="H34" s="405"/>
      <c r="I34" s="295">
        <f>E34</f>
        <v>0.15</v>
      </c>
      <c r="J34" s="234">
        <f>IF(I2="k",((100%/(100%-I34))*J33)-J33,0)</f>
        <v>5.3975910025968652</v>
      </c>
      <c r="K34" s="85"/>
      <c r="L34" s="405"/>
      <c r="M34" s="295">
        <f>I34</f>
        <v>0.15</v>
      </c>
      <c r="N34" s="234">
        <f>IF(M2="k",((100%/(100%-M34))*N33)-N33,0)</f>
        <v>0</v>
      </c>
      <c r="O34" s="85"/>
      <c r="P34" s="405"/>
      <c r="Q34" s="295">
        <f>M34</f>
        <v>0.15</v>
      </c>
      <c r="R34" s="234">
        <f>IF(Q2="k",((100%/(100%-Q34))*R33)-R33,0)</f>
        <v>0</v>
      </c>
      <c r="S34" s="85"/>
      <c r="T34" s="36">
        <f t="shared" si="1"/>
        <v>12.41299995502246</v>
      </c>
    </row>
    <row r="35" spans="1:33" x14ac:dyDescent="0.2">
      <c r="B35" s="4" t="s">
        <v>131</v>
      </c>
      <c r="C35" s="160" t="s">
        <v>132</v>
      </c>
      <c r="F35" s="292">
        <v>25</v>
      </c>
      <c r="G35" s="10"/>
      <c r="H35" s="405"/>
      <c r="I35" s="109" t="s">
        <v>133</v>
      </c>
      <c r="J35" s="292">
        <v>0</v>
      </c>
      <c r="K35" s="85"/>
      <c r="L35" s="405"/>
      <c r="M35" s="109" t="str">
        <f>I35</f>
        <v>Traktorissa</v>
      </c>
      <c r="N35" s="292">
        <v>0</v>
      </c>
      <c r="O35" s="85"/>
      <c r="P35" s="405"/>
      <c r="Q35" s="109" t="str">
        <f>M35</f>
        <v>Traktorissa</v>
      </c>
      <c r="R35" s="292">
        <v>0</v>
      </c>
      <c r="S35" s="85"/>
      <c r="T35" s="8">
        <f>IF($E$2="k",F35)+IF($I$2="k",J35)+IF($M$2="k",N35)+IF($Q$2="k",R35)</f>
        <v>25</v>
      </c>
    </row>
    <row r="36" spans="1:33" ht="18" x14ac:dyDescent="0.25">
      <c r="B36" s="116" t="s">
        <v>134</v>
      </c>
      <c r="C36" s="115"/>
      <c r="D36" s="115"/>
      <c r="E36" s="115"/>
      <c r="F36" s="293">
        <f>IF(E2="K",SUM(F33:F35),0)</f>
        <v>71.769393016170611</v>
      </c>
      <c r="G36" s="10"/>
      <c r="H36" s="405"/>
      <c r="J36" s="293">
        <f>IF(I2="K",SUM(J33:J35),0)</f>
        <v>35.983940017312413</v>
      </c>
      <c r="K36" s="85"/>
      <c r="L36" s="405"/>
      <c r="N36" s="293">
        <f>IF(M2="K",SUM(N33:N35),0)</f>
        <v>0</v>
      </c>
      <c r="O36" s="85"/>
      <c r="P36" s="405"/>
      <c r="R36" s="293">
        <f>IF(Q2="K",SUM(R33:R35),0)</f>
        <v>0</v>
      </c>
      <c r="S36" s="10"/>
      <c r="T36" s="855">
        <f>SUM(F36,J36,N36,R36)</f>
        <v>107.75333303348302</v>
      </c>
    </row>
    <row r="37" spans="1:33" ht="13.5" thickBot="1" x14ac:dyDescent="0.25">
      <c r="B37" s="119" t="s">
        <v>135</v>
      </c>
      <c r="E37" s="592">
        <v>0.255</v>
      </c>
      <c r="F37" s="291">
        <f>E37*F36</f>
        <v>18.301195219123507</v>
      </c>
      <c r="G37" s="401"/>
      <c r="H37" s="405"/>
      <c r="I37" s="593">
        <f>$E$37</f>
        <v>0.255</v>
      </c>
      <c r="J37" s="291">
        <f>I37*J36</f>
        <v>9.1759047044146662</v>
      </c>
      <c r="K37" s="85"/>
      <c r="L37" s="405"/>
      <c r="M37" s="593">
        <f>$E$37</f>
        <v>0.255</v>
      </c>
      <c r="N37" s="291">
        <f>M37*N36</f>
        <v>0</v>
      </c>
      <c r="O37" s="85"/>
      <c r="P37" s="405"/>
      <c r="Q37" s="593">
        <f>$E$37</f>
        <v>0.255</v>
      </c>
      <c r="R37" s="291">
        <f>Q37*R36</f>
        <v>0</v>
      </c>
      <c r="S37" s="85"/>
      <c r="T37" s="120">
        <f>SUM(F37,J37,N37,R37)</f>
        <v>27.477099923538173</v>
      </c>
    </row>
    <row r="38" spans="1:33" ht="13.5" thickBot="1" x14ac:dyDescent="0.25">
      <c r="B38" s="121" t="s">
        <v>136</v>
      </c>
      <c r="C38" s="114"/>
      <c r="D38" s="114"/>
      <c r="E38" s="114"/>
      <c r="F38" s="110">
        <f>IF(E2="k",SUM(F36:F37),0)</f>
        <v>90.07058823529411</v>
      </c>
      <c r="G38" s="113"/>
      <c r="H38" s="416"/>
      <c r="I38" s="114"/>
      <c r="J38" s="110">
        <f>IF(I2="k",SUM(J36:J37),0)</f>
        <v>45.159844721727083</v>
      </c>
      <c r="K38" s="112"/>
      <c r="L38" s="416"/>
      <c r="M38" s="114"/>
      <c r="N38" s="110">
        <f>IF(M2="k",SUM(N36:N37),0)</f>
        <v>0</v>
      </c>
      <c r="O38" s="112"/>
      <c r="P38" s="416"/>
      <c r="Q38" s="114"/>
      <c r="R38" s="110">
        <f>IF(Q2="k",SUM(R36:R37),0)</f>
        <v>0</v>
      </c>
      <c r="S38" s="112"/>
      <c r="T38" s="108">
        <f t="shared" si="1"/>
        <v>135.23043295702121</v>
      </c>
    </row>
    <row r="39" spans="1:33" ht="13.5" thickBot="1" x14ac:dyDescent="0.25"/>
    <row r="40" spans="1:33" ht="39" customHeight="1" thickBot="1" x14ac:dyDescent="0.25">
      <c r="B40" s="1040" t="str">
        <f>T3</f>
        <v xml:space="preserve">Kytketty koneet: Valtra tiesarja Lana Ammattilaisen versio </v>
      </c>
      <c r="C40" s="1041"/>
      <c r="D40" s="1041"/>
      <c r="E40" s="1042"/>
      <c r="F40" s="877">
        <v>1</v>
      </c>
      <c r="M40" s="1043">
        <v>2</v>
      </c>
      <c r="N40" s="1043"/>
      <c r="O40" s="1043"/>
      <c r="P40" s="1043"/>
      <c r="Q40" s="1043"/>
      <c r="R40" s="1044">
        <v>6</v>
      </c>
      <c r="S40" s="1045"/>
      <c r="T40" s="1046"/>
      <c r="U40" s="1047">
        <v>4</v>
      </c>
      <c r="V40" s="1048"/>
      <c r="W40" s="360">
        <v>3</v>
      </c>
      <c r="X40" s="1049">
        <v>5</v>
      </c>
      <c r="Y40" s="1049"/>
      <c r="Z40" s="1049">
        <v>7</v>
      </c>
      <c r="AA40" s="1049"/>
      <c r="AB40" s="1049"/>
      <c r="AC40" s="882">
        <v>8</v>
      </c>
      <c r="AD40" s="883"/>
      <c r="AE40" s="883"/>
      <c r="AF40" s="884"/>
      <c r="AG40" s="863">
        <v>9</v>
      </c>
    </row>
    <row r="41" spans="1:33" ht="12.75" customHeight="1" x14ac:dyDescent="0.25">
      <c r="A41" s="992" t="s">
        <v>651</v>
      </c>
      <c r="B41" s="994" t="s">
        <v>556</v>
      </c>
      <c r="C41" s="994"/>
      <c r="D41" s="987" t="s">
        <v>704</v>
      </c>
      <c r="E41" s="987"/>
      <c r="F41" s="987"/>
      <c r="G41" s="1060" t="s">
        <v>559</v>
      </c>
      <c r="H41" s="1059" t="s">
        <v>627</v>
      </c>
      <c r="I41" s="1012" t="s">
        <v>596</v>
      </c>
      <c r="J41" s="1015" t="s">
        <v>636</v>
      </c>
      <c r="K41" s="1016" t="s">
        <v>618</v>
      </c>
      <c r="L41" s="1022" t="s">
        <v>647</v>
      </c>
      <c r="M41" s="1004" t="s">
        <v>631</v>
      </c>
      <c r="N41" s="1022" t="s">
        <v>649</v>
      </c>
      <c r="O41" s="1004" t="s">
        <v>632</v>
      </c>
      <c r="P41" s="1022" t="s">
        <v>648</v>
      </c>
      <c r="Q41" s="1004" t="s">
        <v>633</v>
      </c>
      <c r="R41" s="1062" t="s">
        <v>611</v>
      </c>
      <c r="S41" s="1063"/>
      <c r="T41" s="1064"/>
      <c r="U41" s="1050" t="s">
        <v>558</v>
      </c>
      <c r="V41" s="1051"/>
      <c r="W41" s="836"/>
      <c r="X41" s="1052" t="s">
        <v>617</v>
      </c>
      <c r="Y41" s="1053"/>
      <c r="Z41" s="890" t="s">
        <v>209</v>
      </c>
      <c r="AC41" s="875"/>
      <c r="AD41" s="875"/>
      <c r="AE41" s="875"/>
      <c r="AF41" s="875"/>
      <c r="AG41" s="876"/>
    </row>
    <row r="42" spans="1:33" ht="63.75" customHeight="1" x14ac:dyDescent="0.2">
      <c r="A42" s="993"/>
      <c r="B42" s="995"/>
      <c r="C42" s="995"/>
      <c r="D42" s="902" t="s">
        <v>705</v>
      </c>
      <c r="E42" s="902" t="s">
        <v>706</v>
      </c>
      <c r="F42" s="902" t="s">
        <v>707</v>
      </c>
      <c r="G42" s="1061"/>
      <c r="H42" s="1059"/>
      <c r="I42" s="1013"/>
      <c r="J42" s="1015"/>
      <c r="K42" s="1017"/>
      <c r="L42" s="1022"/>
      <c r="M42" s="1005"/>
      <c r="N42" s="1022"/>
      <c r="O42" s="1005"/>
      <c r="P42" s="1022"/>
      <c r="Q42" s="1005"/>
      <c r="R42" s="1018" t="s">
        <v>608</v>
      </c>
      <c r="S42" s="1020" t="s">
        <v>609</v>
      </c>
      <c r="T42" s="1026" t="s">
        <v>560</v>
      </c>
      <c r="U42" s="1054" t="s">
        <v>623</v>
      </c>
      <c r="V42" s="1012" t="s">
        <v>624</v>
      </c>
      <c r="W42" s="1055" t="s">
        <v>610</v>
      </c>
      <c r="X42" s="1012" t="s">
        <v>614</v>
      </c>
      <c r="Y42" s="1057" t="s">
        <v>612</v>
      </c>
      <c r="Z42" s="1031" t="s">
        <v>674</v>
      </c>
      <c r="AA42" s="1032" t="s">
        <v>659</v>
      </c>
      <c r="AB42" s="1004" t="s">
        <v>660</v>
      </c>
      <c r="AC42" s="872" t="s">
        <v>622</v>
      </c>
      <c r="AD42" s="872" t="s">
        <v>629</v>
      </c>
      <c r="AE42" s="872" t="s">
        <v>628</v>
      </c>
      <c r="AF42" s="872" t="s">
        <v>630</v>
      </c>
      <c r="AG42" s="870" t="s">
        <v>621</v>
      </c>
    </row>
    <row r="43" spans="1:33" ht="48" customHeight="1" thickBot="1" x14ac:dyDescent="0.25">
      <c r="A43" s="993"/>
      <c r="B43" s="995"/>
      <c r="C43" s="995"/>
      <c r="D43" s="988" t="s">
        <v>711</v>
      </c>
      <c r="E43" s="989"/>
      <c r="F43" s="901" t="s">
        <v>711</v>
      </c>
      <c r="G43" s="903" t="s">
        <v>712</v>
      </c>
      <c r="H43" s="1059"/>
      <c r="I43" s="1014"/>
      <c r="J43" s="1015"/>
      <c r="K43" s="835" t="s">
        <v>613</v>
      </c>
      <c r="L43" s="1022"/>
      <c r="M43" s="1005"/>
      <c r="N43" s="1022"/>
      <c r="O43" s="1005"/>
      <c r="P43" s="1022"/>
      <c r="Q43" s="1005"/>
      <c r="R43" s="1019"/>
      <c r="S43" s="1021"/>
      <c r="T43" s="1027"/>
      <c r="U43" s="1054"/>
      <c r="V43" s="1014"/>
      <c r="W43" s="1056"/>
      <c r="X43" s="1014"/>
      <c r="Y43" s="1058"/>
      <c r="Z43" s="1031"/>
      <c r="AA43" s="1033"/>
      <c r="AB43" s="1004"/>
      <c r="AC43" s="873"/>
      <c r="AD43" s="873"/>
      <c r="AE43" s="873"/>
      <c r="AF43" s="873"/>
      <c r="AG43" s="871"/>
    </row>
    <row r="44" spans="1:33" ht="24.95" customHeight="1" x14ac:dyDescent="0.2">
      <c r="A44" s="869" t="s">
        <v>48</v>
      </c>
      <c r="B44" s="996" t="s">
        <v>662</v>
      </c>
      <c r="C44" s="997"/>
      <c r="D44" s="124">
        <v>3</v>
      </c>
      <c r="E44" s="124">
        <v>5</v>
      </c>
      <c r="F44" s="731">
        <f>IF($A44="","",IF(AND(D44&gt;0,E44&gt;0),(AVERAGE(D44:E44)),""))</f>
        <v>4</v>
      </c>
      <c r="G44" s="149">
        <v>1</v>
      </c>
      <c r="H44" s="149">
        <v>1</v>
      </c>
      <c r="I44" s="351">
        <v>2</v>
      </c>
      <c r="J44" s="894">
        <v>1</v>
      </c>
      <c r="K44" s="822">
        <v>0</v>
      </c>
      <c r="L44" s="895"/>
      <c r="M44" s="854">
        <f>IF($A44="","",IF(D44&gt;0,IF(L44&gt;0,L44,$T$36),0))</f>
        <v>107.75333303348302</v>
      </c>
      <c r="N44" s="895"/>
      <c r="O44" s="821">
        <f>IF($A44="","",IF(D44&gt;0,IF(N44&gt;0,N44,$U$30),0))</f>
        <v>47.78426817191523</v>
      </c>
      <c r="P44" s="895"/>
      <c r="Q44" s="821">
        <f>IF($A44="","",IF(D44&gt;0,IF(P44&gt;0,P44,$U$22),0))</f>
        <v>22.556064906545338</v>
      </c>
      <c r="R44" s="897">
        <f t="shared" ref="R44:R48" si="2">IF($A44="","",IF(X44&gt;0,X44/W44,0))</f>
        <v>35.917777677827672</v>
      </c>
      <c r="S44" s="908">
        <f t="shared" ref="S44:S48" si="3">IF($A44="","",IF(Y44&gt;0,Y44/W44,0))</f>
        <v>21.550666606696605</v>
      </c>
      <c r="T44" s="908">
        <f t="shared" ref="T44:T48" si="4">IF($A44="","",IF(U44&gt;0,W44/F44*M44/W44*H44,0))</f>
        <v>26.938333258370754</v>
      </c>
      <c r="U44" s="303">
        <f>IF($A44="","",IF(D44&gt;0,W44/D44*H44,0))</f>
        <v>0.66666666666666663</v>
      </c>
      <c r="V44" s="839">
        <f>IF($A44="","",IF(E44&gt;0,W44/E44*H44,0))</f>
        <v>0.4</v>
      </c>
      <c r="W44" s="860">
        <f>IF($A44="","",IF(AND(G44&gt;0,M44&gt;0),G44*I44*J44,0))</f>
        <v>2</v>
      </c>
      <c r="X44" s="821">
        <f>IF($A44="","",IF(U44&gt;0,U44*M44,0))</f>
        <v>71.835555355655345</v>
      </c>
      <c r="Y44" s="861">
        <f>IF($A44="","",IF(V44&gt;0,V44*M44,0))</f>
        <v>43.101333213393211</v>
      </c>
      <c r="Z44" s="864">
        <f>IF($A44="","",T44*W44)</f>
        <v>53.876666516741508</v>
      </c>
      <c r="AA44" s="885">
        <f>IF($A44="","",K44*J44)</f>
        <v>0</v>
      </c>
      <c r="AB44" s="889">
        <f>SUM(Z44:AA44)</f>
        <v>53.876666516741508</v>
      </c>
      <c r="AC44" s="821">
        <f t="shared" ref="AC44:AC57" si="5">IF($A44="","",IF(T44&gt;0,O44*(AVERAGE(U44:V44)),0))</f>
        <v>25.484943025021455</v>
      </c>
      <c r="AD44" s="821">
        <f t="shared" ref="AD44:AD57" si="6">IF($A44="","",IF(Z44&gt;0,Q44*(AVERAGE(U44:V44)),0))</f>
        <v>12.029901283490847</v>
      </c>
      <c r="AE44" s="821">
        <f>IF($A44="","",IF(Z44&gt;0,$T$35*(AVERAGE(U44:V44)),0))</f>
        <v>13.333333333333334</v>
      </c>
      <c r="AF44" s="821">
        <f t="shared" ref="AF44:AF57" si="7">IF($A44="","",SUM(AC44:AE44))</f>
        <v>50.848177641845638</v>
      </c>
      <c r="AG44" s="865">
        <f>IF($A44="","",IF(AB44&gt;0,AB44-AF44,0))</f>
        <v>3.0284888748958707</v>
      </c>
    </row>
    <row r="45" spans="1:33" ht="24.95" customHeight="1" x14ac:dyDescent="0.2">
      <c r="A45" s="869" t="s">
        <v>48</v>
      </c>
      <c r="B45" s="996" t="s">
        <v>663</v>
      </c>
      <c r="C45" s="997"/>
      <c r="D45" s="124">
        <v>4</v>
      </c>
      <c r="E45" s="124">
        <v>6</v>
      </c>
      <c r="F45" s="731">
        <f t="shared" ref="F45:F57" si="8">IF($A45="","",IF(AND(D45&gt;0,E45&gt;0),(AVERAGE(D45:E45)),""))</f>
        <v>5</v>
      </c>
      <c r="G45" s="149">
        <v>1</v>
      </c>
      <c r="H45" s="149">
        <v>1</v>
      </c>
      <c r="I45" s="351">
        <v>2</v>
      </c>
      <c r="J45" s="894">
        <v>1</v>
      </c>
      <c r="K45" s="822">
        <v>0</v>
      </c>
      <c r="L45" s="895"/>
      <c r="M45" s="854">
        <f t="shared" ref="M45:M57" si="9">IF($A45="","",IF(D45&gt;0,IF(L45&gt;0,L45,$T$36),0))</f>
        <v>107.75333303348302</v>
      </c>
      <c r="N45" s="895"/>
      <c r="O45" s="821">
        <f t="shared" ref="O45:O57" si="10">IF($A45="","",IF(D45&gt;0,IF(N45&gt;0,N45,$U$30),0))</f>
        <v>47.78426817191523</v>
      </c>
      <c r="P45" s="895"/>
      <c r="Q45" s="821">
        <f t="shared" ref="Q45:Q57" si="11">IF($A45="","",IF(D45&gt;0,IF(P45&gt;0,P45,$U$22),0))</f>
        <v>22.556064906545338</v>
      </c>
      <c r="R45" s="897">
        <f t="shared" si="2"/>
        <v>26.938333258370754</v>
      </c>
      <c r="S45" s="908">
        <f t="shared" si="3"/>
        <v>17.958888838913836</v>
      </c>
      <c r="T45" s="908">
        <f t="shared" si="4"/>
        <v>21.550666606696605</v>
      </c>
      <c r="U45" s="303">
        <f t="shared" ref="U45:U57" si="12">IF($A45="","",IF(D45&gt;0,W45/D45*H45,0))</f>
        <v>0.5</v>
      </c>
      <c r="V45" s="839">
        <f t="shared" ref="V45:V57" si="13">IF($A45="","",IF(E45&gt;0,W45/E45*H45,0))</f>
        <v>0.33333333333333331</v>
      </c>
      <c r="W45" s="860">
        <f t="shared" ref="W45:W57" si="14">IF($A45="","",IF(AND(G45&gt;0,M45&gt;0),G45*I45*J45,0))</f>
        <v>2</v>
      </c>
      <c r="X45" s="821">
        <f t="shared" ref="X45:X57" si="15">IF($A45="","",IF(U45&gt;0,U45*M45,0))</f>
        <v>53.876666516741508</v>
      </c>
      <c r="Y45" s="861">
        <f t="shared" ref="Y45:Y57" si="16">IF($A45="","",IF(V45&gt;0,V45*M45,0))</f>
        <v>35.917777677827672</v>
      </c>
      <c r="Z45" s="864">
        <f t="shared" ref="Z45:Z57" si="17">IF($A45="","",T45*W45)</f>
        <v>43.101333213393211</v>
      </c>
      <c r="AA45" s="885">
        <f t="shared" ref="AA45:AA57" si="18">IF($A45="","",K45*J45)</f>
        <v>0</v>
      </c>
      <c r="AB45" s="889">
        <f t="shared" ref="AB45:AB57" si="19">SUM(Z45:AA45)</f>
        <v>43.101333213393211</v>
      </c>
      <c r="AC45" s="821">
        <f t="shared" si="5"/>
        <v>19.91011173829801</v>
      </c>
      <c r="AD45" s="821">
        <f t="shared" si="6"/>
        <v>9.398360377727224</v>
      </c>
      <c r="AE45" s="821">
        <f t="shared" ref="AE45:AE57" si="20">IF($A45="","",IF(Z45&gt;0,$T$35*(AVERAGE(U45:V45)),0))</f>
        <v>10.416666666666666</v>
      </c>
      <c r="AF45" s="821">
        <f t="shared" si="7"/>
        <v>39.7251387826919</v>
      </c>
      <c r="AG45" s="865">
        <f t="shared" ref="AG45:AG46" si="21">IF($A45="","",IF(AB45&gt;0,AB45-AF45,0))</f>
        <v>3.376194430701311</v>
      </c>
    </row>
    <row r="46" spans="1:33" ht="24.95" customHeight="1" x14ac:dyDescent="0.2">
      <c r="A46" s="869" t="s">
        <v>48</v>
      </c>
      <c r="B46" s="996" t="s">
        <v>664</v>
      </c>
      <c r="C46" s="997"/>
      <c r="D46" s="633">
        <v>3</v>
      </c>
      <c r="E46" s="633">
        <v>6</v>
      </c>
      <c r="F46" s="731">
        <f t="shared" si="8"/>
        <v>4.5</v>
      </c>
      <c r="G46" s="149">
        <v>1</v>
      </c>
      <c r="H46" s="149">
        <v>1</v>
      </c>
      <c r="I46" s="351">
        <v>2</v>
      </c>
      <c r="J46" s="894">
        <v>1</v>
      </c>
      <c r="K46" s="822">
        <v>0</v>
      </c>
      <c r="L46" s="895"/>
      <c r="M46" s="854">
        <f t="shared" si="9"/>
        <v>107.75333303348302</v>
      </c>
      <c r="N46" s="895"/>
      <c r="O46" s="821">
        <f t="shared" si="10"/>
        <v>47.78426817191523</v>
      </c>
      <c r="P46" s="895"/>
      <c r="Q46" s="821">
        <f t="shared" si="11"/>
        <v>22.556064906545338</v>
      </c>
      <c r="R46" s="897">
        <f t="shared" si="2"/>
        <v>35.917777677827672</v>
      </c>
      <c r="S46" s="908">
        <f t="shared" si="3"/>
        <v>17.958888838913836</v>
      </c>
      <c r="T46" s="908">
        <f t="shared" si="4"/>
        <v>23.94518511855178</v>
      </c>
      <c r="U46" s="303">
        <f t="shared" si="12"/>
        <v>0.66666666666666663</v>
      </c>
      <c r="V46" s="839">
        <f t="shared" si="13"/>
        <v>0.33333333333333331</v>
      </c>
      <c r="W46" s="860">
        <f t="shared" si="14"/>
        <v>2</v>
      </c>
      <c r="X46" s="821">
        <f t="shared" si="15"/>
        <v>71.835555355655345</v>
      </c>
      <c r="Y46" s="861">
        <f t="shared" si="16"/>
        <v>35.917777677827672</v>
      </c>
      <c r="Z46" s="864">
        <f t="shared" si="17"/>
        <v>47.890370237103561</v>
      </c>
      <c r="AA46" s="885">
        <f t="shared" si="18"/>
        <v>0</v>
      </c>
      <c r="AB46" s="889">
        <f t="shared" si="19"/>
        <v>47.890370237103561</v>
      </c>
      <c r="AC46" s="821">
        <f t="shared" si="5"/>
        <v>23.892134085957615</v>
      </c>
      <c r="AD46" s="821">
        <f t="shared" si="6"/>
        <v>11.278032453272669</v>
      </c>
      <c r="AE46" s="821">
        <f t="shared" si="20"/>
        <v>12.5</v>
      </c>
      <c r="AF46" s="821">
        <f t="shared" si="7"/>
        <v>47.67016653923028</v>
      </c>
      <c r="AG46" s="865">
        <f t="shared" si="21"/>
        <v>0.22020369787328065</v>
      </c>
    </row>
    <row r="47" spans="1:33" ht="24.95" customHeight="1" x14ac:dyDescent="0.2">
      <c r="A47" s="869"/>
      <c r="B47" s="996" t="s">
        <v>665</v>
      </c>
      <c r="C47" s="997"/>
      <c r="D47" s="124">
        <v>3</v>
      </c>
      <c r="E47" s="124">
        <v>5</v>
      </c>
      <c r="F47" s="731" t="str">
        <f t="shared" si="8"/>
        <v/>
      </c>
      <c r="G47" s="149">
        <v>1</v>
      </c>
      <c r="H47" s="149">
        <v>1</v>
      </c>
      <c r="I47" s="351">
        <v>2</v>
      </c>
      <c r="J47" s="894">
        <v>1</v>
      </c>
      <c r="K47" s="822">
        <v>0</v>
      </c>
      <c r="L47" s="896"/>
      <c r="M47" s="854" t="str">
        <f t="shared" si="9"/>
        <v/>
      </c>
      <c r="N47" s="896"/>
      <c r="O47" s="821" t="str">
        <f t="shared" si="10"/>
        <v/>
      </c>
      <c r="P47" s="896"/>
      <c r="Q47" s="821" t="str">
        <f t="shared" si="11"/>
        <v/>
      </c>
      <c r="R47" s="897" t="str">
        <f t="shared" si="2"/>
        <v/>
      </c>
      <c r="S47" s="908" t="str">
        <f t="shared" si="3"/>
        <v/>
      </c>
      <c r="T47" s="908" t="str">
        <f t="shared" si="4"/>
        <v/>
      </c>
      <c r="U47" s="303" t="str">
        <f t="shared" si="12"/>
        <v/>
      </c>
      <c r="V47" s="839" t="str">
        <f t="shared" si="13"/>
        <v/>
      </c>
      <c r="W47" s="860" t="str">
        <f t="shared" si="14"/>
        <v/>
      </c>
      <c r="X47" s="821" t="str">
        <f t="shared" si="15"/>
        <v/>
      </c>
      <c r="Y47" s="861" t="str">
        <f t="shared" si="16"/>
        <v/>
      </c>
      <c r="Z47" s="864" t="str">
        <f t="shared" si="17"/>
        <v/>
      </c>
      <c r="AA47" s="885" t="str">
        <f t="shared" si="18"/>
        <v/>
      </c>
      <c r="AB47" s="889">
        <f t="shared" si="19"/>
        <v>0</v>
      </c>
      <c r="AC47" s="821" t="str">
        <f t="shared" si="5"/>
        <v/>
      </c>
      <c r="AD47" s="821" t="str">
        <f t="shared" si="6"/>
        <v/>
      </c>
      <c r="AE47" s="821" t="str">
        <f t="shared" si="20"/>
        <v/>
      </c>
      <c r="AF47" s="821" t="str">
        <f t="shared" si="7"/>
        <v/>
      </c>
      <c r="AG47" s="865" t="str">
        <f>IF($A47="","",IF(AB47&gt;0,AB47-AF47,0))</f>
        <v/>
      </c>
    </row>
    <row r="48" spans="1:33" ht="24.95" customHeight="1" x14ac:dyDescent="0.2">
      <c r="A48" s="869"/>
      <c r="B48" s="996" t="s">
        <v>666</v>
      </c>
      <c r="C48" s="997"/>
      <c r="D48" s="124">
        <v>3</v>
      </c>
      <c r="E48" s="124">
        <v>5</v>
      </c>
      <c r="F48" s="731" t="str">
        <f t="shared" si="8"/>
        <v/>
      </c>
      <c r="G48" s="149">
        <v>1</v>
      </c>
      <c r="H48" s="149">
        <v>1</v>
      </c>
      <c r="I48" s="351">
        <v>2</v>
      </c>
      <c r="J48" s="894">
        <v>1</v>
      </c>
      <c r="K48" s="822">
        <v>0</v>
      </c>
      <c r="L48" s="895"/>
      <c r="M48" s="854" t="str">
        <f t="shared" si="9"/>
        <v/>
      </c>
      <c r="N48" s="895">
        <v>0</v>
      </c>
      <c r="O48" s="821" t="str">
        <f t="shared" si="10"/>
        <v/>
      </c>
      <c r="P48" s="895"/>
      <c r="Q48" s="821" t="str">
        <f t="shared" si="11"/>
        <v/>
      </c>
      <c r="R48" s="897" t="str">
        <f t="shared" si="2"/>
        <v/>
      </c>
      <c r="S48" s="908" t="str">
        <f t="shared" si="3"/>
        <v/>
      </c>
      <c r="T48" s="908" t="str">
        <f t="shared" si="4"/>
        <v/>
      </c>
      <c r="U48" s="303" t="str">
        <f t="shared" si="12"/>
        <v/>
      </c>
      <c r="V48" s="839" t="str">
        <f t="shared" si="13"/>
        <v/>
      </c>
      <c r="W48" s="860" t="str">
        <f t="shared" si="14"/>
        <v/>
      </c>
      <c r="X48" s="821" t="str">
        <f t="shared" si="15"/>
        <v/>
      </c>
      <c r="Y48" s="861" t="str">
        <f t="shared" si="16"/>
        <v/>
      </c>
      <c r="Z48" s="864" t="str">
        <f t="shared" si="17"/>
        <v/>
      </c>
      <c r="AA48" s="885" t="str">
        <f t="shared" si="18"/>
        <v/>
      </c>
      <c r="AB48" s="889">
        <f t="shared" si="19"/>
        <v>0</v>
      </c>
      <c r="AC48" s="821" t="str">
        <f t="shared" si="5"/>
        <v/>
      </c>
      <c r="AD48" s="821" t="str">
        <f t="shared" si="6"/>
        <v/>
      </c>
      <c r="AE48" s="821" t="str">
        <f>IF($A48="","",IF(Z48&gt;0,$T$35*(AVERAGE(U48:V48)),0))</f>
        <v/>
      </c>
      <c r="AF48" s="821" t="str">
        <f t="shared" si="7"/>
        <v/>
      </c>
      <c r="AG48" s="865" t="str">
        <f t="shared" ref="AG48:AG57" si="22">IF($A48="","",IF(AB48&gt;0,AB48-AF48,0))</f>
        <v/>
      </c>
    </row>
    <row r="49" spans="1:33" ht="24.95" customHeight="1" x14ac:dyDescent="0.2">
      <c r="A49" s="869"/>
      <c r="B49" s="996" t="s">
        <v>667</v>
      </c>
      <c r="C49" s="997"/>
      <c r="D49" s="124">
        <v>3</v>
      </c>
      <c r="E49" s="124">
        <v>5</v>
      </c>
      <c r="F49" s="731" t="str">
        <f t="shared" si="8"/>
        <v/>
      </c>
      <c r="G49" s="149">
        <v>1</v>
      </c>
      <c r="H49" s="149">
        <v>1</v>
      </c>
      <c r="I49" s="351">
        <v>2</v>
      </c>
      <c r="J49" s="894">
        <v>1</v>
      </c>
      <c r="K49" s="822">
        <v>0</v>
      </c>
      <c r="L49" s="895"/>
      <c r="M49" s="854" t="str">
        <f t="shared" si="9"/>
        <v/>
      </c>
      <c r="N49" s="895"/>
      <c r="O49" s="821" t="str">
        <f t="shared" si="10"/>
        <v/>
      </c>
      <c r="P49" s="895"/>
      <c r="Q49" s="821" t="str">
        <f t="shared" si="11"/>
        <v/>
      </c>
      <c r="R49" s="897" t="str">
        <f>IF($A49="","",IF(X49&gt;0,X49/W49,0))</f>
        <v/>
      </c>
      <c r="S49" s="908" t="str">
        <f>IF($A49="","",IF(Y49&gt;0,Y49/W49,0))</f>
        <v/>
      </c>
      <c r="T49" s="908" t="str">
        <f>IF($A49="","",IF(U49&gt;0,W49/F49*M49/W49*H49,0))</f>
        <v/>
      </c>
      <c r="U49" s="303" t="str">
        <f t="shared" si="12"/>
        <v/>
      </c>
      <c r="V49" s="839" t="str">
        <f t="shared" si="13"/>
        <v/>
      </c>
      <c r="W49" s="860" t="str">
        <f t="shared" si="14"/>
        <v/>
      </c>
      <c r="X49" s="821" t="str">
        <f t="shared" si="15"/>
        <v/>
      </c>
      <c r="Y49" s="861" t="str">
        <f t="shared" si="16"/>
        <v/>
      </c>
      <c r="Z49" s="864" t="str">
        <f>IF($A49="","",T49*W49)</f>
        <v/>
      </c>
      <c r="AA49" s="885" t="str">
        <f t="shared" si="18"/>
        <v/>
      </c>
      <c r="AB49" s="889">
        <f t="shared" si="19"/>
        <v>0</v>
      </c>
      <c r="AC49" s="821" t="str">
        <f t="shared" si="5"/>
        <v/>
      </c>
      <c r="AD49" s="821" t="str">
        <f t="shared" si="6"/>
        <v/>
      </c>
      <c r="AE49" s="821" t="str">
        <f t="shared" si="20"/>
        <v/>
      </c>
      <c r="AF49" s="821" t="str">
        <f t="shared" si="7"/>
        <v/>
      </c>
      <c r="AG49" s="865" t="str">
        <f t="shared" si="22"/>
        <v/>
      </c>
    </row>
    <row r="50" spans="1:33" ht="24.95" customHeight="1" x14ac:dyDescent="0.2">
      <c r="A50" s="869"/>
      <c r="B50" s="996" t="s">
        <v>668</v>
      </c>
      <c r="C50" s="997"/>
      <c r="D50" s="124">
        <v>3</v>
      </c>
      <c r="E50" s="124">
        <v>5</v>
      </c>
      <c r="F50" s="731" t="str">
        <f t="shared" si="8"/>
        <v/>
      </c>
      <c r="G50" s="149">
        <v>1</v>
      </c>
      <c r="H50" s="149">
        <v>1</v>
      </c>
      <c r="I50" s="351">
        <v>2</v>
      </c>
      <c r="J50" s="894">
        <v>1</v>
      </c>
      <c r="K50" s="822">
        <v>0</v>
      </c>
      <c r="L50" s="895"/>
      <c r="M50" s="854" t="str">
        <f t="shared" si="9"/>
        <v/>
      </c>
      <c r="N50" s="895"/>
      <c r="O50" s="821" t="str">
        <f t="shared" si="10"/>
        <v/>
      </c>
      <c r="P50" s="895"/>
      <c r="Q50" s="821" t="str">
        <f t="shared" si="11"/>
        <v/>
      </c>
      <c r="R50" s="897" t="str">
        <f t="shared" ref="R50:R57" si="23">IF($A50="","",IF(X50&gt;0,X50/W50,0))</f>
        <v/>
      </c>
      <c r="S50" s="908" t="str">
        <f t="shared" ref="S50:S57" si="24">IF($A50="","",IF(Y50&gt;0,Y50/W50,0))</f>
        <v/>
      </c>
      <c r="T50" s="908" t="str">
        <f t="shared" ref="T50:T57" si="25">IF($A50="","",IF(U50&gt;0,W50/F50*M50/W50*H50,0))</f>
        <v/>
      </c>
      <c r="U50" s="303" t="str">
        <f t="shared" si="12"/>
        <v/>
      </c>
      <c r="V50" s="839" t="str">
        <f t="shared" si="13"/>
        <v/>
      </c>
      <c r="W50" s="860" t="str">
        <f t="shared" si="14"/>
        <v/>
      </c>
      <c r="X50" s="821" t="str">
        <f t="shared" si="15"/>
        <v/>
      </c>
      <c r="Y50" s="861" t="str">
        <f t="shared" si="16"/>
        <v/>
      </c>
      <c r="Z50" s="864" t="str">
        <f t="shared" si="17"/>
        <v/>
      </c>
      <c r="AA50" s="885" t="str">
        <f t="shared" si="18"/>
        <v/>
      </c>
      <c r="AB50" s="889">
        <f t="shared" si="19"/>
        <v>0</v>
      </c>
      <c r="AC50" s="821" t="str">
        <f t="shared" si="5"/>
        <v/>
      </c>
      <c r="AD50" s="821" t="str">
        <f t="shared" si="6"/>
        <v/>
      </c>
      <c r="AE50" s="821" t="str">
        <f t="shared" si="20"/>
        <v/>
      </c>
      <c r="AF50" s="821" t="str">
        <f t="shared" si="7"/>
        <v/>
      </c>
      <c r="AG50" s="865" t="str">
        <f t="shared" si="22"/>
        <v/>
      </c>
    </row>
    <row r="51" spans="1:33" ht="24.95" customHeight="1" x14ac:dyDescent="0.2">
      <c r="A51" s="869"/>
      <c r="B51" s="996" t="s">
        <v>669</v>
      </c>
      <c r="C51" s="997"/>
      <c r="D51" s="124">
        <v>3</v>
      </c>
      <c r="E51" s="124">
        <v>5</v>
      </c>
      <c r="F51" s="731" t="str">
        <f t="shared" si="8"/>
        <v/>
      </c>
      <c r="G51" s="149">
        <v>1</v>
      </c>
      <c r="H51" s="149">
        <v>1</v>
      </c>
      <c r="I51" s="351">
        <v>2</v>
      </c>
      <c r="J51" s="894">
        <v>1</v>
      </c>
      <c r="K51" s="822">
        <v>0</v>
      </c>
      <c r="L51" s="895"/>
      <c r="M51" s="854" t="str">
        <f t="shared" si="9"/>
        <v/>
      </c>
      <c r="N51" s="895"/>
      <c r="O51" s="821" t="str">
        <f t="shared" si="10"/>
        <v/>
      </c>
      <c r="P51" s="895"/>
      <c r="Q51" s="821" t="str">
        <f t="shared" si="11"/>
        <v/>
      </c>
      <c r="R51" s="897" t="str">
        <f t="shared" si="23"/>
        <v/>
      </c>
      <c r="S51" s="908" t="str">
        <f t="shared" si="24"/>
        <v/>
      </c>
      <c r="T51" s="908" t="str">
        <f t="shared" si="25"/>
        <v/>
      </c>
      <c r="U51" s="303" t="str">
        <f t="shared" si="12"/>
        <v/>
      </c>
      <c r="V51" s="839" t="str">
        <f t="shared" si="13"/>
        <v/>
      </c>
      <c r="W51" s="860" t="str">
        <f t="shared" si="14"/>
        <v/>
      </c>
      <c r="X51" s="821" t="str">
        <f t="shared" si="15"/>
        <v/>
      </c>
      <c r="Y51" s="861" t="str">
        <f t="shared" si="16"/>
        <v/>
      </c>
      <c r="Z51" s="864" t="str">
        <f t="shared" si="17"/>
        <v/>
      </c>
      <c r="AA51" s="885" t="str">
        <f t="shared" si="18"/>
        <v/>
      </c>
      <c r="AB51" s="889">
        <f t="shared" si="19"/>
        <v>0</v>
      </c>
      <c r="AC51" s="821" t="str">
        <f t="shared" si="5"/>
        <v/>
      </c>
      <c r="AD51" s="821" t="str">
        <f t="shared" si="6"/>
        <v/>
      </c>
      <c r="AE51" s="821" t="str">
        <f t="shared" si="20"/>
        <v/>
      </c>
      <c r="AF51" s="821" t="str">
        <f t="shared" si="7"/>
        <v/>
      </c>
      <c r="AG51" s="865" t="str">
        <f t="shared" si="22"/>
        <v/>
      </c>
    </row>
    <row r="52" spans="1:33" ht="24.95" customHeight="1" x14ac:dyDescent="0.2">
      <c r="A52" s="869"/>
      <c r="B52" s="996" t="s">
        <v>670</v>
      </c>
      <c r="C52" s="997"/>
      <c r="D52" s="124">
        <v>3</v>
      </c>
      <c r="E52" s="124">
        <v>5</v>
      </c>
      <c r="F52" s="731" t="str">
        <f t="shared" si="8"/>
        <v/>
      </c>
      <c r="G52" s="149">
        <v>1</v>
      </c>
      <c r="H52" s="149">
        <v>1</v>
      </c>
      <c r="I52" s="351">
        <v>2</v>
      </c>
      <c r="J52" s="894">
        <v>1</v>
      </c>
      <c r="K52" s="822">
        <v>0</v>
      </c>
      <c r="L52" s="895"/>
      <c r="M52" s="854" t="str">
        <f t="shared" si="9"/>
        <v/>
      </c>
      <c r="N52" s="895"/>
      <c r="O52" s="821" t="str">
        <f t="shared" si="10"/>
        <v/>
      </c>
      <c r="P52" s="895"/>
      <c r="Q52" s="821" t="str">
        <f t="shared" si="11"/>
        <v/>
      </c>
      <c r="R52" s="897" t="str">
        <f t="shared" si="23"/>
        <v/>
      </c>
      <c r="S52" s="908" t="str">
        <f t="shared" si="24"/>
        <v/>
      </c>
      <c r="T52" s="908" t="str">
        <f t="shared" si="25"/>
        <v/>
      </c>
      <c r="U52" s="303" t="str">
        <f t="shared" si="12"/>
        <v/>
      </c>
      <c r="V52" s="839" t="str">
        <f t="shared" si="13"/>
        <v/>
      </c>
      <c r="W52" s="860" t="str">
        <f t="shared" si="14"/>
        <v/>
      </c>
      <c r="X52" s="821" t="str">
        <f t="shared" si="15"/>
        <v/>
      </c>
      <c r="Y52" s="861" t="str">
        <f t="shared" si="16"/>
        <v/>
      </c>
      <c r="Z52" s="864" t="str">
        <f t="shared" si="17"/>
        <v/>
      </c>
      <c r="AA52" s="885" t="str">
        <f t="shared" si="18"/>
        <v/>
      </c>
      <c r="AB52" s="889">
        <f t="shared" si="19"/>
        <v>0</v>
      </c>
      <c r="AC52" s="821" t="str">
        <f t="shared" si="5"/>
        <v/>
      </c>
      <c r="AD52" s="821" t="str">
        <f t="shared" si="6"/>
        <v/>
      </c>
      <c r="AE52" s="821" t="str">
        <f t="shared" si="20"/>
        <v/>
      </c>
      <c r="AF52" s="821" t="str">
        <f t="shared" si="7"/>
        <v/>
      </c>
      <c r="AG52" s="865" t="str">
        <f t="shared" si="22"/>
        <v/>
      </c>
    </row>
    <row r="53" spans="1:33" ht="24.95" customHeight="1" x14ac:dyDescent="0.2">
      <c r="A53" s="869"/>
      <c r="B53" s="996" t="s">
        <v>671</v>
      </c>
      <c r="C53" s="997"/>
      <c r="D53" s="124">
        <v>3</v>
      </c>
      <c r="E53" s="124">
        <v>5</v>
      </c>
      <c r="F53" s="731" t="str">
        <f t="shared" si="8"/>
        <v/>
      </c>
      <c r="G53" s="149">
        <v>1</v>
      </c>
      <c r="H53" s="149">
        <v>1</v>
      </c>
      <c r="I53" s="351">
        <v>2</v>
      </c>
      <c r="J53" s="894">
        <v>1</v>
      </c>
      <c r="K53" s="822">
        <v>0</v>
      </c>
      <c r="L53" s="895"/>
      <c r="M53" s="854" t="str">
        <f t="shared" si="9"/>
        <v/>
      </c>
      <c r="N53" s="895"/>
      <c r="O53" s="821" t="str">
        <f t="shared" si="10"/>
        <v/>
      </c>
      <c r="P53" s="895"/>
      <c r="Q53" s="821" t="str">
        <f t="shared" si="11"/>
        <v/>
      </c>
      <c r="R53" s="897" t="str">
        <f t="shared" si="23"/>
        <v/>
      </c>
      <c r="S53" s="908" t="str">
        <f t="shared" si="24"/>
        <v/>
      </c>
      <c r="T53" s="908" t="str">
        <f t="shared" si="25"/>
        <v/>
      </c>
      <c r="U53" s="303" t="str">
        <f t="shared" si="12"/>
        <v/>
      </c>
      <c r="V53" s="839" t="str">
        <f t="shared" si="13"/>
        <v/>
      </c>
      <c r="W53" s="860" t="str">
        <f t="shared" si="14"/>
        <v/>
      </c>
      <c r="X53" s="821" t="str">
        <f t="shared" si="15"/>
        <v/>
      </c>
      <c r="Y53" s="861" t="str">
        <f t="shared" si="16"/>
        <v/>
      </c>
      <c r="Z53" s="864" t="str">
        <f t="shared" si="17"/>
        <v/>
      </c>
      <c r="AA53" s="885" t="str">
        <f t="shared" si="18"/>
        <v/>
      </c>
      <c r="AB53" s="889">
        <f t="shared" si="19"/>
        <v>0</v>
      </c>
      <c r="AC53" s="821" t="str">
        <f t="shared" si="5"/>
        <v/>
      </c>
      <c r="AD53" s="821" t="str">
        <f t="shared" si="6"/>
        <v/>
      </c>
      <c r="AE53" s="821" t="str">
        <f t="shared" si="20"/>
        <v/>
      </c>
      <c r="AF53" s="821" t="str">
        <f t="shared" si="7"/>
        <v/>
      </c>
      <c r="AG53" s="865" t="str">
        <f t="shared" si="22"/>
        <v/>
      </c>
    </row>
    <row r="54" spans="1:33" ht="24.95" customHeight="1" x14ac:dyDescent="0.2">
      <c r="A54" s="869"/>
      <c r="B54" s="996" t="s">
        <v>713</v>
      </c>
      <c r="C54" s="997"/>
      <c r="D54" s="124">
        <v>3</v>
      </c>
      <c r="E54" s="124">
        <v>5</v>
      </c>
      <c r="F54" s="731" t="str">
        <f t="shared" si="8"/>
        <v/>
      </c>
      <c r="G54" s="149">
        <v>1</v>
      </c>
      <c r="H54" s="149">
        <v>1</v>
      </c>
      <c r="I54" s="351">
        <v>2</v>
      </c>
      <c r="J54" s="894">
        <v>1</v>
      </c>
      <c r="K54" s="822">
        <v>0</v>
      </c>
      <c r="L54" s="895"/>
      <c r="M54" s="854" t="str">
        <f t="shared" si="9"/>
        <v/>
      </c>
      <c r="N54" s="895"/>
      <c r="O54" s="821" t="str">
        <f t="shared" si="10"/>
        <v/>
      </c>
      <c r="P54" s="895"/>
      <c r="Q54" s="821" t="str">
        <f t="shared" si="11"/>
        <v/>
      </c>
      <c r="R54" s="897" t="str">
        <f t="shared" si="23"/>
        <v/>
      </c>
      <c r="S54" s="908" t="str">
        <f t="shared" si="24"/>
        <v/>
      </c>
      <c r="T54" s="908" t="str">
        <f t="shared" si="25"/>
        <v/>
      </c>
      <c r="U54" s="303" t="str">
        <f t="shared" si="12"/>
        <v/>
      </c>
      <c r="V54" s="839" t="str">
        <f t="shared" si="13"/>
        <v/>
      </c>
      <c r="W54" s="860" t="str">
        <f t="shared" si="14"/>
        <v/>
      </c>
      <c r="X54" s="821" t="str">
        <f t="shared" si="15"/>
        <v/>
      </c>
      <c r="Y54" s="861" t="str">
        <f t="shared" si="16"/>
        <v/>
      </c>
      <c r="Z54" s="864" t="str">
        <f t="shared" si="17"/>
        <v/>
      </c>
      <c r="AA54" s="885" t="str">
        <f t="shared" si="18"/>
        <v/>
      </c>
      <c r="AB54" s="889">
        <f t="shared" si="19"/>
        <v>0</v>
      </c>
      <c r="AC54" s="821" t="str">
        <f t="shared" si="5"/>
        <v/>
      </c>
      <c r="AD54" s="821" t="str">
        <f t="shared" si="6"/>
        <v/>
      </c>
      <c r="AE54" s="821" t="str">
        <f t="shared" si="20"/>
        <v/>
      </c>
      <c r="AF54" s="821" t="str">
        <f t="shared" si="7"/>
        <v/>
      </c>
      <c r="AG54" s="865" t="str">
        <f t="shared" si="22"/>
        <v/>
      </c>
    </row>
    <row r="55" spans="1:33" ht="24.95" customHeight="1" x14ac:dyDescent="0.2">
      <c r="A55" s="869"/>
      <c r="B55" s="996" t="s">
        <v>714</v>
      </c>
      <c r="C55" s="997"/>
      <c r="D55" s="124">
        <v>3</v>
      </c>
      <c r="E55" s="124">
        <v>5</v>
      </c>
      <c r="F55" s="731" t="str">
        <f t="shared" si="8"/>
        <v/>
      </c>
      <c r="G55" s="149">
        <v>1</v>
      </c>
      <c r="H55" s="149">
        <v>1</v>
      </c>
      <c r="I55" s="351">
        <v>2</v>
      </c>
      <c r="J55" s="894">
        <v>1</v>
      </c>
      <c r="K55" s="822">
        <v>0</v>
      </c>
      <c r="L55" s="895"/>
      <c r="M55" s="854" t="str">
        <f t="shared" si="9"/>
        <v/>
      </c>
      <c r="N55" s="895"/>
      <c r="O55" s="821" t="str">
        <f t="shared" si="10"/>
        <v/>
      </c>
      <c r="P55" s="895"/>
      <c r="Q55" s="821" t="str">
        <f t="shared" si="11"/>
        <v/>
      </c>
      <c r="R55" s="897" t="str">
        <f t="shared" si="23"/>
        <v/>
      </c>
      <c r="S55" s="908" t="str">
        <f t="shared" si="24"/>
        <v/>
      </c>
      <c r="T55" s="908" t="str">
        <f t="shared" si="25"/>
        <v/>
      </c>
      <c r="U55" s="303" t="str">
        <f t="shared" si="12"/>
        <v/>
      </c>
      <c r="V55" s="839" t="str">
        <f t="shared" si="13"/>
        <v/>
      </c>
      <c r="W55" s="860" t="str">
        <f t="shared" si="14"/>
        <v/>
      </c>
      <c r="X55" s="821" t="str">
        <f t="shared" si="15"/>
        <v/>
      </c>
      <c r="Y55" s="861" t="str">
        <f t="shared" si="16"/>
        <v/>
      </c>
      <c r="Z55" s="864" t="str">
        <f t="shared" si="17"/>
        <v/>
      </c>
      <c r="AA55" s="885" t="str">
        <f t="shared" si="18"/>
        <v/>
      </c>
      <c r="AB55" s="889">
        <f t="shared" si="19"/>
        <v>0</v>
      </c>
      <c r="AC55" s="821" t="str">
        <f t="shared" si="5"/>
        <v/>
      </c>
      <c r="AD55" s="821" t="str">
        <f t="shared" si="6"/>
        <v/>
      </c>
      <c r="AE55" s="821" t="str">
        <f t="shared" si="20"/>
        <v/>
      </c>
      <c r="AF55" s="821" t="str">
        <f t="shared" si="7"/>
        <v/>
      </c>
      <c r="AG55" s="865" t="str">
        <f t="shared" si="22"/>
        <v/>
      </c>
    </row>
    <row r="56" spans="1:33" ht="24.95" customHeight="1" x14ac:dyDescent="0.2">
      <c r="A56" s="869"/>
      <c r="B56" s="996" t="s">
        <v>715</v>
      </c>
      <c r="C56" s="997"/>
      <c r="D56" s="124">
        <v>3</v>
      </c>
      <c r="E56" s="124">
        <v>5</v>
      </c>
      <c r="F56" s="731" t="str">
        <f t="shared" si="8"/>
        <v/>
      </c>
      <c r="G56" s="149">
        <v>1</v>
      </c>
      <c r="H56" s="149">
        <v>1</v>
      </c>
      <c r="I56" s="351">
        <v>2</v>
      </c>
      <c r="J56" s="894">
        <v>1</v>
      </c>
      <c r="K56" s="822">
        <v>0</v>
      </c>
      <c r="L56" s="895"/>
      <c r="M56" s="854" t="str">
        <f t="shared" si="9"/>
        <v/>
      </c>
      <c r="N56" s="895"/>
      <c r="O56" s="821" t="str">
        <f t="shared" si="10"/>
        <v/>
      </c>
      <c r="P56" s="895"/>
      <c r="Q56" s="821" t="str">
        <f t="shared" si="11"/>
        <v/>
      </c>
      <c r="R56" s="897" t="str">
        <f t="shared" si="23"/>
        <v/>
      </c>
      <c r="S56" s="908" t="str">
        <f t="shared" si="24"/>
        <v/>
      </c>
      <c r="T56" s="908" t="str">
        <f t="shared" si="25"/>
        <v/>
      </c>
      <c r="U56" s="303" t="str">
        <f t="shared" si="12"/>
        <v/>
      </c>
      <c r="V56" s="839" t="str">
        <f t="shared" si="13"/>
        <v/>
      </c>
      <c r="W56" s="860" t="str">
        <f t="shared" si="14"/>
        <v/>
      </c>
      <c r="X56" s="821" t="str">
        <f t="shared" si="15"/>
        <v/>
      </c>
      <c r="Y56" s="861" t="str">
        <f t="shared" si="16"/>
        <v/>
      </c>
      <c r="Z56" s="864" t="str">
        <f t="shared" si="17"/>
        <v/>
      </c>
      <c r="AA56" s="885" t="str">
        <f t="shared" si="18"/>
        <v/>
      </c>
      <c r="AB56" s="889">
        <f t="shared" si="19"/>
        <v>0</v>
      </c>
      <c r="AC56" s="821" t="str">
        <f t="shared" si="5"/>
        <v/>
      </c>
      <c r="AD56" s="821" t="str">
        <f t="shared" si="6"/>
        <v/>
      </c>
      <c r="AE56" s="821" t="str">
        <f t="shared" si="20"/>
        <v/>
      </c>
      <c r="AF56" s="821" t="str">
        <f t="shared" si="7"/>
        <v/>
      </c>
      <c r="AG56" s="865" t="str">
        <f t="shared" si="22"/>
        <v/>
      </c>
    </row>
    <row r="57" spans="1:33" ht="24.95" customHeight="1" x14ac:dyDescent="0.2">
      <c r="A57" s="869"/>
      <c r="B57" s="996" t="s">
        <v>716</v>
      </c>
      <c r="C57" s="997"/>
      <c r="D57" s="124">
        <v>3</v>
      </c>
      <c r="E57" s="124">
        <v>5</v>
      </c>
      <c r="F57" s="731" t="str">
        <f t="shared" si="8"/>
        <v/>
      </c>
      <c r="G57" s="149">
        <v>1</v>
      </c>
      <c r="H57" s="149">
        <v>1</v>
      </c>
      <c r="I57" s="351">
        <v>2</v>
      </c>
      <c r="J57" s="894">
        <v>1</v>
      </c>
      <c r="K57" s="822">
        <v>0</v>
      </c>
      <c r="L57" s="895"/>
      <c r="M57" s="854" t="str">
        <f t="shared" si="9"/>
        <v/>
      </c>
      <c r="N57" s="895"/>
      <c r="O57" s="821" t="str">
        <f t="shared" si="10"/>
        <v/>
      </c>
      <c r="P57" s="895"/>
      <c r="Q57" s="821" t="str">
        <f t="shared" si="11"/>
        <v/>
      </c>
      <c r="R57" s="897" t="str">
        <f t="shared" si="23"/>
        <v/>
      </c>
      <c r="S57" s="908" t="str">
        <f t="shared" si="24"/>
        <v/>
      </c>
      <c r="T57" s="908" t="str">
        <f t="shared" si="25"/>
        <v/>
      </c>
      <c r="U57" s="303" t="str">
        <f t="shared" si="12"/>
        <v/>
      </c>
      <c r="V57" s="839" t="str">
        <f t="shared" si="13"/>
        <v/>
      </c>
      <c r="W57" s="860" t="str">
        <f t="shared" si="14"/>
        <v/>
      </c>
      <c r="X57" s="821" t="str">
        <f t="shared" si="15"/>
        <v/>
      </c>
      <c r="Y57" s="861" t="str">
        <f t="shared" si="16"/>
        <v/>
      </c>
      <c r="Z57" s="864" t="str">
        <f t="shared" si="17"/>
        <v/>
      </c>
      <c r="AA57" s="885" t="str">
        <f t="shared" si="18"/>
        <v/>
      </c>
      <c r="AB57" s="889">
        <f t="shared" si="19"/>
        <v>0</v>
      </c>
      <c r="AC57" s="821" t="str">
        <f t="shared" si="5"/>
        <v/>
      </c>
      <c r="AD57" s="821" t="str">
        <f t="shared" si="6"/>
        <v/>
      </c>
      <c r="AE57" s="821" t="str">
        <f t="shared" si="20"/>
        <v/>
      </c>
      <c r="AF57" s="821" t="str">
        <f t="shared" si="7"/>
        <v/>
      </c>
      <c r="AG57" s="865" t="str">
        <f t="shared" si="22"/>
        <v/>
      </c>
    </row>
    <row r="58" spans="1:33" ht="21" customHeight="1" x14ac:dyDescent="0.2">
      <c r="F58" s="825" t="s">
        <v>82</v>
      </c>
      <c r="G58" s="824">
        <f>SUM(G44:G57)</f>
        <v>14</v>
      </c>
      <c r="J58" s="881" t="s">
        <v>505</v>
      </c>
      <c r="K58" s="880">
        <f>IF(SUM(K44:K57)&gt;0,AVERAGEIF(K44:K57,"&gt;0"),0)</f>
        <v>0</v>
      </c>
      <c r="L58" s="842"/>
      <c r="M58" s="827">
        <f t="shared" ref="M58" si="26">AVERAGEIF(M44:M57,"&gt;0")</f>
        <v>107.753333033483</v>
      </c>
      <c r="O58" s="827">
        <f t="shared" ref="O58" si="27">AVERAGEIF(O44:O57,"&gt;0")</f>
        <v>47.784268171915222</v>
      </c>
      <c r="Q58" s="827">
        <f t="shared" ref="Q58:T58" si="28">AVERAGEIF(Q44:Q57,"&gt;0")</f>
        <v>22.556064906545334</v>
      </c>
      <c r="R58" s="898">
        <f>AVERAGEIF(R44:R57,"&gt;0")</f>
        <v>32.924629538008702</v>
      </c>
      <c r="S58" s="908">
        <f t="shared" si="28"/>
        <v>19.156148094841427</v>
      </c>
      <c r="T58" s="908">
        <f t="shared" si="28"/>
        <v>24.144728327873043</v>
      </c>
      <c r="U58" s="361">
        <f t="shared" ref="U58:Z58" si="29">SUM(U44:U57)</f>
        <v>1.833333333333333</v>
      </c>
      <c r="V58" s="361">
        <f t="shared" si="29"/>
        <v>1.0666666666666667</v>
      </c>
      <c r="W58" s="837">
        <f t="shared" si="29"/>
        <v>6</v>
      </c>
      <c r="X58" s="826">
        <f t="shared" si="29"/>
        <v>197.54777722805221</v>
      </c>
      <c r="Y58" s="862">
        <f t="shared" si="29"/>
        <v>114.93688856904856</v>
      </c>
      <c r="Z58" s="886">
        <f t="shared" si="29"/>
        <v>144.86836996723827</v>
      </c>
      <c r="AA58" s="886">
        <f t="shared" ref="AA58:AB58" si="30">SUM(AA44:AA57)</f>
        <v>0</v>
      </c>
      <c r="AB58" s="886">
        <f t="shared" si="30"/>
        <v>144.86836996723827</v>
      </c>
      <c r="AC58" s="887">
        <f>SUM(AC44:AC57)</f>
        <v>69.287188849277072</v>
      </c>
      <c r="AD58" s="887">
        <f>SUM(AD44:AD57)</f>
        <v>32.706294114490746</v>
      </c>
      <c r="AE58" s="887">
        <f>SUM(AE44:AE57)</f>
        <v>36.25</v>
      </c>
      <c r="AF58" s="887">
        <f>SUM(AF44:AF57)</f>
        <v>138.2434829637678</v>
      </c>
      <c r="AG58" s="888">
        <f>SUM(AG44:AG57)</f>
        <v>6.6248870034704623</v>
      </c>
    </row>
    <row r="59" spans="1:33" ht="27" customHeight="1" x14ac:dyDescent="0.4">
      <c r="B59" s="583" t="s">
        <v>625</v>
      </c>
      <c r="C59"/>
      <c r="D59"/>
      <c r="E59"/>
      <c r="F59"/>
      <c r="G59" s="998" t="str">
        <f>T3</f>
        <v xml:space="preserve">Kytketty koneet: Valtra tiesarja Lana Ammattilaisen versio </v>
      </c>
      <c r="H59" s="998"/>
      <c r="I59" s="998"/>
      <c r="J59" s="998"/>
      <c r="K59" s="998"/>
      <c r="L59" s="998"/>
      <c r="M59" s="998"/>
      <c r="N59" s="998"/>
      <c r="O59" s="998"/>
      <c r="P59" s="998"/>
      <c r="Q59" s="998"/>
      <c r="R59" s="1004" t="s">
        <v>653</v>
      </c>
      <c r="S59" s="1005"/>
      <c r="T59" s="1005"/>
      <c r="U59" s="1035" t="s">
        <v>652</v>
      </c>
      <c r="V59" s="1036"/>
      <c r="W59" s="1036"/>
      <c r="X59" s="1036"/>
      <c r="Y59" s="1037"/>
      <c r="Z59" s="1004" t="s">
        <v>661</v>
      </c>
      <c r="AA59" s="1005"/>
      <c r="AB59" s="1005"/>
      <c r="AC59" s="1005"/>
      <c r="AD59" s="1005"/>
      <c r="AE59" s="1005"/>
      <c r="AF59" s="1005"/>
      <c r="AG59" s="1005"/>
    </row>
    <row r="60" spans="1:33" ht="25.5" x14ac:dyDescent="0.25">
      <c r="B60" s="279" t="s">
        <v>646</v>
      </c>
      <c r="C60"/>
      <c r="D60"/>
      <c r="E60"/>
      <c r="F60" s="833" t="s">
        <v>637</v>
      </c>
      <c r="G60" s="828" t="s">
        <v>178</v>
      </c>
      <c r="H60" s="857" t="s">
        <v>34</v>
      </c>
      <c r="I60" s="844" t="s">
        <v>638</v>
      </c>
      <c r="J60" s="840" t="s">
        <v>189</v>
      </c>
      <c r="K60" s="841" t="s">
        <v>635</v>
      </c>
      <c r="L60" s="995" t="s">
        <v>82</v>
      </c>
      <c r="M60" s="995"/>
      <c r="N60" s="360" t="s">
        <v>158</v>
      </c>
    </row>
    <row r="61" spans="1:33" x14ac:dyDescent="0.2">
      <c r="A61" s="856" t="str">
        <f>IF(A44="","",A44)</f>
        <v>x</v>
      </c>
      <c r="B61" s="990" t="str">
        <f>IF(B44&lt;&gt;"",B44,"")</f>
        <v>Lanaus tie 1</v>
      </c>
      <c r="C61" s="990"/>
      <c r="D61" s="990"/>
      <c r="E61" s="990"/>
      <c r="F61" s="830"/>
      <c r="G61" s="843">
        <f t="shared" ref="G61:G66" si="31">IF(F61&gt;0,F61,W44)</f>
        <v>2</v>
      </c>
      <c r="H61" s="280" t="s">
        <v>78</v>
      </c>
      <c r="I61" s="838">
        <v>0</v>
      </c>
      <c r="J61" s="834">
        <f>IF(I61&gt;0,I61,T44)</f>
        <v>26.938333258370754</v>
      </c>
      <c r="K61" s="318">
        <v>1</v>
      </c>
      <c r="L61" s="1000">
        <f>IF(G61&lt;&gt;"",G61*J61*K61,0)</f>
        <v>53.876666516741508</v>
      </c>
      <c r="M61" s="1001"/>
      <c r="N61" s="846">
        <f t="shared" ref="N61:N66" si="32">IF(J61&lt;&gt;"",L61/$L$78,0)</f>
        <v>0.37190082644628103</v>
      </c>
    </row>
    <row r="62" spans="1:33" ht="12.75" customHeight="1" x14ac:dyDescent="0.2">
      <c r="A62" s="856" t="str">
        <f>IF(A45="","",A45)</f>
        <v>x</v>
      </c>
      <c r="B62" s="990" t="str">
        <f t="shared" ref="B62:B74" si="33">IF(B45&lt;&gt;"",B45,"")</f>
        <v>Lanaus tie 2</v>
      </c>
      <c r="C62" s="990"/>
      <c r="D62" s="990"/>
      <c r="E62" s="990"/>
      <c r="F62" s="830"/>
      <c r="G62" s="843">
        <f t="shared" si="31"/>
        <v>2</v>
      </c>
      <c r="H62" s="280" t="s">
        <v>78</v>
      </c>
      <c r="I62" s="838">
        <v>0</v>
      </c>
      <c r="J62" s="834">
        <f>IF(I62&gt;0,I62,T45)</f>
        <v>21.550666606696605</v>
      </c>
      <c r="K62" s="318">
        <v>1</v>
      </c>
      <c r="L62" s="1000">
        <f t="shared" ref="L62:L77" si="34">IF(G62&lt;&gt;"",G62*J62*K62,0)</f>
        <v>43.101333213393211</v>
      </c>
      <c r="M62" s="1001"/>
      <c r="N62" s="846">
        <f t="shared" si="32"/>
        <v>0.29752066115702486</v>
      </c>
    </row>
    <row r="63" spans="1:33" x14ac:dyDescent="0.2">
      <c r="A63" s="856" t="str">
        <f t="shared" ref="A63:A73" si="35">IF(A46="","",A46)</f>
        <v>x</v>
      </c>
      <c r="B63" s="990" t="str">
        <f t="shared" si="33"/>
        <v>Lanaus tie 3</v>
      </c>
      <c r="C63" s="990"/>
      <c r="D63" s="990"/>
      <c r="E63" s="990"/>
      <c r="F63" s="830"/>
      <c r="G63" s="843">
        <f t="shared" si="31"/>
        <v>2</v>
      </c>
      <c r="H63" s="280" t="s">
        <v>78</v>
      </c>
      <c r="I63" s="838">
        <v>0</v>
      </c>
      <c r="J63" s="834">
        <f>IF(I63&gt;0,I63,T46)</f>
        <v>23.94518511855178</v>
      </c>
      <c r="K63" s="318">
        <v>1</v>
      </c>
      <c r="L63" s="1000">
        <f t="shared" si="34"/>
        <v>47.890370237103561</v>
      </c>
      <c r="M63" s="1001"/>
      <c r="N63" s="846">
        <f t="shared" si="32"/>
        <v>0.33057851239669422</v>
      </c>
    </row>
    <row r="64" spans="1:33" x14ac:dyDescent="0.2">
      <c r="A64" s="856" t="str">
        <f t="shared" si="35"/>
        <v/>
      </c>
      <c r="B64" s="990" t="str">
        <f t="shared" si="33"/>
        <v>Lanaus tie 4</v>
      </c>
      <c r="C64" s="990"/>
      <c r="D64" s="990"/>
      <c r="E64" s="990"/>
      <c r="F64" s="830"/>
      <c r="G64" s="843" t="str">
        <f t="shared" si="31"/>
        <v/>
      </c>
      <c r="H64" s="280" t="s">
        <v>78</v>
      </c>
      <c r="I64" s="838">
        <v>0</v>
      </c>
      <c r="J64" s="834" t="str">
        <f>IF(I64&gt;0,I64,T47)</f>
        <v/>
      </c>
      <c r="K64" s="318">
        <v>1</v>
      </c>
      <c r="L64" s="1000">
        <f t="shared" si="34"/>
        <v>0</v>
      </c>
      <c r="M64" s="1001"/>
      <c r="N64" s="846">
        <f t="shared" si="32"/>
        <v>0</v>
      </c>
    </row>
    <row r="65" spans="1:14" x14ac:dyDescent="0.2">
      <c r="A65" s="856" t="str">
        <f t="shared" si="35"/>
        <v/>
      </c>
      <c r="B65" s="990" t="str">
        <f t="shared" si="33"/>
        <v>Lanaus tie 5</v>
      </c>
      <c r="C65" s="990"/>
      <c r="D65" s="990"/>
      <c r="E65" s="990"/>
      <c r="F65" s="830"/>
      <c r="G65" s="843" t="str">
        <f t="shared" si="31"/>
        <v/>
      </c>
      <c r="H65" s="280" t="s">
        <v>78</v>
      </c>
      <c r="I65" s="838">
        <v>0</v>
      </c>
      <c r="J65" s="834" t="str">
        <f>IF(I65&gt;0,I65,T48)</f>
        <v/>
      </c>
      <c r="K65" s="318">
        <v>1</v>
      </c>
      <c r="L65" s="1000">
        <f t="shared" si="34"/>
        <v>0</v>
      </c>
      <c r="M65" s="1001"/>
      <c r="N65" s="846">
        <f t="shared" si="32"/>
        <v>0</v>
      </c>
    </row>
    <row r="66" spans="1:14" x14ac:dyDescent="0.2">
      <c r="A66" s="856" t="str">
        <f t="shared" si="35"/>
        <v/>
      </c>
      <c r="B66" s="990" t="str">
        <f t="shared" si="33"/>
        <v>Lanaus tie 6</v>
      </c>
      <c r="C66" s="990"/>
      <c r="D66" s="990"/>
      <c r="E66" s="990"/>
      <c r="F66" s="830"/>
      <c r="G66" s="843" t="str">
        <f t="shared" si="31"/>
        <v/>
      </c>
      <c r="H66" s="280" t="s">
        <v>78</v>
      </c>
      <c r="I66" s="838">
        <v>0</v>
      </c>
      <c r="J66" s="834" t="str">
        <f t="shared" ref="J66:J74" si="36">IF(I66&gt;0,I66,T49)</f>
        <v/>
      </c>
      <c r="K66" s="318">
        <v>1</v>
      </c>
      <c r="L66" s="1000">
        <f t="shared" si="34"/>
        <v>0</v>
      </c>
      <c r="M66" s="1001"/>
      <c r="N66" s="846">
        <f t="shared" si="32"/>
        <v>0</v>
      </c>
    </row>
    <row r="67" spans="1:14" x14ac:dyDescent="0.2">
      <c r="A67" s="856" t="str">
        <f t="shared" si="35"/>
        <v/>
      </c>
      <c r="B67" s="990" t="str">
        <f t="shared" si="33"/>
        <v>Lanaus tie 7</v>
      </c>
      <c r="C67" s="990"/>
      <c r="D67" s="990"/>
      <c r="E67" s="990"/>
      <c r="F67" s="830"/>
      <c r="G67" s="843" t="str">
        <f t="shared" ref="G67:G74" si="37">IF(F67&gt;0,F67,W50)</f>
        <v/>
      </c>
      <c r="H67" s="280" t="s">
        <v>78</v>
      </c>
      <c r="I67" s="838">
        <v>0</v>
      </c>
      <c r="J67" s="834" t="str">
        <f t="shared" si="36"/>
        <v/>
      </c>
      <c r="K67" s="318">
        <v>1</v>
      </c>
      <c r="L67" s="1000">
        <f t="shared" si="34"/>
        <v>0</v>
      </c>
      <c r="M67" s="1001"/>
      <c r="N67" s="846">
        <f t="shared" ref="N67:N72" si="38">IF(J67&lt;&gt;"",L67/$L$78,0)</f>
        <v>0</v>
      </c>
    </row>
    <row r="68" spans="1:14" x14ac:dyDescent="0.2">
      <c r="A68" s="856" t="str">
        <f t="shared" si="35"/>
        <v/>
      </c>
      <c r="B68" s="990" t="str">
        <f t="shared" si="33"/>
        <v>Lanaus tie 8</v>
      </c>
      <c r="C68" s="990"/>
      <c r="D68" s="990"/>
      <c r="E68" s="990"/>
      <c r="F68" s="830"/>
      <c r="G68" s="843" t="str">
        <f t="shared" si="37"/>
        <v/>
      </c>
      <c r="H68" s="280" t="s">
        <v>78</v>
      </c>
      <c r="I68" s="838">
        <v>0</v>
      </c>
      <c r="J68" s="834" t="str">
        <f t="shared" si="36"/>
        <v/>
      </c>
      <c r="K68" s="318">
        <v>1</v>
      </c>
      <c r="L68" s="1000">
        <f t="shared" si="34"/>
        <v>0</v>
      </c>
      <c r="M68" s="1001"/>
      <c r="N68" s="846">
        <f t="shared" si="38"/>
        <v>0</v>
      </c>
    </row>
    <row r="69" spans="1:14" x14ac:dyDescent="0.2">
      <c r="A69" s="856" t="str">
        <f t="shared" si="35"/>
        <v/>
      </c>
      <c r="B69" s="990" t="str">
        <f t="shared" si="33"/>
        <v>Lanaus tie 9</v>
      </c>
      <c r="C69" s="990"/>
      <c r="D69" s="990"/>
      <c r="E69" s="990"/>
      <c r="F69" s="830"/>
      <c r="G69" s="843" t="str">
        <f t="shared" si="37"/>
        <v/>
      </c>
      <c r="H69" s="280" t="s">
        <v>78</v>
      </c>
      <c r="I69" s="838">
        <v>0</v>
      </c>
      <c r="J69" s="834" t="str">
        <f t="shared" si="36"/>
        <v/>
      </c>
      <c r="K69" s="318">
        <v>1</v>
      </c>
      <c r="L69" s="1000">
        <f t="shared" si="34"/>
        <v>0</v>
      </c>
      <c r="M69" s="1001"/>
      <c r="N69" s="846">
        <f t="shared" si="38"/>
        <v>0</v>
      </c>
    </row>
    <row r="70" spans="1:14" x14ac:dyDescent="0.2">
      <c r="A70" s="856" t="str">
        <f t="shared" si="35"/>
        <v/>
      </c>
      <c r="B70" s="990" t="str">
        <f t="shared" si="33"/>
        <v>Lanaus tie 10</v>
      </c>
      <c r="C70" s="990"/>
      <c r="D70" s="990"/>
      <c r="E70" s="990"/>
      <c r="F70" s="830"/>
      <c r="G70" s="843" t="str">
        <f t="shared" si="37"/>
        <v/>
      </c>
      <c r="H70" s="280" t="s">
        <v>78</v>
      </c>
      <c r="I70" s="838">
        <v>0</v>
      </c>
      <c r="J70" s="834" t="str">
        <f t="shared" si="36"/>
        <v/>
      </c>
      <c r="K70" s="318">
        <v>1</v>
      </c>
      <c r="L70" s="1000">
        <f t="shared" si="34"/>
        <v>0</v>
      </c>
      <c r="M70" s="1001"/>
      <c r="N70" s="846">
        <f t="shared" si="38"/>
        <v>0</v>
      </c>
    </row>
    <row r="71" spans="1:14" x14ac:dyDescent="0.2">
      <c r="A71" s="856" t="str">
        <f t="shared" si="35"/>
        <v/>
      </c>
      <c r="B71" s="990" t="str">
        <f t="shared" si="33"/>
        <v>Lanaus tie 11</v>
      </c>
      <c r="C71" s="990"/>
      <c r="D71" s="990"/>
      <c r="E71" s="990"/>
      <c r="F71" s="830"/>
      <c r="G71" s="843" t="str">
        <f t="shared" si="37"/>
        <v/>
      </c>
      <c r="H71" s="280" t="s">
        <v>78</v>
      </c>
      <c r="I71" s="838">
        <v>0</v>
      </c>
      <c r="J71" s="834" t="str">
        <f t="shared" si="36"/>
        <v/>
      </c>
      <c r="K71" s="318">
        <v>1</v>
      </c>
      <c r="L71" s="1000">
        <f t="shared" si="34"/>
        <v>0</v>
      </c>
      <c r="M71" s="1001"/>
      <c r="N71" s="846">
        <f t="shared" si="38"/>
        <v>0</v>
      </c>
    </row>
    <row r="72" spans="1:14" x14ac:dyDescent="0.2">
      <c r="A72" s="856" t="str">
        <f t="shared" si="35"/>
        <v/>
      </c>
      <c r="B72" s="990" t="str">
        <f t="shared" si="33"/>
        <v>Lanaus tie 12</v>
      </c>
      <c r="C72" s="990"/>
      <c r="D72" s="990"/>
      <c r="E72" s="990"/>
      <c r="F72" s="830"/>
      <c r="G72" s="843" t="str">
        <f t="shared" si="37"/>
        <v/>
      </c>
      <c r="H72" s="280" t="s">
        <v>78</v>
      </c>
      <c r="I72" s="838">
        <v>0</v>
      </c>
      <c r="J72" s="834" t="str">
        <f t="shared" si="36"/>
        <v/>
      </c>
      <c r="K72" s="318">
        <v>1</v>
      </c>
      <c r="L72" s="1000">
        <f t="shared" si="34"/>
        <v>0</v>
      </c>
      <c r="M72" s="1001"/>
      <c r="N72" s="846">
        <f t="shared" si="38"/>
        <v>0</v>
      </c>
    </row>
    <row r="73" spans="1:14" x14ac:dyDescent="0.2">
      <c r="A73" s="856" t="str">
        <f t="shared" si="35"/>
        <v/>
      </c>
      <c r="B73" s="990" t="str">
        <f t="shared" si="33"/>
        <v>Lanaus tie 13</v>
      </c>
      <c r="C73" s="990"/>
      <c r="D73" s="990"/>
      <c r="E73" s="990"/>
      <c r="F73" s="830"/>
      <c r="G73" s="843" t="str">
        <f t="shared" si="37"/>
        <v/>
      </c>
      <c r="H73" s="280" t="s">
        <v>78</v>
      </c>
      <c r="I73" s="838">
        <v>0</v>
      </c>
      <c r="J73" s="834" t="str">
        <f t="shared" si="36"/>
        <v/>
      </c>
      <c r="K73" s="318">
        <v>1</v>
      </c>
      <c r="L73" s="1000">
        <f t="shared" si="34"/>
        <v>0</v>
      </c>
      <c r="M73" s="1001"/>
      <c r="N73" s="846">
        <f>IF(J73&lt;&gt;"",L73/$L$78,0)</f>
        <v>0</v>
      </c>
    </row>
    <row r="74" spans="1:14" x14ac:dyDescent="0.2">
      <c r="A74" s="856" t="str">
        <f>IF(A57="","",A57)</f>
        <v/>
      </c>
      <c r="B74" s="990" t="str">
        <f t="shared" si="33"/>
        <v>Lanaus tie 14</v>
      </c>
      <c r="C74" s="990"/>
      <c r="D74" s="990"/>
      <c r="E74" s="990"/>
      <c r="F74" s="830"/>
      <c r="G74" s="843" t="str">
        <f t="shared" si="37"/>
        <v/>
      </c>
      <c r="H74" s="280" t="s">
        <v>78</v>
      </c>
      <c r="I74" s="838">
        <v>0</v>
      </c>
      <c r="J74" s="834" t="str">
        <f t="shared" si="36"/>
        <v/>
      </c>
      <c r="K74" s="318">
        <v>1</v>
      </c>
      <c r="L74" s="1000">
        <f t="shared" si="34"/>
        <v>0</v>
      </c>
      <c r="M74" s="1001"/>
      <c r="N74" s="846">
        <f>IF(J74&lt;&gt;"",L74/$L$78,0)</f>
        <v>0</v>
      </c>
    </row>
    <row r="75" spans="1:14" x14ac:dyDescent="0.2">
      <c r="A75" s="878"/>
      <c r="B75" s="1028" t="s">
        <v>658</v>
      </c>
      <c r="C75" s="1029"/>
      <c r="D75" s="1029"/>
      <c r="E75" s="1030"/>
      <c r="F75" s="879"/>
      <c r="G75" s="843"/>
      <c r="H75" s="280" t="s">
        <v>506</v>
      </c>
      <c r="I75" s="838">
        <v>0</v>
      </c>
      <c r="J75" s="834">
        <f>AA58</f>
        <v>0</v>
      </c>
      <c r="K75" s="318">
        <v>1</v>
      </c>
      <c r="L75" s="1000">
        <f>IF(J75&lt;&gt;"",J75*K75,0)</f>
        <v>0</v>
      </c>
      <c r="M75" s="1001"/>
      <c r="N75" s="846">
        <f>IF(J75&lt;&gt;"",L75/$L$78,0)</f>
        <v>0</v>
      </c>
    </row>
    <row r="76" spans="1:14" ht="15" x14ac:dyDescent="0.2">
      <c r="B76" s="963" t="s">
        <v>654</v>
      </c>
      <c r="C76" s="963"/>
      <c r="D76" s="963"/>
      <c r="E76" s="963"/>
      <c r="F76" s="964"/>
      <c r="G76" s="830">
        <v>0</v>
      </c>
      <c r="H76" s="280" t="s">
        <v>73</v>
      </c>
      <c r="I76" s="838">
        <v>0</v>
      </c>
      <c r="J76" s="834">
        <f>IF(I76&gt;0,I76,T58)</f>
        <v>24.144728327873043</v>
      </c>
      <c r="K76" s="318">
        <v>1</v>
      </c>
      <c r="L76" s="1000">
        <f t="shared" si="34"/>
        <v>0</v>
      </c>
      <c r="M76" s="1001"/>
      <c r="N76" s="846">
        <f>IF(J76&lt;&gt;"",L76/$L$78,0)</f>
        <v>0</v>
      </c>
    </row>
    <row r="77" spans="1:14" ht="15" x14ac:dyDescent="0.2">
      <c r="B77" s="963" t="s">
        <v>620</v>
      </c>
      <c r="C77" s="963"/>
      <c r="D77" s="963"/>
      <c r="E77" s="963"/>
      <c r="F77" s="964"/>
      <c r="G77" s="830">
        <v>0</v>
      </c>
      <c r="H77" s="280" t="s">
        <v>228</v>
      </c>
      <c r="I77" s="838">
        <v>0</v>
      </c>
      <c r="J77" s="834">
        <f>IF(I77&gt;0,I77,T36)</f>
        <v>107.75333303348302</v>
      </c>
      <c r="K77" s="318">
        <v>1</v>
      </c>
      <c r="L77" s="1000">
        <f t="shared" si="34"/>
        <v>0</v>
      </c>
      <c r="M77" s="1001"/>
      <c r="N77" s="846">
        <f>IF(J77&lt;&gt;"",L77/$L$78,0)</f>
        <v>0</v>
      </c>
    </row>
    <row r="78" spans="1:14" ht="15.75" x14ac:dyDescent="0.25">
      <c r="B78" s="504" t="s">
        <v>201</v>
      </c>
      <c r="C78" s="503"/>
      <c r="D78" s="503"/>
      <c r="E78" s="503"/>
      <c r="F78" s="507"/>
      <c r="G78" s="505"/>
      <c r="H78" s="313"/>
      <c r="L78" s="1010">
        <f>SUM(L61:M77)</f>
        <v>144.86836996723827</v>
      </c>
      <c r="M78" s="1011"/>
      <c r="N78" s="846">
        <f>IF(J77&lt;&gt;"",L78/$L$78,0)</f>
        <v>1</v>
      </c>
    </row>
    <row r="79" spans="1:14" ht="15" x14ac:dyDescent="0.2">
      <c r="B79" s="962" t="s">
        <v>202</v>
      </c>
      <c r="C79" s="962"/>
      <c r="D79" s="962"/>
      <c r="E79" s="962"/>
      <c r="F79" s="586"/>
      <c r="G79" s="830">
        <v>1</v>
      </c>
      <c r="H79" s="280" t="s">
        <v>73</v>
      </c>
      <c r="I79" s="838">
        <v>0</v>
      </c>
      <c r="J79" s="834">
        <f>AC58</f>
        <v>69.287188849277072</v>
      </c>
      <c r="K79" s="318">
        <v>1</v>
      </c>
      <c r="L79" s="1006">
        <f>J79*G79</f>
        <v>69.287188849277072</v>
      </c>
      <c r="M79" s="1006"/>
      <c r="N79" s="846">
        <f>IF(J79&lt;&gt;"",L79/$L$78,0)</f>
        <v>0.4782768582606835</v>
      </c>
    </row>
    <row r="80" spans="1:14" ht="15" x14ac:dyDescent="0.2">
      <c r="B80" s="963" t="s">
        <v>626</v>
      </c>
      <c r="C80" s="963"/>
      <c r="D80" s="963"/>
      <c r="E80" s="963"/>
      <c r="F80" s="964"/>
      <c r="G80" s="830">
        <v>1</v>
      </c>
      <c r="H80" s="280" t="s">
        <v>73</v>
      </c>
      <c r="I80" s="999">
        <v>0</v>
      </c>
      <c r="J80" s="999"/>
      <c r="K80" s="318">
        <v>1</v>
      </c>
      <c r="L80" s="1006">
        <f>I80*G80</f>
        <v>0</v>
      </c>
      <c r="M80" s="1006"/>
      <c r="N80" s="846">
        <f>IF(I80&lt;&gt;"",L80/$L$78,0)</f>
        <v>0</v>
      </c>
    </row>
    <row r="81" spans="2:14" ht="15.75" x14ac:dyDescent="0.25">
      <c r="B81" s="279" t="s">
        <v>204</v>
      </c>
      <c r="C81"/>
      <c r="D81"/>
      <c r="E81"/>
      <c r="F81"/>
      <c r="G81" s="831"/>
      <c r="H81" s="832"/>
      <c r="I81" s="1002"/>
      <c r="J81" s="1003"/>
      <c r="L81" s="1007">
        <f>L78-L79-L80</f>
        <v>75.581181117961194</v>
      </c>
      <c r="M81" s="1007"/>
      <c r="N81" s="846">
        <f>IF(L78&lt;&gt;"",L81/$L$78,0)</f>
        <v>0.52172314173931655</v>
      </c>
    </row>
    <row r="82" spans="2:14" ht="15" x14ac:dyDescent="0.2">
      <c r="B82" s="470" t="s">
        <v>205</v>
      </c>
      <c r="C82"/>
      <c r="D82"/>
      <c r="E82"/>
      <c r="F82" s="830"/>
      <c r="G82" s="843">
        <f>IF(F82&gt;0,F82,AVERAGE(U58:V58))</f>
        <v>1.4499999999999997</v>
      </c>
      <c r="H82" s="280" t="s">
        <v>228</v>
      </c>
      <c r="I82" s="845"/>
      <c r="J82" s="834">
        <f>IF(I82&gt;0,I82,T35)</f>
        <v>25</v>
      </c>
      <c r="K82" s="318">
        <v>1</v>
      </c>
      <c r="L82" s="1006">
        <f>G82*J82*K82</f>
        <v>36.249999999999993</v>
      </c>
      <c r="M82" s="1006"/>
      <c r="N82" s="846">
        <f>IF(J82&lt;&gt;"",L82/$L$78,0)</f>
        <v>0.2502271545417255</v>
      </c>
    </row>
    <row r="83" spans="2:14" ht="15" x14ac:dyDescent="0.2">
      <c r="B83" s="470" t="s">
        <v>206</v>
      </c>
      <c r="C83"/>
      <c r="D83"/>
      <c r="E83"/>
      <c r="F83"/>
      <c r="G83" s="830">
        <v>1</v>
      </c>
      <c r="H83" s="280" t="s">
        <v>73</v>
      </c>
      <c r="I83" s="845"/>
      <c r="J83" s="834">
        <f>IF(I83&gt;0,I83,AD58)</f>
        <v>32.706294114490746</v>
      </c>
      <c r="K83" s="318">
        <v>1</v>
      </c>
      <c r="L83" s="1006">
        <f>G83*J83*K83</f>
        <v>32.706294114490746</v>
      </c>
      <c r="M83" s="1006"/>
      <c r="N83" s="846">
        <f>IF(J83&lt;&gt;"",L83/$L$78,0)</f>
        <v>0.22576559756893252</v>
      </c>
    </row>
    <row r="84" spans="2:14" ht="15" x14ac:dyDescent="0.2">
      <c r="B84" s="470" t="s">
        <v>113</v>
      </c>
      <c r="C84"/>
      <c r="D84"/>
      <c r="E84"/>
      <c r="F84"/>
      <c r="G84" s="830">
        <v>1</v>
      </c>
      <c r="H84" s="280" t="s">
        <v>73</v>
      </c>
      <c r="I84" s="999">
        <v>0</v>
      </c>
      <c r="J84" s="999"/>
      <c r="K84" s="318">
        <v>1</v>
      </c>
      <c r="L84" s="1008">
        <f>G84*I84</f>
        <v>0</v>
      </c>
      <c r="M84" s="1009"/>
      <c r="N84" s="846">
        <f>IF(G84&lt;&gt;"",L84/$L$78,0)</f>
        <v>0</v>
      </c>
    </row>
    <row r="85" spans="2:14" ht="15" x14ac:dyDescent="0.2">
      <c r="B85" s="470" t="s">
        <v>207</v>
      </c>
      <c r="C85"/>
      <c r="D85"/>
      <c r="E85"/>
      <c r="F85"/>
      <c r="G85" s="454"/>
      <c r="H85" s="313"/>
      <c r="L85" s="1006">
        <f>L81-L82-L83-L84</f>
        <v>6.6248870034704552</v>
      </c>
      <c r="M85" s="1006"/>
      <c r="N85" s="846">
        <f>IF(L81&lt;&gt;"",L85/$L$78,0)</f>
        <v>4.5730389628658497E-2</v>
      </c>
    </row>
    <row r="86" spans="2:14" ht="15" x14ac:dyDescent="0.2">
      <c r="B86" s="470" t="s">
        <v>208</v>
      </c>
      <c r="C86"/>
      <c r="D86"/>
      <c r="E86"/>
      <c r="F86"/>
      <c r="G86" s="454"/>
      <c r="H86" s="427">
        <v>0.2</v>
      </c>
      <c r="L86" s="1006">
        <f>L85*H86</f>
        <v>1.3249774006940911</v>
      </c>
      <c r="M86" s="1006"/>
      <c r="N86" s="846">
        <f>IF(L85&lt;&gt;"",L86/$L$78,0)</f>
        <v>9.1460779257317004E-3</v>
      </c>
    </row>
    <row r="87" spans="2:14" ht="15.75" x14ac:dyDescent="0.25">
      <c r="B87" s="279" t="s">
        <v>209</v>
      </c>
      <c r="C87"/>
      <c r="D87"/>
      <c r="E87"/>
      <c r="L87" s="1007">
        <f>L85-L86</f>
        <v>5.2999096027763644</v>
      </c>
      <c r="M87" s="1007"/>
      <c r="N87" s="846">
        <f>IF(L85&lt;&gt;"",L87/$L$78,0)</f>
        <v>3.6584311702926801E-2</v>
      </c>
    </row>
    <row r="89" spans="2:14" ht="20.25" x14ac:dyDescent="0.3">
      <c r="B89" s="820" t="s">
        <v>655</v>
      </c>
    </row>
    <row r="90" spans="2:14" ht="18" x14ac:dyDescent="0.25">
      <c r="B90" s="582" t="s">
        <v>138</v>
      </c>
    </row>
    <row r="92" spans="2:14" x14ac:dyDescent="0.2">
      <c r="B92" s="4" t="s">
        <v>139</v>
      </c>
      <c r="C92" s="398" t="str">
        <f>Ohjeet!C2</f>
        <v>2024.12</v>
      </c>
    </row>
  </sheetData>
  <sheetProtection algorithmName="SHA-512" hashValue="ijn6S6Qn/7kfmQT/bn2k6lKAFk+BHoozNSfoeTgQVF7T9sn8cYO81cpsR1WiEA7586mMt06q4taSEIJZRrh7Zg==" saltValue="5As7YHu8kyybuiMm4kmmlQ==" spinCount="100000" sheet="1" formatCells="0" formatColumns="0" formatRows="0"/>
  <mergeCells count="119">
    <mergeCell ref="L85:M85"/>
    <mergeCell ref="L86:M86"/>
    <mergeCell ref="L87:M87"/>
    <mergeCell ref="B40:E40"/>
    <mergeCell ref="B80:F80"/>
    <mergeCell ref="I80:J80"/>
    <mergeCell ref="L80:M80"/>
    <mergeCell ref="I81:J81"/>
    <mergeCell ref="L81:M81"/>
    <mergeCell ref="L82:M82"/>
    <mergeCell ref="L83:M83"/>
    <mergeCell ref="I84:J84"/>
    <mergeCell ref="L84:M84"/>
    <mergeCell ref="B72:E72"/>
    <mergeCell ref="B73:E73"/>
    <mergeCell ref="B74:E74"/>
    <mergeCell ref="B75:E75"/>
    <mergeCell ref="B76:F76"/>
    <mergeCell ref="B77:F77"/>
    <mergeCell ref="L77:M77"/>
    <mergeCell ref="L78:M78"/>
    <mergeCell ref="B79:E79"/>
    <mergeCell ref="L79:M79"/>
    <mergeCell ref="B46:C46"/>
    <mergeCell ref="R59:T59"/>
    <mergeCell ref="U59:Y59"/>
    <mergeCell ref="Z59:AG59"/>
    <mergeCell ref="B65:E65"/>
    <mergeCell ref="B66:E66"/>
    <mergeCell ref="B67:E67"/>
    <mergeCell ref="B69:E69"/>
    <mergeCell ref="B70:E70"/>
    <mergeCell ref="B71:E71"/>
    <mergeCell ref="L67:M67"/>
    <mergeCell ref="B68:E68"/>
    <mergeCell ref="L68:M68"/>
    <mergeCell ref="L69:M69"/>
    <mergeCell ref="B64:E64"/>
    <mergeCell ref="L64:M64"/>
    <mergeCell ref="L65:M65"/>
    <mergeCell ref="L66:M66"/>
    <mergeCell ref="A2:B2"/>
    <mergeCell ref="E2:F2"/>
    <mergeCell ref="I2:J2"/>
    <mergeCell ref="M2:N2"/>
    <mergeCell ref="Q2:R2"/>
    <mergeCell ref="C29:E29"/>
    <mergeCell ref="E1:G1"/>
    <mergeCell ref="H1:J1"/>
    <mergeCell ref="L1:N1"/>
    <mergeCell ref="P1:R1"/>
    <mergeCell ref="E3:F3"/>
    <mergeCell ref="I3:J3"/>
    <mergeCell ref="M3:N3"/>
    <mergeCell ref="Q3:R3"/>
    <mergeCell ref="C28:E28"/>
    <mergeCell ref="C19:E19"/>
    <mergeCell ref="Z40:AB40"/>
    <mergeCell ref="A41:A43"/>
    <mergeCell ref="B41:C43"/>
    <mergeCell ref="M40:Q40"/>
    <mergeCell ref="R40:T40"/>
    <mergeCell ref="U40:V40"/>
    <mergeCell ref="X40:Y40"/>
    <mergeCell ref="Z42:Z43"/>
    <mergeCell ref="AA42:AA43"/>
    <mergeCell ref="AB42:AB43"/>
    <mergeCell ref="L41:L43"/>
    <mergeCell ref="M41:M43"/>
    <mergeCell ref="N41:N43"/>
    <mergeCell ref="O41:O43"/>
    <mergeCell ref="P41:P43"/>
    <mergeCell ref="G41:G42"/>
    <mergeCell ref="H41:H43"/>
    <mergeCell ref="I41:I43"/>
    <mergeCell ref="J41:J43"/>
    <mergeCell ref="K41:K42"/>
    <mergeCell ref="X41:Y41"/>
    <mergeCell ref="W42:W43"/>
    <mergeCell ref="X42:X43"/>
    <mergeCell ref="Y42:Y43"/>
    <mergeCell ref="B51:C51"/>
    <mergeCell ref="B52:C52"/>
    <mergeCell ref="B53:C53"/>
    <mergeCell ref="B54:C54"/>
    <mergeCell ref="B55:C55"/>
    <mergeCell ref="B56:C56"/>
    <mergeCell ref="B47:C47"/>
    <mergeCell ref="B48:C48"/>
    <mergeCell ref="B49:C49"/>
    <mergeCell ref="B50:C50"/>
    <mergeCell ref="B44:C44"/>
    <mergeCell ref="B45:C45"/>
    <mergeCell ref="Q41:Q43"/>
    <mergeCell ref="R41:T41"/>
    <mergeCell ref="U41:V41"/>
    <mergeCell ref="R42:R43"/>
    <mergeCell ref="S42:S43"/>
    <mergeCell ref="T42:T43"/>
    <mergeCell ref="U42:U43"/>
    <mergeCell ref="V42:V43"/>
    <mergeCell ref="D41:F41"/>
    <mergeCell ref="D43:E43"/>
    <mergeCell ref="L74:M74"/>
    <mergeCell ref="L75:M75"/>
    <mergeCell ref="L76:M76"/>
    <mergeCell ref="L70:M70"/>
    <mergeCell ref="L71:M71"/>
    <mergeCell ref="L72:M72"/>
    <mergeCell ref="L73:M73"/>
    <mergeCell ref="B57:C57"/>
    <mergeCell ref="B61:E61"/>
    <mergeCell ref="L61:M61"/>
    <mergeCell ref="B62:E62"/>
    <mergeCell ref="L62:M62"/>
    <mergeCell ref="B63:E63"/>
    <mergeCell ref="L63:M63"/>
    <mergeCell ref="L60:M60"/>
    <mergeCell ref="G59:Q59"/>
  </mergeCells>
  <phoneticPr fontId="7" type="noConversion"/>
  <conditionalFormatting sqref="I61:I77">
    <cfRule type="cellIs" dxfId="26" priority="4" operator="greaterThan">
      <formula>0</formula>
    </cfRule>
  </conditionalFormatting>
  <conditionalFormatting sqref="I79">
    <cfRule type="cellIs" dxfId="25" priority="1" operator="greaterThan">
      <formula>0</formula>
    </cfRule>
  </conditionalFormatting>
  <conditionalFormatting sqref="L44:L57">
    <cfRule type="cellIs" dxfId="24" priority="5" operator="greaterThan">
      <formula>0</formula>
    </cfRule>
  </conditionalFormatting>
  <conditionalFormatting sqref="N44:N57">
    <cfRule type="cellIs" dxfId="23" priority="3" operator="greaterThan">
      <formula>0</formula>
    </cfRule>
  </conditionalFormatting>
  <conditionalFormatting sqref="P44:P57">
    <cfRule type="cellIs" dxfId="22" priority="2" operator="greaterThan">
      <formula>0</formula>
    </cfRule>
  </conditionalFormatting>
  <hyperlinks>
    <hyperlink ref="B89" location="'Koneketjujen ketjutus Tieketju'!A1" display="Siirry koneketjujen ketjuun urakan laskentaan tai tekemään vertailua" xr:uid="{3FB0D969-0CB5-4359-A2CC-459E52BF0221}"/>
    <hyperlink ref="J41:J43" location="'Työpäivien lkm'!A1" display="Arvaus ajokerroista kaudella (ei pakollinen, oletus 1" xr:uid="{2746BEBE-796A-4419-A33D-4925FD777706}"/>
  </hyperlinks>
  <printOptions verticalCentered="1"/>
  <pageMargins left="3.937007874015748E-2" right="3.937007874015748E-2" top="0.74803149606299213" bottom="0.74803149606299213" header="0.31496062992125984" footer="0.31496062992125984"/>
  <pageSetup paperSize="9" scale="58"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3EBCB88-110E-4E3C-819D-1DA933820A01}">
          <x14:formula1>
            <xm:f>Laskentayksikot!$E$7:$E$8</xm:f>
          </x14:formula1>
          <xm:sqref>D2</xm:sqref>
        </x14:dataValidation>
        <x14:dataValidation type="list" allowBlank="1" showInputMessage="1" showErrorMessage="1" xr:uid="{19AB698B-49BA-43F2-BF9D-8D7730F5E902}">
          <x14:formula1>
            <xm:f>Laskentayksikot!$E$2:$E$3</xm:f>
          </x14:formula1>
          <xm:sqref>E2:F2 I2:J2 M2:N2 Q2:R2</xm:sqref>
        </x14:dataValidation>
        <x14:dataValidation type="list" allowBlank="1" showInputMessage="1" showErrorMessage="1" xr:uid="{43BDAB0B-2023-4B39-AB66-393A2EBD03DB}">
          <x14:formula1>
            <xm:f>Ohjeet!$A$63:$A$68</xm:f>
          </x14:formula1>
          <xm:sqref>V25</xm:sqref>
        </x14:dataValidation>
        <x14:dataValidation type="list" allowBlank="1" showInputMessage="1" showErrorMessage="1" xr:uid="{4AED4EE5-A37F-469F-BBFC-BCF66DD17E19}">
          <x14:formula1>
            <xm:f>Laskentayksikot!$B$2:$B$14</xm:f>
          </x14:formula1>
          <xm:sqref>H82:H84 H79:H80 H61:H77</xm:sqref>
        </x14:dataValidation>
        <x14:dataValidation type="list" allowBlank="1" showInputMessage="1" showErrorMessage="1" xr:uid="{FA2257CC-CCF5-493E-BBEA-D59112EDBF3A}">
          <x14:formula1>
            <xm:f>Laskentayksikot!$E$15:$E$16</xm:f>
          </x14:formula1>
          <xm:sqref>A44:A57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7A7E-A1B9-4882-940F-2D45A9CDEC94}">
  <sheetPr>
    <pageSetUpPr fitToPage="1"/>
  </sheetPr>
  <dimension ref="A1:AG92"/>
  <sheetViews>
    <sheetView zoomScale="90" zoomScaleNormal="90" workbookViewId="0">
      <selection activeCell="E3" sqref="E3:F3"/>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6.28515625" style="4" customWidth="1"/>
    <col min="11" max="11" width="11" style="4" customWidth="1"/>
    <col min="12" max="12" width="8.42578125" style="4" customWidth="1"/>
    <col min="13" max="13" width="10.140625" style="4" customWidth="1"/>
    <col min="14" max="14" width="15" style="4" customWidth="1"/>
    <col min="15" max="15" width="12.42578125" style="4" customWidth="1"/>
    <col min="16" max="16" width="9.140625" style="4" customWidth="1"/>
    <col min="17" max="17" width="9.140625" style="4"/>
    <col min="18" max="18" width="15.5703125" style="4" customWidth="1"/>
    <col min="19" max="19" width="13" style="4" customWidth="1"/>
    <col min="20" max="20" width="17" style="4" customWidth="1"/>
    <col min="21" max="21" width="12.7109375" style="4" customWidth="1"/>
    <col min="22" max="22" width="15.140625" style="4" customWidth="1"/>
    <col min="23" max="23" width="11.140625" style="4" customWidth="1"/>
    <col min="24" max="24" width="13.140625" style="4" customWidth="1"/>
    <col min="25" max="25" width="13.5703125" style="4" customWidth="1"/>
    <col min="26" max="26" width="15.42578125" style="4" customWidth="1"/>
    <col min="27" max="27" width="15.85546875" style="4" customWidth="1"/>
    <col min="28" max="28" width="13.85546875" style="4" customWidth="1"/>
    <col min="29" max="29" width="12.7109375" style="4" customWidth="1"/>
    <col min="30" max="30" width="12.5703125" style="4" customWidth="1"/>
    <col min="31" max="31" width="13" style="4" customWidth="1"/>
    <col min="32" max="32" width="11.42578125" style="4" customWidth="1"/>
    <col min="33" max="33" width="15.5703125" style="4" customWidth="1"/>
    <col min="34" max="16384" width="9.140625" style="4"/>
  </cols>
  <sheetData>
    <row r="1" spans="1:29" ht="39" thickBot="1" x14ac:dyDescent="0.25">
      <c r="A1" s="6" t="s">
        <v>79</v>
      </c>
      <c r="C1" s="6"/>
      <c r="E1" s="917" t="s">
        <v>80</v>
      </c>
      <c r="F1" s="917"/>
      <c r="G1" s="917"/>
      <c r="H1" s="918" t="s">
        <v>81</v>
      </c>
      <c r="I1" s="918"/>
      <c r="J1" s="918"/>
      <c r="L1" s="918" t="s">
        <v>81</v>
      </c>
      <c r="M1" s="918"/>
      <c r="N1" s="918"/>
      <c r="P1" s="918" t="s">
        <v>81</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602</v>
      </c>
      <c r="B2" s="912"/>
      <c r="C2" s="4" t="s">
        <v>90</v>
      </c>
      <c r="D2" s="70" t="s">
        <v>69</v>
      </c>
      <c r="E2" s="913" t="s">
        <v>60</v>
      </c>
      <c r="F2" s="914"/>
      <c r="G2" s="72"/>
      <c r="H2" s="402"/>
      <c r="I2" s="913" t="s">
        <v>60</v>
      </c>
      <c r="J2" s="914"/>
      <c r="K2" s="71"/>
      <c r="L2" s="402"/>
      <c r="M2" s="913" t="s">
        <v>62</v>
      </c>
      <c r="N2" s="914"/>
      <c r="O2" s="71"/>
      <c r="P2" s="402"/>
      <c r="Q2" s="913" t="s">
        <v>62</v>
      </c>
      <c r="R2" s="914"/>
      <c r="S2" s="71"/>
    </row>
    <row r="3" spans="1:29" ht="13.5" thickBot="1" x14ac:dyDescent="0.25">
      <c r="C3" s="10" t="s">
        <v>91</v>
      </c>
      <c r="E3" s="921" t="s">
        <v>604</v>
      </c>
      <c r="F3" s="922"/>
      <c r="H3" s="403"/>
      <c r="I3" s="923" t="s">
        <v>606</v>
      </c>
      <c r="J3" s="916"/>
      <c r="K3" s="73"/>
      <c r="L3" s="403"/>
      <c r="M3" s="915" t="s">
        <v>93</v>
      </c>
      <c r="N3" s="916"/>
      <c r="O3" s="73"/>
      <c r="P3" s="403"/>
      <c r="Q3" s="915" t="s">
        <v>94</v>
      </c>
      <c r="R3" s="916"/>
      <c r="S3" s="73"/>
      <c r="T3" s="6" t="str">
        <f>"Kytketty koneet: "&amp;IF(E2="k",E3&amp;" ","")&amp;IF(I2="k",I3&amp;" ","")&amp;IF(M2="k",M3&amp;" ","")&amp;(IF(Q2="k",Q3&amp;" ",""))</f>
        <v xml:space="preserve">Kytketty koneet: Valtra tiesarja Tienvarsiniitto kone </v>
      </c>
    </row>
    <row r="4" spans="1:29" x14ac:dyDescent="0.2">
      <c r="A4" s="4" t="s">
        <v>95</v>
      </c>
      <c r="E4" s="4" t="s">
        <v>96</v>
      </c>
      <c r="F4" s="75">
        <v>6</v>
      </c>
      <c r="H4" s="119"/>
      <c r="I4" s="4" t="s">
        <v>96</v>
      </c>
      <c r="J4" s="75">
        <v>10</v>
      </c>
      <c r="K4" s="73"/>
      <c r="L4" s="119"/>
      <c r="M4" s="4" t="s">
        <v>96</v>
      </c>
      <c r="N4" s="75">
        <v>1</v>
      </c>
      <c r="O4" s="73"/>
      <c r="P4" s="119"/>
      <c r="Q4" s="4" t="s">
        <v>96</v>
      </c>
      <c r="R4" s="75">
        <v>1</v>
      </c>
      <c r="S4" s="73"/>
      <c r="T4" s="160" t="s">
        <v>97</v>
      </c>
    </row>
    <row r="5" spans="1:29" ht="13.5" thickBot="1" x14ac:dyDescent="0.25">
      <c r="A5" s="4" t="s">
        <v>98</v>
      </c>
      <c r="E5" s="4" t="s">
        <v>99</v>
      </c>
      <c r="F5" s="640">
        <v>1600</v>
      </c>
      <c r="H5" s="119"/>
      <c r="I5" s="4" t="s">
        <v>99</v>
      </c>
      <c r="J5" s="640">
        <v>90</v>
      </c>
      <c r="K5" s="73"/>
      <c r="L5" s="119"/>
      <c r="M5" s="4" t="s">
        <v>99</v>
      </c>
      <c r="N5" s="640">
        <v>1</v>
      </c>
      <c r="O5" s="73"/>
      <c r="P5" s="119"/>
      <c r="Q5" s="4" t="s">
        <v>99</v>
      </c>
      <c r="R5" s="640">
        <v>1</v>
      </c>
      <c r="S5" s="73"/>
      <c r="T5" s="641">
        <f>IF($E$2="k",(F5),0)+IF($I$2="k",(J5),0)+IF($M$2="k",(N5),0)+IF($Q$2="k",(R5),0)</f>
        <v>1690</v>
      </c>
    </row>
    <row r="6" spans="1:29" ht="13.5" thickBot="1" x14ac:dyDescent="0.25">
      <c r="A6" s="160" t="s">
        <v>545</v>
      </c>
      <c r="E6" s="795">
        <v>0.85</v>
      </c>
      <c r="F6" s="794">
        <f>E6*F5</f>
        <v>1360</v>
      </c>
      <c r="G6" s="793"/>
      <c r="I6" s="795">
        <v>0.9</v>
      </c>
      <c r="J6" s="794">
        <f>I6*J5</f>
        <v>81</v>
      </c>
      <c r="K6" s="73"/>
      <c r="M6" s="795">
        <f>I6</f>
        <v>0.9</v>
      </c>
      <c r="N6" s="794">
        <f>M6*N5</f>
        <v>0.9</v>
      </c>
      <c r="O6" s="73"/>
      <c r="Q6" s="795">
        <f>M6</f>
        <v>0.9</v>
      </c>
      <c r="R6" s="794">
        <f>Q6*R5</f>
        <v>0.9</v>
      </c>
      <c r="S6" s="73"/>
      <c r="T6" s="641">
        <f>IF($E$2="k",(F6),0)+IF($I$2="k",(J6),0)+IF($M$2="k",(N6),0)+IF($Q$2="k",(R6),0)</f>
        <v>1441</v>
      </c>
    </row>
    <row r="7" spans="1:29" x14ac:dyDescent="0.2">
      <c r="A7" s="4" t="s">
        <v>100</v>
      </c>
      <c r="F7" s="77">
        <v>120000</v>
      </c>
      <c r="H7" s="119"/>
      <c r="J7" s="77">
        <v>15000</v>
      </c>
      <c r="K7" s="73"/>
      <c r="L7" s="119"/>
      <c r="N7" s="77">
        <v>0</v>
      </c>
      <c r="O7" s="73"/>
      <c r="P7" s="119"/>
      <c r="R7" s="77">
        <v>0</v>
      </c>
      <c r="S7" s="73"/>
    </row>
    <row r="8" spans="1:29" x14ac:dyDescent="0.2">
      <c r="A8" s="4" t="s">
        <v>101</v>
      </c>
      <c r="E8" s="596">
        <v>0.255</v>
      </c>
      <c r="F8" s="222">
        <f>F7/(100%+E8)*E8</f>
        <v>24382.470119521913</v>
      </c>
      <c r="G8" s="7"/>
      <c r="H8" s="404"/>
      <c r="I8" s="596">
        <f>E8</f>
        <v>0.255</v>
      </c>
      <c r="J8" s="222">
        <f>J7/(100%+I8)*I8</f>
        <v>3047.8087649402391</v>
      </c>
      <c r="K8" s="79"/>
      <c r="L8" s="404"/>
      <c r="M8" s="596">
        <f>I8</f>
        <v>0.255</v>
      </c>
      <c r="N8" s="222">
        <f>N7/(100%+M8)*M8</f>
        <v>0</v>
      </c>
      <c r="O8" s="79"/>
      <c r="P8" s="404"/>
      <c r="Q8" s="596">
        <f>M8</f>
        <v>0.255</v>
      </c>
      <c r="R8" s="222">
        <f>R7/(100%+Q8)*Q8</f>
        <v>0</v>
      </c>
      <c r="S8" s="79"/>
    </row>
    <row r="9" spans="1:29" x14ac:dyDescent="0.2">
      <c r="A9" s="4" t="s">
        <v>102</v>
      </c>
      <c r="F9" s="80">
        <f>F7-F8</f>
        <v>95617.52988047809</v>
      </c>
      <c r="H9" s="119"/>
      <c r="J9" s="80">
        <f>J7-J8</f>
        <v>11952.191235059761</v>
      </c>
      <c r="K9" s="73"/>
      <c r="L9" s="119"/>
      <c r="N9" s="80">
        <f>N7-N8</f>
        <v>0</v>
      </c>
      <c r="O9" s="73"/>
      <c r="P9" s="119"/>
      <c r="R9" s="80">
        <f>R7-R8</f>
        <v>0</v>
      </c>
      <c r="S9" s="73"/>
    </row>
    <row r="10" spans="1:29" x14ac:dyDescent="0.2">
      <c r="A10" s="4" t="s">
        <v>103</v>
      </c>
      <c r="E10" s="225">
        <v>0.5</v>
      </c>
      <c r="F10" s="222">
        <f>E10*F9</f>
        <v>47808.764940239045</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47808.764940239045</v>
      </c>
      <c r="H11" s="119"/>
      <c r="J11" s="81">
        <f>J9-J10</f>
        <v>11952.191235059761</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10358.565737051793</v>
      </c>
      <c r="H13" s="119"/>
      <c r="I13" s="226">
        <v>0.05</v>
      </c>
      <c r="J13" s="222">
        <f>IF(I2="k",IF($D$2="A",ABS(PMT(I13,J4,-J9,I10*J9,0)),SUM(J14:J15)),0)</f>
        <v>1494.0239043824702</v>
      </c>
      <c r="K13" s="73"/>
      <c r="L13" s="119"/>
      <c r="M13" s="226">
        <v>0.05</v>
      </c>
      <c r="N13" s="222">
        <f>IF(M2="k",IF($D$2="A",ABS(PMT(M13,N4,-N9,M10*N9,0)),SUM(N14:N15)),0)</f>
        <v>0</v>
      </c>
      <c r="O13" s="73"/>
      <c r="P13" s="119"/>
      <c r="Q13" s="226">
        <v>0.05</v>
      </c>
      <c r="R13" s="222">
        <f>IF(Q2="k",IF($D$2="A",ABS(PMT(Q13,R4,-R9,Q10*R9,0)),SUM(R14:R15)),0)</f>
        <v>0</v>
      </c>
      <c r="S13" s="73"/>
      <c r="T13" s="36">
        <f>SUM(F13,J13,N13,R13)</f>
        <v>11852.589641434262</v>
      </c>
    </row>
    <row r="14" spans="1:29" x14ac:dyDescent="0.2">
      <c r="B14" s="30" t="s">
        <v>109</v>
      </c>
      <c r="F14" s="84">
        <f>IF(E2="k",IF(D2="A",E13*F9,F9/2*E13),0)</f>
        <v>2390.4382470119522</v>
      </c>
      <c r="G14" s="10"/>
      <c r="H14" s="405"/>
      <c r="J14" s="84">
        <f>IF(I2="k",IF($D$2="A",I13*J9,J9/2*I13),0)</f>
        <v>298.80478087649402</v>
      </c>
      <c r="K14" s="85"/>
      <c r="L14" s="405"/>
      <c r="N14" s="84">
        <f>IF(M2="k",IF($D$2="A",M13*N9,N9/2*M13),0)</f>
        <v>0</v>
      </c>
      <c r="O14" s="85"/>
      <c r="P14" s="405"/>
      <c r="R14" s="84">
        <f>IF(Q2="k",IF($D$2="A",Q13*R9,R9/2*Q13),0)</f>
        <v>0</v>
      </c>
      <c r="S14" s="85"/>
      <c r="T14" s="36">
        <f t="shared" ref="T14:T25" si="0">SUM(F14,J14,N14,R14)</f>
        <v>2689.2430278884462</v>
      </c>
    </row>
    <row r="15" spans="1:29" ht="13.5" thickBot="1" x14ac:dyDescent="0.25">
      <c r="B15" s="32" t="s">
        <v>110</v>
      </c>
      <c r="C15" s="33"/>
      <c r="D15" s="33"/>
      <c r="E15" s="33"/>
      <c r="F15" s="86">
        <f>IF(E2="k",IF(D2="A",F13-F14,F11/F4),0)</f>
        <v>7968.1274900398412</v>
      </c>
      <c r="H15" s="119"/>
      <c r="J15" s="86">
        <f>IF(I2="k",IF($D$2="A",J13-J14,J11/J4),0)</f>
        <v>1195.2191235059761</v>
      </c>
      <c r="K15" s="73"/>
      <c r="L15" s="119"/>
      <c r="N15" s="86">
        <f>IF(M2="k",IF($D$2="A",N13-N14,N11/N4),0)</f>
        <v>0</v>
      </c>
      <c r="O15" s="73"/>
      <c r="P15" s="119"/>
      <c r="R15" s="86">
        <f>IF(Q2="k",IF($D$2="A",R13-R14,R11/R4),0)</f>
        <v>0</v>
      </c>
      <c r="S15" s="73"/>
      <c r="T15" s="36">
        <f t="shared" si="0"/>
        <v>9163.3466135458166</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D18" s="44"/>
      <c r="E18" s="899"/>
      <c r="F18" s="88">
        <v>1000</v>
      </c>
      <c r="G18" s="10"/>
      <c r="H18" s="405"/>
      <c r="J18" s="77">
        <v>0</v>
      </c>
      <c r="K18" s="85"/>
      <c r="L18" s="405"/>
      <c r="N18" s="77">
        <v>0</v>
      </c>
      <c r="O18" s="85"/>
      <c r="P18" s="405"/>
      <c r="R18" s="77">
        <v>0</v>
      </c>
      <c r="S18" s="85"/>
      <c r="T18" s="8">
        <f>IF($E$2="k",F18)+IF($I$2="k",J18)+IF($M$2="k",N18)+IF($Q$2="k",R18)</f>
        <v>1000</v>
      </c>
    </row>
    <row r="19" spans="1:29" ht="12.75" customHeight="1" x14ac:dyDescent="0.2">
      <c r="B19" s="35" t="s">
        <v>113</v>
      </c>
      <c r="C19" s="986" t="s">
        <v>691</v>
      </c>
      <c r="D19" s="986"/>
      <c r="E19" s="986"/>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286.85258964143429</v>
      </c>
      <c r="G21" s="10"/>
      <c r="H21" s="405"/>
      <c r="I21" s="226">
        <v>3.0000000000000001E-3</v>
      </c>
      <c r="J21" s="290">
        <f>IF(I2="k",I21*J9,0)</f>
        <v>35.856573705179287</v>
      </c>
      <c r="K21" s="85"/>
      <c r="L21" s="405"/>
      <c r="M21" s="226">
        <v>3.0000000000000001E-3</v>
      </c>
      <c r="N21" s="290">
        <f>IF(M2="k",M21*N9,0)</f>
        <v>0</v>
      </c>
      <c r="O21" s="85"/>
      <c r="P21" s="405"/>
      <c r="Q21" s="226">
        <v>3.0000000000000001E-3</v>
      </c>
      <c r="R21" s="19">
        <f>IF(Q2="k",Q21*R9,0)</f>
        <v>0</v>
      </c>
      <c r="S21" s="85"/>
      <c r="T21" s="36">
        <f t="shared" si="0"/>
        <v>322.70916334661359</v>
      </c>
    </row>
    <row r="22" spans="1:29" ht="13.5" thickBot="1" x14ac:dyDescent="0.25">
      <c r="B22" s="50" t="s">
        <v>115</v>
      </c>
      <c r="C22" s="51"/>
      <c r="D22" s="51"/>
      <c r="E22" s="52"/>
      <c r="F22" s="91">
        <f>IF(E2="k",SUM(F14:F21),0)</f>
        <v>11885.418326693227</v>
      </c>
      <c r="G22" s="209">
        <f>IF(E$6=0%,F22/F$5,F22/F$6)</f>
        <v>8.7392781813920788</v>
      </c>
      <c r="H22" s="406"/>
      <c r="J22" s="91">
        <f>IF(I2="k",SUM(J14:J21),0)</f>
        <v>1529.8804780876494</v>
      </c>
      <c r="K22" s="209">
        <f>IF(I$6=0%,J22/J$5,J22/J$6)</f>
        <v>18.887413309724067</v>
      </c>
      <c r="L22" s="406"/>
      <c r="N22" s="91">
        <f>IF(M2="k",SUM(N14:N21),0)</f>
        <v>0</v>
      </c>
      <c r="O22" s="209">
        <f>IF(M$6=0%,N22/N$5,N22/N$6)</f>
        <v>0</v>
      </c>
      <c r="P22" s="406"/>
      <c r="R22" s="93">
        <f>IF(Q2="k",SUM(R14:R21),0)</f>
        <v>0</v>
      </c>
      <c r="S22" s="209">
        <f>IF(Q$6=0%,R22/R$5,R22/R$6)</f>
        <v>0</v>
      </c>
      <c r="T22" s="94">
        <f t="shared" si="0"/>
        <v>13415.298804780876</v>
      </c>
      <c r="U22" s="425">
        <f>SUM(G22,K22,O22,S22)</f>
        <v>27.626691491116148</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2500</v>
      </c>
      <c r="G24" s="47"/>
      <c r="H24" s="409"/>
      <c r="J24" s="77">
        <v>1000</v>
      </c>
      <c r="K24" s="99"/>
      <c r="L24" s="409"/>
      <c r="N24" s="77">
        <v>0</v>
      </c>
      <c r="O24" s="99"/>
      <c r="P24" s="409"/>
      <c r="R24" s="77">
        <v>0</v>
      </c>
      <c r="S24" s="99"/>
      <c r="T24" s="8">
        <f>IF($E$2="k",F24)+IF($I$2="k",J24)+IF($M$2="k",N24)+IF($Q$2="k",R24)</f>
        <v>3500</v>
      </c>
    </row>
    <row r="25" spans="1:29" ht="15.75" x14ac:dyDescent="0.2">
      <c r="B25" s="11" t="s">
        <v>118</v>
      </c>
      <c r="C25" s="196">
        <v>15</v>
      </c>
      <c r="D25" s="197">
        <v>1.5</v>
      </c>
      <c r="E25" s="289"/>
      <c r="F25" s="100">
        <f>IF(E2="k",C25*D25*F5,0)</f>
        <v>36000</v>
      </c>
      <c r="G25" s="39"/>
      <c r="H25" s="410">
        <v>4</v>
      </c>
      <c r="I25" s="102">
        <f>$D$25</f>
        <v>1.5</v>
      </c>
      <c r="J25" s="100">
        <f>IF(I2="k",H25*I25*J5,0)</f>
        <v>540</v>
      </c>
      <c r="K25" s="101"/>
      <c r="L25" s="410">
        <f>H25</f>
        <v>4</v>
      </c>
      <c r="M25" s="102">
        <f>$D$25</f>
        <v>1.5</v>
      </c>
      <c r="N25" s="100">
        <f>IF(M2="k",L25*M25*N5,0)</f>
        <v>0</v>
      </c>
      <c r="O25" s="101"/>
      <c r="P25" s="410">
        <f>L25</f>
        <v>4</v>
      </c>
      <c r="Q25" s="102">
        <f>$D$25</f>
        <v>1.5</v>
      </c>
      <c r="R25" s="100">
        <f>IF(Q2="k",P25*Q25*R5,0)</f>
        <v>0</v>
      </c>
      <c r="S25" s="101"/>
      <c r="T25" s="36">
        <f t="shared" si="0"/>
        <v>36540</v>
      </c>
      <c r="V25" s="165" t="s">
        <v>37</v>
      </c>
      <c r="W25" s="642">
        <f>IF($E$2="k",(C25*F5),0)+IF($I$2="k",(H25*J5),0)+IF($M$2="k",(L25*N5),0)+IF($Q$2="k",(P25*R5),0)</f>
        <v>24360</v>
      </c>
      <c r="X25" s="642">
        <f>W25/159</f>
        <v>153.20754716981133</v>
      </c>
      <c r="Y25" s="161">
        <f>VLOOKUP(V25,Ohjeet!A63:F68,6,FALSE)</f>
        <v>2.66</v>
      </c>
      <c r="Z25" s="163">
        <f>W25*Y25</f>
        <v>64797.600000000006</v>
      </c>
      <c r="AA25" s="164">
        <f>Z25/1000</f>
        <v>64.797600000000003</v>
      </c>
      <c r="AB25" s="162">
        <f>Z25*0.27</f>
        <v>17495.352000000003</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38.341775147928999</v>
      </c>
    </row>
    <row r="27" spans="1:29"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0.28000000000000003</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1680.2800000000002</v>
      </c>
    </row>
    <row r="28" spans="1:29" x14ac:dyDescent="0.2">
      <c r="B28" s="396" t="s">
        <v>125</v>
      </c>
      <c r="C28" s="919" t="s">
        <v>126</v>
      </c>
      <c r="D28" s="920"/>
      <c r="E28" s="920"/>
      <c r="F28" s="77">
        <v>2000</v>
      </c>
      <c r="G28" s="39"/>
      <c r="H28" s="411"/>
      <c r="I28" s="412" t="str">
        <f>$B$28</f>
        <v>Muut:</v>
      </c>
      <c r="J28" s="77">
        <v>500</v>
      </c>
      <c r="K28" s="101"/>
      <c r="L28" s="411"/>
      <c r="M28" s="412" t="str">
        <f>$B$28</f>
        <v>Muut:</v>
      </c>
      <c r="N28" s="77"/>
      <c r="O28" s="101"/>
      <c r="P28" s="411"/>
      <c r="Q28" s="412" t="str">
        <f>$B$28</f>
        <v>Muut:</v>
      </c>
      <c r="R28" s="77"/>
      <c r="S28" s="101"/>
      <c r="T28" s="8">
        <f>IF($E$2="k",F28)+IF($I$2="k",J28)+IF($M$2="k",N28)+IF($Q$2="k",R28)</f>
        <v>2500</v>
      </c>
    </row>
    <row r="29" spans="1:29" ht="13.5" thickBot="1" x14ac:dyDescent="0.25">
      <c r="B29" s="396" t="s">
        <v>125</v>
      </c>
      <c r="C29" s="919"/>
      <c r="D29" s="920"/>
      <c r="E29" s="920"/>
      <c r="F29" s="77"/>
      <c r="G29" s="39"/>
      <c r="H29" s="411"/>
      <c r="I29" s="412" t="str">
        <f>$B$29</f>
        <v>Muut:</v>
      </c>
      <c r="J29" s="77"/>
      <c r="K29" s="101"/>
      <c r="L29" s="411"/>
      <c r="M29" s="412" t="str">
        <f>$B$29</f>
        <v>Muut:</v>
      </c>
      <c r="N29" s="77"/>
      <c r="O29" s="101"/>
      <c r="P29" s="411"/>
      <c r="Q29" s="412" t="str">
        <f>$B$29</f>
        <v>Muut:</v>
      </c>
      <c r="R29" s="77"/>
      <c r="S29" s="101"/>
      <c r="T29" s="8">
        <f>IF($E$2="k",F29)+IF($I$2="k",J29)+IF($M$2="k",N29)+IF($Q$2="k",R29)</f>
        <v>0</v>
      </c>
    </row>
    <row r="30" spans="1:29" ht="13.5" thickBot="1" x14ac:dyDescent="0.25">
      <c r="B30" s="60" t="s">
        <v>127</v>
      </c>
      <c r="C30" s="51"/>
      <c r="D30" s="51"/>
      <c r="E30" s="51"/>
      <c r="F30" s="55">
        <f>IF(E2="k",SUM(F24:F29),0)</f>
        <v>42180</v>
      </c>
      <c r="G30" s="209">
        <f>IF(E$6=0%,F30/F$5,F30/F$6)</f>
        <v>31.014705882352942</v>
      </c>
      <c r="H30" s="413"/>
      <c r="J30" s="55">
        <f>IF(I2="k",SUM(J24:J29),0)</f>
        <v>2040.28</v>
      </c>
      <c r="K30" s="209">
        <f>IF(I$6=0%,J30/J$5,J30/J$6)</f>
        <v>25.188641975308641</v>
      </c>
      <c r="L30" s="413"/>
      <c r="N30" s="55">
        <f>IF(M2="k",SUM(N24:N29),0)</f>
        <v>0</v>
      </c>
      <c r="O30" s="209">
        <f>IF(M$6=0%,N30/N$5,N30/N$6)</f>
        <v>0</v>
      </c>
      <c r="P30" s="413"/>
      <c r="R30" s="55">
        <f>IF(Q2="k",SUM(R24:R29),0)</f>
        <v>0</v>
      </c>
      <c r="S30" s="209">
        <f>IF(Q$6=0%,R30/R$5,R30/R$6)</f>
        <v>0</v>
      </c>
      <c r="T30" s="94">
        <f t="shared" ref="T30:T38" si="1">SUM(F30,J30,N30,R30)</f>
        <v>44220.28</v>
      </c>
      <c r="U30" s="105">
        <f>SUM(G30,K30,O30,S30)</f>
        <v>56.203347857661583</v>
      </c>
      <c r="V30" s="158"/>
    </row>
    <row r="31" spans="1:29" ht="13.5" thickBot="1" x14ac:dyDescent="0.25">
      <c r="A31" s="6" t="s">
        <v>128</v>
      </c>
      <c r="F31" s="106">
        <f>F22+F30</f>
        <v>54065.418326693223</v>
      </c>
      <c r="G31" s="12"/>
      <c r="H31" s="415"/>
      <c r="J31" s="55">
        <f>IF(I2="k",J22+J30,0)</f>
        <v>3570.1604780876496</v>
      </c>
      <c r="K31" s="107"/>
      <c r="L31" s="415"/>
      <c r="N31" s="55">
        <f>IF(M2="k",N22+N30,0)</f>
        <v>0</v>
      </c>
      <c r="O31" s="107"/>
      <c r="P31" s="415"/>
      <c r="R31" s="55">
        <f>IF(Q2="k",R22+R30,0)</f>
        <v>0</v>
      </c>
      <c r="S31" s="107"/>
      <c r="T31" s="94">
        <f t="shared" si="1"/>
        <v>57635.578804780875</v>
      </c>
    </row>
    <row r="32" spans="1:29" ht="13.5" thickBot="1" x14ac:dyDescent="0.25">
      <c r="F32" s="7"/>
      <c r="H32" s="119"/>
      <c r="J32" s="7"/>
      <c r="K32" s="73"/>
      <c r="L32" s="119"/>
      <c r="N32" s="7"/>
      <c r="O32" s="73"/>
      <c r="P32" s="119"/>
      <c r="R32" s="7"/>
      <c r="S32" s="73"/>
    </row>
    <row r="33" spans="1:33" ht="13.5" thickBot="1" x14ac:dyDescent="0.25">
      <c r="A33" s="6" t="s">
        <v>129</v>
      </c>
      <c r="F33" s="235">
        <f>IF(E2="k",IF(E6=0%,F31/F5,F31/F6),0)</f>
        <v>39.753984063745015</v>
      </c>
      <c r="G33" s="12"/>
      <c r="H33" s="415"/>
      <c r="J33" s="235">
        <f>IF(I2="k",IF(I6=0%,J31/J5,J31/J6),0)</f>
        <v>44.076055285032709</v>
      </c>
      <c r="K33" s="107"/>
      <c r="L33" s="415"/>
      <c r="N33" s="235">
        <f>IF(M2="k",IF(M6=0%,N31/N5,N31/N6),0)</f>
        <v>0</v>
      </c>
      <c r="O33" s="107"/>
      <c r="P33" s="415"/>
      <c r="R33" s="235">
        <f>IF(Q2="k",IF(Q6=0%,R31/R5,R31/R6),0)</f>
        <v>0</v>
      </c>
      <c r="S33" s="107"/>
      <c r="T33" s="108">
        <f t="shared" si="1"/>
        <v>83.830039348777717</v>
      </c>
    </row>
    <row r="34" spans="1:33" x14ac:dyDescent="0.2">
      <c r="B34" s="6" t="s">
        <v>130</v>
      </c>
      <c r="E34" s="203">
        <v>0.15</v>
      </c>
      <c r="F34" s="234">
        <f>IF(E2="k",((100%/(100%-E34))*F33)-F33,0)</f>
        <v>7.0154089524255951</v>
      </c>
      <c r="G34" s="10"/>
      <c r="H34" s="405"/>
      <c r="I34" s="295">
        <f>E34</f>
        <v>0.15</v>
      </c>
      <c r="J34" s="234">
        <f>IF(I2="k",((100%/(100%-I34))*J33)-J33,0)</f>
        <v>7.778127403241065</v>
      </c>
      <c r="K34" s="85"/>
      <c r="L34" s="405"/>
      <c r="M34" s="295">
        <f>I34</f>
        <v>0.15</v>
      </c>
      <c r="N34" s="234">
        <f>IF(M2="k",((100%/(100%-M34))*N33)-N33,0)</f>
        <v>0</v>
      </c>
      <c r="O34" s="85"/>
      <c r="P34" s="405"/>
      <c r="Q34" s="295">
        <f>M34</f>
        <v>0.15</v>
      </c>
      <c r="R34" s="234">
        <f>IF(Q2="k",((100%/(100%-Q34))*R33)-R33,0)</f>
        <v>0</v>
      </c>
      <c r="S34" s="85"/>
      <c r="T34" s="36">
        <f t="shared" si="1"/>
        <v>14.79353635566666</v>
      </c>
    </row>
    <row r="35" spans="1:33" ht="13.5" thickBot="1" x14ac:dyDescent="0.25">
      <c r="B35" s="4" t="s">
        <v>131</v>
      </c>
      <c r="C35" s="160" t="s">
        <v>132</v>
      </c>
      <c r="F35" s="292">
        <v>25</v>
      </c>
      <c r="G35" s="10"/>
      <c r="H35" s="405"/>
      <c r="I35" s="109" t="s">
        <v>133</v>
      </c>
      <c r="J35" s="609">
        <v>0</v>
      </c>
      <c r="K35" s="85"/>
      <c r="L35" s="405"/>
      <c r="M35" s="109" t="str">
        <f>I35</f>
        <v>Traktorissa</v>
      </c>
      <c r="N35" s="292">
        <v>0</v>
      </c>
      <c r="O35" s="85"/>
      <c r="P35" s="405"/>
      <c r="Q35" s="109" t="str">
        <f>M35</f>
        <v>Traktorissa</v>
      </c>
      <c r="R35" s="292">
        <v>0</v>
      </c>
      <c r="S35" s="85"/>
      <c r="T35" s="8">
        <f>IF($E$2="k",F35)+IF($I$2="k",J35)+IF($M$2="k",N35)+IF($Q$2="k",R35)</f>
        <v>25</v>
      </c>
    </row>
    <row r="36" spans="1:33" ht="18" x14ac:dyDescent="0.25">
      <c r="B36" s="116" t="s">
        <v>134</v>
      </c>
      <c r="C36" s="115"/>
      <c r="D36" s="115"/>
      <c r="E36" s="115"/>
      <c r="F36" s="293">
        <f>IF(E2="K",SUM(F33:F35),0)</f>
        <v>71.769393016170611</v>
      </c>
      <c r="G36" s="10"/>
      <c r="H36" s="405"/>
      <c r="J36" s="117">
        <f>IF(I2="K",SUM(J33:J35),0)</f>
        <v>51.854182688273774</v>
      </c>
      <c r="K36" s="85"/>
      <c r="L36" s="405"/>
      <c r="N36" s="293">
        <f>IF(M2="K",SUM(N33:N35),0)</f>
        <v>0</v>
      </c>
      <c r="O36" s="85"/>
      <c r="P36" s="405"/>
      <c r="R36" s="293">
        <f>IF(Q2="K",SUM(R33:R35),0)</f>
        <v>0</v>
      </c>
      <c r="S36" s="85"/>
      <c r="T36" s="859">
        <f>SUM(F36,J36,N36,R36)</f>
        <v>123.62357570444439</v>
      </c>
    </row>
    <row r="37" spans="1:33" ht="13.5" thickBot="1" x14ac:dyDescent="0.25">
      <c r="B37" s="119" t="s">
        <v>135</v>
      </c>
      <c r="E37" s="592">
        <v>0.255</v>
      </c>
      <c r="F37" s="291">
        <f>E37*F36</f>
        <v>18.301195219123507</v>
      </c>
      <c r="G37" s="401"/>
      <c r="H37" s="405"/>
      <c r="I37" s="593">
        <f>$E$37</f>
        <v>0.255</v>
      </c>
      <c r="J37" s="291">
        <f>I37*J36</f>
        <v>13.222816585509813</v>
      </c>
      <c r="K37" s="85"/>
      <c r="L37" s="405"/>
      <c r="M37" s="593">
        <f>$E$37</f>
        <v>0.255</v>
      </c>
      <c r="N37" s="291">
        <f>M37*N36</f>
        <v>0</v>
      </c>
      <c r="O37" s="85"/>
      <c r="P37" s="405"/>
      <c r="Q37" s="593">
        <f>$E$37</f>
        <v>0.255</v>
      </c>
      <c r="R37" s="291">
        <f>Q37*R36</f>
        <v>0</v>
      </c>
      <c r="S37" s="85"/>
      <c r="T37" s="120">
        <f>SUM(F37,J37,N37,R37)</f>
        <v>31.524011804633318</v>
      </c>
    </row>
    <row r="38" spans="1:33" ht="13.5" thickBot="1" x14ac:dyDescent="0.25">
      <c r="B38" s="121" t="s">
        <v>136</v>
      </c>
      <c r="C38" s="114"/>
      <c r="D38" s="114"/>
      <c r="E38" s="114"/>
      <c r="F38" s="110">
        <f>IF(E2="k",SUM(F36:F37),0)</f>
        <v>90.07058823529411</v>
      </c>
      <c r="G38" s="113"/>
      <c r="H38" s="416"/>
      <c r="I38" s="114"/>
      <c r="J38" s="110">
        <f>IF(I2="k",SUM(J36:J37),0)</f>
        <v>65.076999273783585</v>
      </c>
      <c r="K38" s="112"/>
      <c r="L38" s="416"/>
      <c r="M38" s="114"/>
      <c r="N38" s="110">
        <f>IF(M2="k",SUM(N36:N37),0)</f>
        <v>0</v>
      </c>
      <c r="O38" s="112"/>
      <c r="P38" s="416"/>
      <c r="Q38" s="114"/>
      <c r="R38" s="110">
        <f>IF(Q2="k",SUM(R36:R37),0)</f>
        <v>0</v>
      </c>
      <c r="S38" s="112"/>
      <c r="T38" s="108">
        <f t="shared" si="1"/>
        <v>155.14758750907771</v>
      </c>
    </row>
    <row r="39" spans="1:33" ht="13.5" thickBot="1" x14ac:dyDescent="0.25"/>
    <row r="40" spans="1:33" ht="51.75" customHeight="1" thickBot="1" x14ac:dyDescent="0.25">
      <c r="B40" s="1040" t="str">
        <f>T3</f>
        <v xml:space="preserve">Kytketty koneet: Valtra tiesarja Tienvarsiniitto kone </v>
      </c>
      <c r="C40" s="1041"/>
      <c r="D40" s="1041"/>
      <c r="E40" s="1042"/>
      <c r="F40" s="877">
        <v>1</v>
      </c>
      <c r="M40" s="1043">
        <v>2</v>
      </c>
      <c r="N40" s="1043"/>
      <c r="O40" s="1043"/>
      <c r="P40" s="1043"/>
      <c r="Q40" s="1043"/>
      <c r="R40" s="1044">
        <v>6</v>
      </c>
      <c r="S40" s="1045"/>
      <c r="T40" s="1046"/>
      <c r="U40" s="1047">
        <v>4</v>
      </c>
      <c r="V40" s="1048"/>
      <c r="W40" s="360">
        <v>3</v>
      </c>
      <c r="X40" s="1049">
        <v>5</v>
      </c>
      <c r="Y40" s="1049"/>
      <c r="Z40" s="1049">
        <v>7</v>
      </c>
      <c r="AA40" s="1049"/>
      <c r="AB40" s="1049"/>
      <c r="AC40" s="882">
        <v>8</v>
      </c>
      <c r="AD40" s="883"/>
      <c r="AE40" s="883"/>
      <c r="AF40" s="884"/>
      <c r="AG40" s="863">
        <v>9</v>
      </c>
    </row>
    <row r="41" spans="1:33" ht="12.75" customHeight="1" x14ac:dyDescent="0.25">
      <c r="A41" s="992" t="s">
        <v>651</v>
      </c>
      <c r="B41" s="994" t="s">
        <v>556</v>
      </c>
      <c r="C41" s="994"/>
      <c r="D41" s="987" t="s">
        <v>704</v>
      </c>
      <c r="E41" s="987"/>
      <c r="F41" s="987"/>
      <c r="G41" s="1060" t="s">
        <v>559</v>
      </c>
      <c r="H41" s="1059" t="s">
        <v>627</v>
      </c>
      <c r="I41" s="1012" t="s">
        <v>596</v>
      </c>
      <c r="J41" s="1015" t="s">
        <v>636</v>
      </c>
      <c r="K41" s="1016" t="s">
        <v>618</v>
      </c>
      <c r="L41" s="1022" t="s">
        <v>647</v>
      </c>
      <c r="M41" s="1004" t="s">
        <v>631</v>
      </c>
      <c r="N41" s="1022" t="s">
        <v>649</v>
      </c>
      <c r="O41" s="1004" t="s">
        <v>632</v>
      </c>
      <c r="P41" s="1022" t="s">
        <v>648</v>
      </c>
      <c r="Q41" s="1004" t="s">
        <v>633</v>
      </c>
      <c r="R41" s="1062" t="s">
        <v>611</v>
      </c>
      <c r="S41" s="1063"/>
      <c r="T41" s="1064"/>
      <c r="U41" s="1050" t="s">
        <v>558</v>
      </c>
      <c r="V41" s="1051"/>
      <c r="W41" s="836"/>
      <c r="X41" s="1052" t="s">
        <v>617</v>
      </c>
      <c r="Y41" s="1053"/>
      <c r="Z41" s="890" t="s">
        <v>209</v>
      </c>
      <c r="AC41" s="875"/>
      <c r="AD41" s="875"/>
      <c r="AE41" s="875"/>
      <c r="AF41" s="875"/>
      <c r="AG41" s="876"/>
    </row>
    <row r="42" spans="1:33" ht="63.75" customHeight="1" x14ac:dyDescent="0.2">
      <c r="A42" s="993"/>
      <c r="B42" s="995"/>
      <c r="C42" s="995"/>
      <c r="D42" s="902" t="s">
        <v>705</v>
      </c>
      <c r="E42" s="902" t="s">
        <v>706</v>
      </c>
      <c r="F42" s="902" t="s">
        <v>707</v>
      </c>
      <c r="G42" s="1061"/>
      <c r="H42" s="1059"/>
      <c r="I42" s="1013"/>
      <c r="J42" s="1015"/>
      <c r="K42" s="1017"/>
      <c r="L42" s="1022"/>
      <c r="M42" s="1005"/>
      <c r="N42" s="1022"/>
      <c r="O42" s="1005"/>
      <c r="P42" s="1022"/>
      <c r="Q42" s="1005"/>
      <c r="R42" s="1018" t="s">
        <v>608</v>
      </c>
      <c r="S42" s="1020" t="s">
        <v>609</v>
      </c>
      <c r="T42" s="1026" t="s">
        <v>560</v>
      </c>
      <c r="U42" s="1054" t="s">
        <v>623</v>
      </c>
      <c r="V42" s="1012" t="s">
        <v>624</v>
      </c>
      <c r="W42" s="1055" t="s">
        <v>610</v>
      </c>
      <c r="X42" s="1012" t="s">
        <v>614</v>
      </c>
      <c r="Y42" s="1057" t="s">
        <v>612</v>
      </c>
      <c r="Z42" s="1031" t="s">
        <v>674</v>
      </c>
      <c r="AA42" s="1032" t="s">
        <v>659</v>
      </c>
      <c r="AB42" s="1004" t="s">
        <v>660</v>
      </c>
      <c r="AC42" s="872" t="s">
        <v>622</v>
      </c>
      <c r="AD42" s="872" t="s">
        <v>629</v>
      </c>
      <c r="AE42" s="872" t="s">
        <v>628</v>
      </c>
      <c r="AF42" s="872" t="s">
        <v>630</v>
      </c>
      <c r="AG42" s="870" t="s">
        <v>621</v>
      </c>
    </row>
    <row r="43" spans="1:33" ht="48" customHeight="1" thickBot="1" x14ac:dyDescent="0.25">
      <c r="A43" s="993"/>
      <c r="B43" s="995"/>
      <c r="C43" s="995"/>
      <c r="D43" s="988" t="s">
        <v>711</v>
      </c>
      <c r="E43" s="989"/>
      <c r="F43" s="901" t="s">
        <v>711</v>
      </c>
      <c r="G43" s="903" t="s">
        <v>712</v>
      </c>
      <c r="H43" s="1059"/>
      <c r="I43" s="1014"/>
      <c r="J43" s="1015"/>
      <c r="K43" s="835" t="s">
        <v>613</v>
      </c>
      <c r="L43" s="1022"/>
      <c r="M43" s="1005"/>
      <c r="N43" s="1022"/>
      <c r="O43" s="1005"/>
      <c r="P43" s="1022"/>
      <c r="Q43" s="1005"/>
      <c r="R43" s="1019"/>
      <c r="S43" s="1021"/>
      <c r="T43" s="1027"/>
      <c r="U43" s="1054"/>
      <c r="V43" s="1014"/>
      <c r="W43" s="1056"/>
      <c r="X43" s="1014"/>
      <c r="Y43" s="1058"/>
      <c r="Z43" s="1031"/>
      <c r="AA43" s="1033"/>
      <c r="AB43" s="1004"/>
      <c r="AC43" s="873"/>
      <c r="AD43" s="873"/>
      <c r="AE43" s="873"/>
      <c r="AF43" s="873"/>
      <c r="AG43" s="871"/>
    </row>
    <row r="44" spans="1:33" ht="24.95" customHeight="1" x14ac:dyDescent="0.2">
      <c r="A44" s="869" t="s">
        <v>48</v>
      </c>
      <c r="B44" s="996" t="s">
        <v>675</v>
      </c>
      <c r="C44" s="997"/>
      <c r="D44" s="124">
        <v>4</v>
      </c>
      <c r="E44" s="124">
        <v>8</v>
      </c>
      <c r="F44" s="731">
        <f>IF($A44="","",IF(AND(D44&gt;0,E44&gt;0),(AVERAGE(D44:E44)),""))</f>
        <v>6</v>
      </c>
      <c r="G44" s="149">
        <v>1</v>
      </c>
      <c r="H44" s="149">
        <v>1</v>
      </c>
      <c r="I44" s="351">
        <v>2</v>
      </c>
      <c r="J44" s="894">
        <v>1</v>
      </c>
      <c r="K44" s="822">
        <v>0</v>
      </c>
      <c r="L44" s="895"/>
      <c r="M44" s="854">
        <f>IF($A44="","",IF(D44&gt;0,IF(L44&gt;0,L44,$T$36),0))</f>
        <v>123.62357570444439</v>
      </c>
      <c r="N44" s="895"/>
      <c r="O44" s="821">
        <f>IF($A44="","",IF(D44&gt;0,IF(N44&gt;0,N44,$U$30),0))</f>
        <v>56.203347857661583</v>
      </c>
      <c r="P44" s="895"/>
      <c r="Q44" s="821">
        <f>IF($A44="","",IF(D44&gt;0,IF(P44&gt;0,P44,$U$22),0))</f>
        <v>27.626691491116148</v>
      </c>
      <c r="R44" s="897">
        <f t="shared" ref="R44:R48" si="2">IF($A44="","",IF(X44&gt;0,X44/W44,0))</f>
        <v>30.905893926111098</v>
      </c>
      <c r="S44" s="908">
        <f t="shared" ref="S44:S48" si="3">IF($A44="","",IF(Y44&gt;0,Y44/W44,0))</f>
        <v>15.452946963055549</v>
      </c>
      <c r="T44" s="908">
        <f t="shared" ref="T44:T48" si="4">IF($A44="","",IF(U44&gt;0,W44/F44*M44/W44*H44,0))</f>
        <v>20.603929284074063</v>
      </c>
      <c r="U44" s="303">
        <f>IF($A44="","",IF(D44&gt;0,W44/D44*H44,0))</f>
        <v>0.5</v>
      </c>
      <c r="V44" s="839">
        <f>IF($A44="","",IF(E44&gt;0,W44/E44*H44,0))</f>
        <v>0.25</v>
      </c>
      <c r="W44" s="860">
        <f>IF($A44="","",IF(AND(G44&gt;0,M44&gt;0),G44*I44*J44,0))</f>
        <v>2</v>
      </c>
      <c r="X44" s="821">
        <f>IF($A44="","",IF(U44&gt;0,U44*M44,0))</f>
        <v>61.811787852222196</v>
      </c>
      <c r="Y44" s="861">
        <f>IF($A44="","",IF(V44&gt;0,V44*M44,0))</f>
        <v>30.905893926111098</v>
      </c>
      <c r="Z44" s="864">
        <f>IF($A44="","",T44*W44)</f>
        <v>41.207858568148126</v>
      </c>
      <c r="AA44" s="885">
        <f>IF($A44="","",K44*J44)</f>
        <v>0</v>
      </c>
      <c r="AB44" s="889">
        <f>SUM(Z44:AA44)</f>
        <v>41.207858568148126</v>
      </c>
      <c r="AC44" s="821">
        <f t="shared" ref="AC44:AC57" si="5">IF($A44="","",IF(T44&gt;0,O44*(AVERAGE(U44:V44)),0))</f>
        <v>21.076255446623094</v>
      </c>
      <c r="AD44" s="821">
        <f t="shared" ref="AD44:AD57" si="6">IF($A44="","",IF(Z44&gt;0,Q44*(AVERAGE(U44:V44)),0))</f>
        <v>10.360009309168555</v>
      </c>
      <c r="AE44" s="821">
        <f>IF($A44="","",IF(Z44&gt;0,$T$35*(AVERAGE(U44:V44)),0))</f>
        <v>9.375</v>
      </c>
      <c r="AF44" s="821">
        <f t="shared" ref="AF44:AF57" si="7">IF($A44="","",SUM(AC44:AE44))</f>
        <v>40.811264755791647</v>
      </c>
      <c r="AG44" s="865">
        <f>IF($A44="","",IF(AB44&gt;0,AB44-AF44,0))</f>
        <v>0.39659381235647828</v>
      </c>
    </row>
    <row r="45" spans="1:33" ht="24.95" customHeight="1" x14ac:dyDescent="0.2">
      <c r="A45" s="869" t="s">
        <v>48</v>
      </c>
      <c r="B45" s="996" t="s">
        <v>676</v>
      </c>
      <c r="C45" s="997"/>
      <c r="D45" s="124">
        <v>4</v>
      </c>
      <c r="E45" s="124">
        <v>8</v>
      </c>
      <c r="F45" s="731">
        <f t="shared" ref="F45:F57" si="8">IF($A45="","",IF(AND(D45&gt;0,E45&gt;0),(AVERAGE(D45:E45)),""))</f>
        <v>6</v>
      </c>
      <c r="G45" s="149">
        <v>1</v>
      </c>
      <c r="H45" s="149">
        <v>1</v>
      </c>
      <c r="I45" s="351">
        <v>2</v>
      </c>
      <c r="J45" s="894">
        <v>1</v>
      </c>
      <c r="K45" s="822">
        <v>0</v>
      </c>
      <c r="L45" s="895"/>
      <c r="M45" s="854">
        <f t="shared" ref="M45:M57" si="9">IF($A45="","",IF(D45&gt;0,IF(L45&gt;0,L45,$T$36),0))</f>
        <v>123.62357570444439</v>
      </c>
      <c r="N45" s="895"/>
      <c r="O45" s="821">
        <f t="shared" ref="O45:O57" si="10">IF($A45="","",IF(D45&gt;0,IF(N45&gt;0,N45,$U$30),0))</f>
        <v>56.203347857661583</v>
      </c>
      <c r="P45" s="895"/>
      <c r="Q45" s="821">
        <f t="shared" ref="Q45:Q57" si="11">IF($A45="","",IF(D45&gt;0,IF(P45&gt;0,P45,$U$22),0))</f>
        <v>27.626691491116148</v>
      </c>
      <c r="R45" s="897">
        <f t="shared" si="2"/>
        <v>30.905893926111098</v>
      </c>
      <c r="S45" s="908">
        <f t="shared" si="3"/>
        <v>15.452946963055549</v>
      </c>
      <c r="T45" s="908">
        <f t="shared" si="4"/>
        <v>20.603929284074063</v>
      </c>
      <c r="U45" s="303">
        <f t="shared" ref="U45:U57" si="12">IF($A45="","",IF(D45&gt;0,W45/D45*H45,0))</f>
        <v>0.5</v>
      </c>
      <c r="V45" s="839">
        <f t="shared" ref="V45:V57" si="13">IF($A45="","",IF(E45&gt;0,W45/E45*H45,0))</f>
        <v>0.25</v>
      </c>
      <c r="W45" s="860">
        <f t="shared" ref="W45:W57" si="14">IF($A45="","",IF(AND(G45&gt;0,M45&gt;0),G45*I45*J45,0))</f>
        <v>2</v>
      </c>
      <c r="X45" s="821">
        <f t="shared" ref="X45:X57" si="15">IF($A45="","",IF(U45&gt;0,U45*M45,0))</f>
        <v>61.811787852222196</v>
      </c>
      <c r="Y45" s="861">
        <f t="shared" ref="Y45:Y57" si="16">IF($A45="","",IF(V45&gt;0,V45*M45,0))</f>
        <v>30.905893926111098</v>
      </c>
      <c r="Z45" s="864">
        <f t="shared" ref="Z45:Z57" si="17">IF($A45="","",T45*W45)</f>
        <v>41.207858568148126</v>
      </c>
      <c r="AA45" s="885">
        <f t="shared" ref="AA45:AA57" si="18">IF($A45="","",K45*J45)</f>
        <v>0</v>
      </c>
      <c r="AB45" s="889">
        <f t="shared" ref="AB45:AB57" si="19">SUM(Z45:AA45)</f>
        <v>41.207858568148126</v>
      </c>
      <c r="AC45" s="821">
        <f t="shared" si="5"/>
        <v>21.076255446623094</v>
      </c>
      <c r="AD45" s="821">
        <f t="shared" si="6"/>
        <v>10.360009309168555</v>
      </c>
      <c r="AE45" s="821">
        <f t="shared" ref="AE45:AE57" si="20">IF($A45="","",IF(Z45&gt;0,$T$35*(AVERAGE(U45:V45)),0))</f>
        <v>9.375</v>
      </c>
      <c r="AF45" s="821">
        <f t="shared" si="7"/>
        <v>40.811264755791647</v>
      </c>
      <c r="AG45" s="865">
        <f t="shared" ref="AG45:AG46" si="21">IF($A45="","",IF(AB45&gt;0,AB45-AF45,0))</f>
        <v>0.39659381235647828</v>
      </c>
    </row>
    <row r="46" spans="1:33" ht="24.95" customHeight="1" x14ac:dyDescent="0.2">
      <c r="A46" s="869"/>
      <c r="B46" s="996" t="s">
        <v>677</v>
      </c>
      <c r="C46" s="997"/>
      <c r="D46" s="633">
        <v>4</v>
      </c>
      <c r="E46" s="633">
        <v>6</v>
      </c>
      <c r="F46" s="731" t="str">
        <f t="shared" si="8"/>
        <v/>
      </c>
      <c r="G46" s="149">
        <v>1</v>
      </c>
      <c r="H46" s="149">
        <v>1</v>
      </c>
      <c r="I46" s="351">
        <v>2</v>
      </c>
      <c r="J46" s="894">
        <v>1</v>
      </c>
      <c r="K46" s="822">
        <v>0</v>
      </c>
      <c r="L46" s="895"/>
      <c r="M46" s="854" t="str">
        <f t="shared" si="9"/>
        <v/>
      </c>
      <c r="N46" s="895"/>
      <c r="O46" s="821" t="str">
        <f t="shared" si="10"/>
        <v/>
      </c>
      <c r="P46" s="895"/>
      <c r="Q46" s="821" t="str">
        <f t="shared" si="11"/>
        <v/>
      </c>
      <c r="R46" s="897" t="str">
        <f t="shared" si="2"/>
        <v/>
      </c>
      <c r="S46" s="908" t="str">
        <f t="shared" si="3"/>
        <v/>
      </c>
      <c r="T46" s="908" t="str">
        <f t="shared" si="4"/>
        <v/>
      </c>
      <c r="U46" s="303" t="str">
        <f t="shared" si="12"/>
        <v/>
      </c>
      <c r="V46" s="839" t="str">
        <f t="shared" si="13"/>
        <v/>
      </c>
      <c r="W46" s="860" t="str">
        <f t="shared" si="14"/>
        <v/>
      </c>
      <c r="X46" s="821" t="str">
        <f t="shared" si="15"/>
        <v/>
      </c>
      <c r="Y46" s="861" t="str">
        <f t="shared" si="16"/>
        <v/>
      </c>
      <c r="Z46" s="864" t="str">
        <f t="shared" si="17"/>
        <v/>
      </c>
      <c r="AA46" s="885" t="str">
        <f t="shared" si="18"/>
        <v/>
      </c>
      <c r="AB46" s="889">
        <f t="shared" si="19"/>
        <v>0</v>
      </c>
      <c r="AC46" s="821" t="str">
        <f t="shared" si="5"/>
        <v/>
      </c>
      <c r="AD46" s="821" t="str">
        <f t="shared" si="6"/>
        <v/>
      </c>
      <c r="AE46" s="821" t="str">
        <f t="shared" si="20"/>
        <v/>
      </c>
      <c r="AF46" s="821" t="str">
        <f t="shared" si="7"/>
        <v/>
      </c>
      <c r="AG46" s="865" t="str">
        <f t="shared" si="21"/>
        <v/>
      </c>
    </row>
    <row r="47" spans="1:33" ht="24.95" customHeight="1" x14ac:dyDescent="0.2">
      <c r="A47" s="869"/>
      <c r="B47" s="996" t="s">
        <v>678</v>
      </c>
      <c r="C47" s="997"/>
      <c r="D47" s="124">
        <v>4</v>
      </c>
      <c r="E47" s="124">
        <v>6</v>
      </c>
      <c r="F47" s="731" t="str">
        <f t="shared" si="8"/>
        <v/>
      </c>
      <c r="G47" s="149">
        <v>1</v>
      </c>
      <c r="H47" s="149">
        <v>1</v>
      </c>
      <c r="I47" s="351">
        <v>2</v>
      </c>
      <c r="J47" s="894">
        <v>1</v>
      </c>
      <c r="K47" s="822">
        <v>0</v>
      </c>
      <c r="L47" s="896"/>
      <c r="M47" s="854" t="str">
        <f t="shared" si="9"/>
        <v/>
      </c>
      <c r="N47" s="896"/>
      <c r="O47" s="821" t="str">
        <f t="shared" si="10"/>
        <v/>
      </c>
      <c r="P47" s="896"/>
      <c r="Q47" s="821" t="str">
        <f t="shared" si="11"/>
        <v/>
      </c>
      <c r="R47" s="897" t="str">
        <f t="shared" si="2"/>
        <v/>
      </c>
      <c r="S47" s="908" t="str">
        <f t="shared" si="3"/>
        <v/>
      </c>
      <c r="T47" s="908" t="str">
        <f t="shared" si="4"/>
        <v/>
      </c>
      <c r="U47" s="303" t="str">
        <f t="shared" si="12"/>
        <v/>
      </c>
      <c r="V47" s="839" t="str">
        <f t="shared" si="13"/>
        <v/>
      </c>
      <c r="W47" s="860" t="str">
        <f t="shared" si="14"/>
        <v/>
      </c>
      <c r="X47" s="821" t="str">
        <f t="shared" si="15"/>
        <v/>
      </c>
      <c r="Y47" s="861" t="str">
        <f t="shared" si="16"/>
        <v/>
      </c>
      <c r="Z47" s="864" t="str">
        <f t="shared" si="17"/>
        <v/>
      </c>
      <c r="AA47" s="885" t="str">
        <f t="shared" si="18"/>
        <v/>
      </c>
      <c r="AB47" s="889">
        <f t="shared" si="19"/>
        <v>0</v>
      </c>
      <c r="AC47" s="821" t="str">
        <f t="shared" si="5"/>
        <v/>
      </c>
      <c r="AD47" s="821" t="str">
        <f t="shared" si="6"/>
        <v/>
      </c>
      <c r="AE47" s="821" t="str">
        <f t="shared" si="20"/>
        <v/>
      </c>
      <c r="AF47" s="821" t="str">
        <f t="shared" si="7"/>
        <v/>
      </c>
      <c r="AG47" s="865" t="str">
        <f>IF($A47="","",IF(AB47&gt;0,AB47-AF47,0))</f>
        <v/>
      </c>
    </row>
    <row r="48" spans="1:33" ht="24.95" customHeight="1" x14ac:dyDescent="0.2">
      <c r="A48" s="869"/>
      <c r="B48" s="996" t="s">
        <v>717</v>
      </c>
      <c r="C48" s="997"/>
      <c r="D48" s="124">
        <v>4</v>
      </c>
      <c r="E48" s="124">
        <v>8</v>
      </c>
      <c r="F48" s="731" t="str">
        <f t="shared" si="8"/>
        <v/>
      </c>
      <c r="G48" s="149">
        <v>1</v>
      </c>
      <c r="H48" s="149">
        <v>1</v>
      </c>
      <c r="I48" s="351">
        <v>2</v>
      </c>
      <c r="J48" s="894">
        <v>1</v>
      </c>
      <c r="K48" s="822">
        <v>0</v>
      </c>
      <c r="L48" s="895"/>
      <c r="M48" s="854" t="str">
        <f t="shared" si="9"/>
        <v/>
      </c>
      <c r="N48" s="895"/>
      <c r="O48" s="821" t="str">
        <f t="shared" si="10"/>
        <v/>
      </c>
      <c r="P48" s="895"/>
      <c r="Q48" s="821" t="str">
        <f t="shared" si="11"/>
        <v/>
      </c>
      <c r="R48" s="897" t="str">
        <f t="shared" si="2"/>
        <v/>
      </c>
      <c r="S48" s="908" t="str">
        <f t="shared" si="3"/>
        <v/>
      </c>
      <c r="T48" s="908" t="str">
        <f t="shared" si="4"/>
        <v/>
      </c>
      <c r="U48" s="303" t="str">
        <f t="shared" si="12"/>
        <v/>
      </c>
      <c r="V48" s="839" t="str">
        <f t="shared" si="13"/>
        <v/>
      </c>
      <c r="W48" s="860" t="str">
        <f t="shared" si="14"/>
        <v/>
      </c>
      <c r="X48" s="821" t="str">
        <f t="shared" si="15"/>
        <v/>
      </c>
      <c r="Y48" s="861" t="str">
        <f t="shared" si="16"/>
        <v/>
      </c>
      <c r="Z48" s="864" t="str">
        <f t="shared" si="17"/>
        <v/>
      </c>
      <c r="AA48" s="885" t="str">
        <f t="shared" si="18"/>
        <v/>
      </c>
      <c r="AB48" s="889">
        <f t="shared" si="19"/>
        <v>0</v>
      </c>
      <c r="AC48" s="821" t="str">
        <f t="shared" si="5"/>
        <v/>
      </c>
      <c r="AD48" s="821" t="str">
        <f t="shared" si="6"/>
        <v/>
      </c>
      <c r="AE48" s="821" t="str">
        <f t="shared" si="20"/>
        <v/>
      </c>
      <c r="AF48" s="821" t="str">
        <f t="shared" si="7"/>
        <v/>
      </c>
      <c r="AG48" s="865" t="str">
        <f t="shared" ref="AG48:AG57" si="22">IF($A48="","",IF(AB48&gt;0,AB48-AF48,0))</f>
        <v/>
      </c>
    </row>
    <row r="49" spans="1:33" ht="24.95" customHeight="1" x14ac:dyDescent="0.2">
      <c r="A49" s="869"/>
      <c r="B49" s="996" t="s">
        <v>718</v>
      </c>
      <c r="C49" s="997"/>
      <c r="D49" s="124">
        <v>4</v>
      </c>
      <c r="E49" s="124">
        <v>8</v>
      </c>
      <c r="F49" s="731" t="str">
        <f t="shared" si="8"/>
        <v/>
      </c>
      <c r="G49" s="149">
        <v>1</v>
      </c>
      <c r="H49" s="149">
        <v>1</v>
      </c>
      <c r="I49" s="351">
        <v>2</v>
      </c>
      <c r="J49" s="894">
        <v>1</v>
      </c>
      <c r="K49" s="822">
        <v>0</v>
      </c>
      <c r="L49" s="895"/>
      <c r="M49" s="854" t="str">
        <f t="shared" si="9"/>
        <v/>
      </c>
      <c r="N49" s="895"/>
      <c r="O49" s="821" t="str">
        <f t="shared" si="10"/>
        <v/>
      </c>
      <c r="P49" s="895"/>
      <c r="Q49" s="821" t="str">
        <f t="shared" si="11"/>
        <v/>
      </c>
      <c r="R49" s="897" t="str">
        <f>IF($A49="","",IF(X49&gt;0,X49/W49,0))</f>
        <v/>
      </c>
      <c r="S49" s="908" t="str">
        <f>IF($A49="","",IF(Y49&gt;0,Y49/W49,0))</f>
        <v/>
      </c>
      <c r="T49" s="908" t="str">
        <f>IF($A49="","",IF(U49&gt;0,W49/F49*M49/W49*H49,0))</f>
        <v/>
      </c>
      <c r="U49" s="303" t="str">
        <f t="shared" si="12"/>
        <v/>
      </c>
      <c r="V49" s="839" t="str">
        <f t="shared" si="13"/>
        <v/>
      </c>
      <c r="W49" s="860" t="str">
        <f t="shared" si="14"/>
        <v/>
      </c>
      <c r="X49" s="821" t="str">
        <f t="shared" si="15"/>
        <v/>
      </c>
      <c r="Y49" s="861" t="str">
        <f t="shared" si="16"/>
        <v/>
      </c>
      <c r="Z49" s="864" t="str">
        <f>IF($A49="","",T49*W49)</f>
        <v/>
      </c>
      <c r="AA49" s="885" t="str">
        <f t="shared" si="18"/>
        <v/>
      </c>
      <c r="AB49" s="889">
        <f t="shared" si="19"/>
        <v>0</v>
      </c>
      <c r="AC49" s="821" t="str">
        <f t="shared" si="5"/>
        <v/>
      </c>
      <c r="AD49" s="821" t="str">
        <f t="shared" si="6"/>
        <v/>
      </c>
      <c r="AE49" s="821" t="str">
        <f t="shared" si="20"/>
        <v/>
      </c>
      <c r="AF49" s="821" t="str">
        <f t="shared" si="7"/>
        <v/>
      </c>
      <c r="AG49" s="865" t="str">
        <f t="shared" si="22"/>
        <v/>
      </c>
    </row>
    <row r="50" spans="1:33" ht="24.95" customHeight="1" x14ac:dyDescent="0.2">
      <c r="A50" s="869"/>
      <c r="B50" s="996" t="s">
        <v>719</v>
      </c>
      <c r="C50" s="997"/>
      <c r="D50" s="124">
        <v>4</v>
      </c>
      <c r="E50" s="124">
        <v>8</v>
      </c>
      <c r="F50" s="731" t="str">
        <f t="shared" si="8"/>
        <v/>
      </c>
      <c r="G50" s="149">
        <v>1</v>
      </c>
      <c r="H50" s="149">
        <v>1</v>
      </c>
      <c r="I50" s="351">
        <v>2</v>
      </c>
      <c r="J50" s="894">
        <v>1</v>
      </c>
      <c r="K50" s="822">
        <v>0</v>
      </c>
      <c r="L50" s="895"/>
      <c r="M50" s="854" t="str">
        <f t="shared" si="9"/>
        <v/>
      </c>
      <c r="N50" s="895"/>
      <c r="O50" s="821" t="str">
        <f t="shared" si="10"/>
        <v/>
      </c>
      <c r="P50" s="895"/>
      <c r="Q50" s="821" t="str">
        <f t="shared" si="11"/>
        <v/>
      </c>
      <c r="R50" s="897" t="str">
        <f t="shared" ref="R50:R57" si="23">IF($A50="","",IF(X50&gt;0,X50/W50,0))</f>
        <v/>
      </c>
      <c r="S50" s="908" t="str">
        <f t="shared" ref="S50:S57" si="24">IF($A50="","",IF(Y50&gt;0,Y50/W50,0))</f>
        <v/>
      </c>
      <c r="T50" s="908" t="str">
        <f t="shared" ref="T50:T57" si="25">IF($A50="","",IF(U50&gt;0,W50/F50*M50/W50*H50,0))</f>
        <v/>
      </c>
      <c r="U50" s="303" t="str">
        <f t="shared" si="12"/>
        <v/>
      </c>
      <c r="V50" s="839" t="str">
        <f t="shared" si="13"/>
        <v/>
      </c>
      <c r="W50" s="860" t="str">
        <f t="shared" si="14"/>
        <v/>
      </c>
      <c r="X50" s="821" t="str">
        <f t="shared" si="15"/>
        <v/>
      </c>
      <c r="Y50" s="861" t="str">
        <f t="shared" si="16"/>
        <v/>
      </c>
      <c r="Z50" s="864" t="str">
        <f t="shared" si="17"/>
        <v/>
      </c>
      <c r="AA50" s="885" t="str">
        <f t="shared" si="18"/>
        <v/>
      </c>
      <c r="AB50" s="889">
        <f t="shared" si="19"/>
        <v>0</v>
      </c>
      <c r="AC50" s="821" t="str">
        <f t="shared" si="5"/>
        <v/>
      </c>
      <c r="AD50" s="821" t="str">
        <f t="shared" si="6"/>
        <v/>
      </c>
      <c r="AE50" s="821" t="str">
        <f t="shared" si="20"/>
        <v/>
      </c>
      <c r="AF50" s="821" t="str">
        <f t="shared" si="7"/>
        <v/>
      </c>
      <c r="AG50" s="865" t="str">
        <f t="shared" si="22"/>
        <v/>
      </c>
    </row>
    <row r="51" spans="1:33" ht="24.95" customHeight="1" x14ac:dyDescent="0.2">
      <c r="A51" s="869"/>
      <c r="B51" s="996" t="s">
        <v>720</v>
      </c>
      <c r="C51" s="997"/>
      <c r="D51" s="124">
        <v>4</v>
      </c>
      <c r="E51" s="124">
        <v>8</v>
      </c>
      <c r="F51" s="731" t="str">
        <f t="shared" si="8"/>
        <v/>
      </c>
      <c r="G51" s="149">
        <v>1</v>
      </c>
      <c r="H51" s="149">
        <v>1</v>
      </c>
      <c r="I51" s="351">
        <v>2</v>
      </c>
      <c r="J51" s="894">
        <v>1</v>
      </c>
      <c r="K51" s="822">
        <v>0</v>
      </c>
      <c r="L51" s="895"/>
      <c r="M51" s="854" t="str">
        <f t="shared" si="9"/>
        <v/>
      </c>
      <c r="N51" s="895"/>
      <c r="O51" s="821" t="str">
        <f t="shared" si="10"/>
        <v/>
      </c>
      <c r="P51" s="895"/>
      <c r="Q51" s="821" t="str">
        <f t="shared" si="11"/>
        <v/>
      </c>
      <c r="R51" s="897" t="str">
        <f t="shared" si="23"/>
        <v/>
      </c>
      <c r="S51" s="908" t="str">
        <f t="shared" si="24"/>
        <v/>
      </c>
      <c r="T51" s="908" t="str">
        <f t="shared" si="25"/>
        <v/>
      </c>
      <c r="U51" s="303" t="str">
        <f t="shared" si="12"/>
        <v/>
      </c>
      <c r="V51" s="839" t="str">
        <f t="shared" si="13"/>
        <v/>
      </c>
      <c r="W51" s="860" t="str">
        <f t="shared" si="14"/>
        <v/>
      </c>
      <c r="X51" s="821" t="str">
        <f t="shared" si="15"/>
        <v/>
      </c>
      <c r="Y51" s="861" t="str">
        <f t="shared" si="16"/>
        <v/>
      </c>
      <c r="Z51" s="864" t="str">
        <f t="shared" si="17"/>
        <v/>
      </c>
      <c r="AA51" s="885" t="str">
        <f t="shared" si="18"/>
        <v/>
      </c>
      <c r="AB51" s="889">
        <f t="shared" si="19"/>
        <v>0</v>
      </c>
      <c r="AC51" s="821" t="str">
        <f t="shared" si="5"/>
        <v/>
      </c>
      <c r="AD51" s="821" t="str">
        <f t="shared" si="6"/>
        <v/>
      </c>
      <c r="AE51" s="821" t="str">
        <f t="shared" si="20"/>
        <v/>
      </c>
      <c r="AF51" s="821" t="str">
        <f t="shared" si="7"/>
        <v/>
      </c>
      <c r="AG51" s="865" t="str">
        <f t="shared" si="22"/>
        <v/>
      </c>
    </row>
    <row r="52" spans="1:33" ht="24.95" customHeight="1" x14ac:dyDescent="0.2">
      <c r="A52" s="869"/>
      <c r="B52" s="996" t="s">
        <v>721</v>
      </c>
      <c r="C52" s="997"/>
      <c r="D52" s="124">
        <v>3</v>
      </c>
      <c r="E52" s="124">
        <v>5</v>
      </c>
      <c r="F52" s="731" t="str">
        <f t="shared" si="8"/>
        <v/>
      </c>
      <c r="G52" s="149">
        <v>1</v>
      </c>
      <c r="H52" s="149">
        <v>1</v>
      </c>
      <c r="I52" s="351">
        <v>2</v>
      </c>
      <c r="J52" s="894">
        <v>1</v>
      </c>
      <c r="K52" s="822">
        <v>0</v>
      </c>
      <c r="L52" s="895"/>
      <c r="M52" s="854" t="str">
        <f t="shared" si="9"/>
        <v/>
      </c>
      <c r="N52" s="895"/>
      <c r="O52" s="821" t="str">
        <f t="shared" si="10"/>
        <v/>
      </c>
      <c r="P52" s="895"/>
      <c r="Q52" s="821" t="str">
        <f t="shared" si="11"/>
        <v/>
      </c>
      <c r="R52" s="897" t="str">
        <f t="shared" si="23"/>
        <v/>
      </c>
      <c r="S52" s="908" t="str">
        <f t="shared" si="24"/>
        <v/>
      </c>
      <c r="T52" s="908" t="str">
        <f t="shared" si="25"/>
        <v/>
      </c>
      <c r="U52" s="303" t="str">
        <f t="shared" si="12"/>
        <v/>
      </c>
      <c r="V52" s="839" t="str">
        <f t="shared" si="13"/>
        <v/>
      </c>
      <c r="W52" s="860" t="str">
        <f t="shared" si="14"/>
        <v/>
      </c>
      <c r="X52" s="821" t="str">
        <f t="shared" si="15"/>
        <v/>
      </c>
      <c r="Y52" s="861" t="str">
        <f t="shared" si="16"/>
        <v/>
      </c>
      <c r="Z52" s="864" t="str">
        <f t="shared" si="17"/>
        <v/>
      </c>
      <c r="AA52" s="885" t="str">
        <f t="shared" si="18"/>
        <v/>
      </c>
      <c r="AB52" s="889">
        <f t="shared" si="19"/>
        <v>0</v>
      </c>
      <c r="AC52" s="821" t="str">
        <f t="shared" si="5"/>
        <v/>
      </c>
      <c r="AD52" s="821" t="str">
        <f t="shared" si="6"/>
        <v/>
      </c>
      <c r="AE52" s="821" t="str">
        <f t="shared" si="20"/>
        <v/>
      </c>
      <c r="AF52" s="821" t="str">
        <f t="shared" si="7"/>
        <v/>
      </c>
      <c r="AG52" s="865" t="str">
        <f t="shared" si="22"/>
        <v/>
      </c>
    </row>
    <row r="53" spans="1:33" ht="24.95" customHeight="1" x14ac:dyDescent="0.2">
      <c r="A53" s="869"/>
      <c r="B53" s="996" t="s">
        <v>722</v>
      </c>
      <c r="C53" s="997"/>
      <c r="D53" s="124">
        <v>3</v>
      </c>
      <c r="E53" s="124">
        <v>5</v>
      </c>
      <c r="F53" s="731" t="str">
        <f t="shared" si="8"/>
        <v/>
      </c>
      <c r="G53" s="149">
        <v>1</v>
      </c>
      <c r="H53" s="149">
        <v>1</v>
      </c>
      <c r="I53" s="351">
        <v>2</v>
      </c>
      <c r="J53" s="894">
        <v>1</v>
      </c>
      <c r="K53" s="822">
        <v>0</v>
      </c>
      <c r="L53" s="895"/>
      <c r="M53" s="854" t="str">
        <f t="shared" si="9"/>
        <v/>
      </c>
      <c r="N53" s="895"/>
      <c r="O53" s="821" t="str">
        <f t="shared" si="10"/>
        <v/>
      </c>
      <c r="P53" s="895"/>
      <c r="Q53" s="821" t="str">
        <f t="shared" si="11"/>
        <v/>
      </c>
      <c r="R53" s="897" t="str">
        <f t="shared" si="23"/>
        <v/>
      </c>
      <c r="S53" s="908" t="str">
        <f t="shared" si="24"/>
        <v/>
      </c>
      <c r="T53" s="908" t="str">
        <f t="shared" si="25"/>
        <v/>
      </c>
      <c r="U53" s="303" t="str">
        <f t="shared" si="12"/>
        <v/>
      </c>
      <c r="V53" s="839" t="str">
        <f t="shared" si="13"/>
        <v/>
      </c>
      <c r="W53" s="860" t="str">
        <f t="shared" si="14"/>
        <v/>
      </c>
      <c r="X53" s="821" t="str">
        <f t="shared" si="15"/>
        <v/>
      </c>
      <c r="Y53" s="861" t="str">
        <f t="shared" si="16"/>
        <v/>
      </c>
      <c r="Z53" s="864" t="str">
        <f t="shared" si="17"/>
        <v/>
      </c>
      <c r="AA53" s="885" t="str">
        <f t="shared" si="18"/>
        <v/>
      </c>
      <c r="AB53" s="889">
        <f t="shared" si="19"/>
        <v>0</v>
      </c>
      <c r="AC53" s="821" t="str">
        <f t="shared" si="5"/>
        <v/>
      </c>
      <c r="AD53" s="821" t="str">
        <f t="shared" si="6"/>
        <v/>
      </c>
      <c r="AE53" s="821" t="str">
        <f t="shared" si="20"/>
        <v/>
      </c>
      <c r="AF53" s="821" t="str">
        <f t="shared" si="7"/>
        <v/>
      </c>
      <c r="AG53" s="865" t="str">
        <f t="shared" si="22"/>
        <v/>
      </c>
    </row>
    <row r="54" spans="1:33" ht="24.95" customHeight="1" x14ac:dyDescent="0.2">
      <c r="A54" s="869"/>
      <c r="B54" s="996" t="s">
        <v>723</v>
      </c>
      <c r="C54" s="997"/>
      <c r="D54" s="124">
        <v>3</v>
      </c>
      <c r="E54" s="124">
        <v>5</v>
      </c>
      <c r="F54" s="731" t="str">
        <f t="shared" si="8"/>
        <v/>
      </c>
      <c r="G54" s="149">
        <v>1</v>
      </c>
      <c r="H54" s="149">
        <v>1</v>
      </c>
      <c r="I54" s="351">
        <v>2</v>
      </c>
      <c r="J54" s="894">
        <v>1</v>
      </c>
      <c r="K54" s="822">
        <v>0</v>
      </c>
      <c r="L54" s="895"/>
      <c r="M54" s="854" t="str">
        <f t="shared" si="9"/>
        <v/>
      </c>
      <c r="N54" s="895"/>
      <c r="O54" s="821" t="str">
        <f t="shared" si="10"/>
        <v/>
      </c>
      <c r="P54" s="895"/>
      <c r="Q54" s="821" t="str">
        <f t="shared" si="11"/>
        <v/>
      </c>
      <c r="R54" s="897" t="str">
        <f t="shared" si="23"/>
        <v/>
      </c>
      <c r="S54" s="908" t="str">
        <f t="shared" si="24"/>
        <v/>
      </c>
      <c r="T54" s="908" t="str">
        <f t="shared" si="25"/>
        <v/>
      </c>
      <c r="U54" s="303" t="str">
        <f t="shared" si="12"/>
        <v/>
      </c>
      <c r="V54" s="839" t="str">
        <f t="shared" si="13"/>
        <v/>
      </c>
      <c r="W54" s="860" t="str">
        <f t="shared" si="14"/>
        <v/>
      </c>
      <c r="X54" s="821" t="str">
        <f t="shared" si="15"/>
        <v/>
      </c>
      <c r="Y54" s="861" t="str">
        <f t="shared" si="16"/>
        <v/>
      </c>
      <c r="Z54" s="864" t="str">
        <f t="shared" si="17"/>
        <v/>
      </c>
      <c r="AA54" s="885" t="str">
        <f t="shared" si="18"/>
        <v/>
      </c>
      <c r="AB54" s="889">
        <f t="shared" si="19"/>
        <v>0</v>
      </c>
      <c r="AC54" s="821" t="str">
        <f t="shared" si="5"/>
        <v/>
      </c>
      <c r="AD54" s="821" t="str">
        <f t="shared" si="6"/>
        <v/>
      </c>
      <c r="AE54" s="821" t="str">
        <f t="shared" si="20"/>
        <v/>
      </c>
      <c r="AF54" s="821" t="str">
        <f t="shared" si="7"/>
        <v/>
      </c>
      <c r="AG54" s="865" t="str">
        <f t="shared" si="22"/>
        <v/>
      </c>
    </row>
    <row r="55" spans="1:33" ht="24.95" customHeight="1" x14ac:dyDescent="0.2">
      <c r="A55" s="869"/>
      <c r="B55" s="996" t="s">
        <v>724</v>
      </c>
      <c r="C55" s="997"/>
      <c r="D55" s="124">
        <v>3</v>
      </c>
      <c r="E55" s="124">
        <v>5</v>
      </c>
      <c r="F55" s="731" t="str">
        <f t="shared" si="8"/>
        <v/>
      </c>
      <c r="G55" s="149">
        <v>1</v>
      </c>
      <c r="H55" s="149">
        <v>1</v>
      </c>
      <c r="I55" s="351">
        <v>2</v>
      </c>
      <c r="J55" s="894">
        <v>1</v>
      </c>
      <c r="K55" s="822">
        <v>0</v>
      </c>
      <c r="L55" s="895"/>
      <c r="M55" s="854" t="str">
        <f t="shared" si="9"/>
        <v/>
      </c>
      <c r="N55" s="895"/>
      <c r="O55" s="821" t="str">
        <f t="shared" si="10"/>
        <v/>
      </c>
      <c r="P55" s="895"/>
      <c r="Q55" s="821" t="str">
        <f t="shared" si="11"/>
        <v/>
      </c>
      <c r="R55" s="897" t="str">
        <f t="shared" si="23"/>
        <v/>
      </c>
      <c r="S55" s="908" t="str">
        <f t="shared" si="24"/>
        <v/>
      </c>
      <c r="T55" s="908" t="str">
        <f t="shared" si="25"/>
        <v/>
      </c>
      <c r="U55" s="303" t="str">
        <f t="shared" si="12"/>
        <v/>
      </c>
      <c r="V55" s="839" t="str">
        <f t="shared" si="13"/>
        <v/>
      </c>
      <c r="W55" s="860" t="str">
        <f t="shared" si="14"/>
        <v/>
      </c>
      <c r="X55" s="821" t="str">
        <f t="shared" si="15"/>
        <v/>
      </c>
      <c r="Y55" s="861" t="str">
        <f t="shared" si="16"/>
        <v/>
      </c>
      <c r="Z55" s="864" t="str">
        <f t="shared" si="17"/>
        <v/>
      </c>
      <c r="AA55" s="885" t="str">
        <f t="shared" si="18"/>
        <v/>
      </c>
      <c r="AB55" s="889">
        <f t="shared" si="19"/>
        <v>0</v>
      </c>
      <c r="AC55" s="821" t="str">
        <f t="shared" si="5"/>
        <v/>
      </c>
      <c r="AD55" s="821" t="str">
        <f t="shared" si="6"/>
        <v/>
      </c>
      <c r="AE55" s="821" t="str">
        <f t="shared" si="20"/>
        <v/>
      </c>
      <c r="AF55" s="821" t="str">
        <f t="shared" si="7"/>
        <v/>
      </c>
      <c r="AG55" s="865" t="str">
        <f t="shared" si="22"/>
        <v/>
      </c>
    </row>
    <row r="56" spans="1:33" ht="24.95" customHeight="1" x14ac:dyDescent="0.2">
      <c r="A56" s="869"/>
      <c r="B56" s="996" t="s">
        <v>725</v>
      </c>
      <c r="C56" s="997"/>
      <c r="D56" s="124">
        <v>3</v>
      </c>
      <c r="E56" s="124">
        <v>5</v>
      </c>
      <c r="F56" s="731" t="str">
        <f t="shared" si="8"/>
        <v/>
      </c>
      <c r="G56" s="149">
        <v>1</v>
      </c>
      <c r="H56" s="149">
        <v>1</v>
      </c>
      <c r="I56" s="351">
        <v>2</v>
      </c>
      <c r="J56" s="894">
        <v>1</v>
      </c>
      <c r="K56" s="822">
        <v>0</v>
      </c>
      <c r="L56" s="895"/>
      <c r="M56" s="854" t="str">
        <f t="shared" si="9"/>
        <v/>
      </c>
      <c r="N56" s="895"/>
      <c r="O56" s="821" t="str">
        <f t="shared" si="10"/>
        <v/>
      </c>
      <c r="P56" s="895"/>
      <c r="Q56" s="821" t="str">
        <f t="shared" si="11"/>
        <v/>
      </c>
      <c r="R56" s="897" t="str">
        <f t="shared" si="23"/>
        <v/>
      </c>
      <c r="S56" s="908" t="str">
        <f t="shared" si="24"/>
        <v/>
      </c>
      <c r="T56" s="908" t="str">
        <f t="shared" si="25"/>
        <v/>
      </c>
      <c r="U56" s="303" t="str">
        <f t="shared" si="12"/>
        <v/>
      </c>
      <c r="V56" s="839" t="str">
        <f t="shared" si="13"/>
        <v/>
      </c>
      <c r="W56" s="860" t="str">
        <f t="shared" si="14"/>
        <v/>
      </c>
      <c r="X56" s="821" t="str">
        <f t="shared" si="15"/>
        <v/>
      </c>
      <c r="Y56" s="861" t="str">
        <f t="shared" si="16"/>
        <v/>
      </c>
      <c r="Z56" s="864" t="str">
        <f t="shared" si="17"/>
        <v/>
      </c>
      <c r="AA56" s="885" t="str">
        <f t="shared" si="18"/>
        <v/>
      </c>
      <c r="AB56" s="889">
        <f t="shared" si="19"/>
        <v>0</v>
      </c>
      <c r="AC56" s="821" t="str">
        <f t="shared" si="5"/>
        <v/>
      </c>
      <c r="AD56" s="821" t="str">
        <f t="shared" si="6"/>
        <v/>
      </c>
      <c r="AE56" s="821" t="str">
        <f t="shared" si="20"/>
        <v/>
      </c>
      <c r="AF56" s="821" t="str">
        <f t="shared" si="7"/>
        <v/>
      </c>
      <c r="AG56" s="865" t="str">
        <f t="shared" si="22"/>
        <v/>
      </c>
    </row>
    <row r="57" spans="1:33" ht="24.95" customHeight="1" x14ac:dyDescent="0.2">
      <c r="A57" s="869"/>
      <c r="B57" s="996" t="s">
        <v>726</v>
      </c>
      <c r="C57" s="997"/>
      <c r="D57" s="124">
        <v>3</v>
      </c>
      <c r="E57" s="124">
        <v>5</v>
      </c>
      <c r="F57" s="731" t="str">
        <f t="shared" si="8"/>
        <v/>
      </c>
      <c r="G57" s="149">
        <v>1</v>
      </c>
      <c r="H57" s="149">
        <v>1</v>
      </c>
      <c r="I57" s="351">
        <v>2</v>
      </c>
      <c r="J57" s="894">
        <v>1</v>
      </c>
      <c r="K57" s="822">
        <v>0</v>
      </c>
      <c r="L57" s="895"/>
      <c r="M57" s="854" t="str">
        <f t="shared" si="9"/>
        <v/>
      </c>
      <c r="N57" s="895"/>
      <c r="O57" s="821" t="str">
        <f t="shared" si="10"/>
        <v/>
      </c>
      <c r="P57" s="895"/>
      <c r="Q57" s="821" t="str">
        <f t="shared" si="11"/>
        <v/>
      </c>
      <c r="R57" s="897" t="str">
        <f t="shared" si="23"/>
        <v/>
      </c>
      <c r="S57" s="908" t="str">
        <f t="shared" si="24"/>
        <v/>
      </c>
      <c r="T57" s="908" t="str">
        <f t="shared" si="25"/>
        <v/>
      </c>
      <c r="U57" s="303" t="str">
        <f t="shared" si="12"/>
        <v/>
      </c>
      <c r="V57" s="839" t="str">
        <f t="shared" si="13"/>
        <v/>
      </c>
      <c r="W57" s="860" t="str">
        <f t="shared" si="14"/>
        <v/>
      </c>
      <c r="X57" s="821" t="str">
        <f t="shared" si="15"/>
        <v/>
      </c>
      <c r="Y57" s="861" t="str">
        <f t="shared" si="16"/>
        <v/>
      </c>
      <c r="Z57" s="864" t="str">
        <f t="shared" si="17"/>
        <v/>
      </c>
      <c r="AA57" s="885" t="str">
        <f t="shared" si="18"/>
        <v/>
      </c>
      <c r="AB57" s="889">
        <f t="shared" si="19"/>
        <v>0</v>
      </c>
      <c r="AC57" s="821" t="str">
        <f t="shared" si="5"/>
        <v/>
      </c>
      <c r="AD57" s="821" t="str">
        <f t="shared" si="6"/>
        <v/>
      </c>
      <c r="AE57" s="821" t="str">
        <f t="shared" si="20"/>
        <v/>
      </c>
      <c r="AF57" s="821" t="str">
        <f t="shared" si="7"/>
        <v/>
      </c>
      <c r="AG57" s="865" t="str">
        <f t="shared" si="22"/>
        <v/>
      </c>
    </row>
    <row r="58" spans="1:33" ht="21" customHeight="1" x14ac:dyDescent="0.2">
      <c r="F58" s="825" t="s">
        <v>82</v>
      </c>
      <c r="G58" s="824">
        <f>SUM(G44:G57)</f>
        <v>14</v>
      </c>
      <c r="J58" s="881" t="s">
        <v>505</v>
      </c>
      <c r="K58" s="880">
        <f>IF(SUM(K44:K57)&gt;0,AVERAGEIF(K44:K57,"&gt;0"),0)</f>
        <v>0</v>
      </c>
      <c r="L58" s="842"/>
      <c r="M58" s="827">
        <f t="shared" ref="M58" si="26">AVERAGEIF(M44:M57,"&gt;0")</f>
        <v>123.62357570444439</v>
      </c>
      <c r="O58" s="827">
        <f t="shared" ref="O58" si="27">AVERAGEIF(O44:O57,"&gt;0")</f>
        <v>56.203347857661583</v>
      </c>
      <c r="Q58" s="827">
        <f t="shared" ref="Q58:T58" si="28">AVERAGEIF(Q44:Q57,"&gt;0")</f>
        <v>27.626691491116148</v>
      </c>
      <c r="R58" s="898">
        <f>AVERAGEIF(R44:R57,"&gt;0")</f>
        <v>30.905893926111098</v>
      </c>
      <c r="S58" s="908">
        <f t="shared" si="28"/>
        <v>15.452946963055549</v>
      </c>
      <c r="T58" s="908">
        <f t="shared" si="28"/>
        <v>20.603929284074063</v>
      </c>
      <c r="U58" s="361">
        <f t="shared" ref="U58:Z58" si="29">SUM(U44:U57)</f>
        <v>1</v>
      </c>
      <c r="V58" s="361">
        <f t="shared" si="29"/>
        <v>0.5</v>
      </c>
      <c r="W58" s="837">
        <f t="shared" si="29"/>
        <v>4</v>
      </c>
      <c r="X58" s="826">
        <f t="shared" si="29"/>
        <v>123.62357570444439</v>
      </c>
      <c r="Y58" s="862">
        <f t="shared" si="29"/>
        <v>61.811787852222196</v>
      </c>
      <c r="Z58" s="886">
        <f t="shared" si="29"/>
        <v>82.415717136296252</v>
      </c>
      <c r="AA58" s="886">
        <f t="shared" ref="AA58:AB58" si="30">SUM(AA44:AA57)</f>
        <v>0</v>
      </c>
      <c r="AB58" s="886">
        <f t="shared" si="30"/>
        <v>82.415717136296252</v>
      </c>
      <c r="AC58" s="887">
        <f>SUM(AC44:AC57)</f>
        <v>42.152510893246188</v>
      </c>
      <c r="AD58" s="887">
        <f>SUM(AD44:AD57)</f>
        <v>20.720018618337111</v>
      </c>
      <c r="AE58" s="887">
        <f>SUM(AE44:AE57)</f>
        <v>18.75</v>
      </c>
      <c r="AF58" s="887">
        <f>SUM(AF44:AF57)</f>
        <v>81.622529511583295</v>
      </c>
      <c r="AG58" s="888">
        <f>SUM(AG44:AG57)</f>
        <v>0.79318762471295656</v>
      </c>
    </row>
    <row r="59" spans="1:33" ht="27" customHeight="1" x14ac:dyDescent="0.4">
      <c r="B59" s="583" t="s">
        <v>625</v>
      </c>
      <c r="C59"/>
      <c r="D59"/>
      <c r="E59"/>
      <c r="F59"/>
      <c r="G59" s="998" t="str">
        <f>T3</f>
        <v xml:space="preserve">Kytketty koneet: Valtra tiesarja Tienvarsiniitto kone </v>
      </c>
      <c r="H59" s="998"/>
      <c r="I59" s="998"/>
      <c r="J59" s="998"/>
      <c r="K59" s="998"/>
      <c r="L59" s="998"/>
      <c r="M59" s="998"/>
      <c r="N59" s="998"/>
      <c r="O59" s="998"/>
      <c r="P59" s="998"/>
      <c r="Q59" s="998"/>
      <c r="R59" s="1004" t="s">
        <v>653</v>
      </c>
      <c r="S59" s="1005"/>
      <c r="T59" s="1005"/>
      <c r="U59" s="1035" t="s">
        <v>652</v>
      </c>
      <c r="V59" s="1036"/>
      <c r="W59" s="1036"/>
      <c r="X59" s="1036"/>
      <c r="Y59" s="1037"/>
      <c r="Z59" s="1004" t="s">
        <v>661</v>
      </c>
      <c r="AA59" s="1005"/>
      <c r="AB59" s="1005"/>
      <c r="AC59" s="1005"/>
      <c r="AD59" s="1005"/>
      <c r="AE59" s="1005"/>
      <c r="AF59" s="1005"/>
      <c r="AG59" s="1005"/>
    </row>
    <row r="60" spans="1:33" ht="25.5" x14ac:dyDescent="0.25">
      <c r="B60" s="279" t="s">
        <v>646</v>
      </c>
      <c r="C60"/>
      <c r="D60"/>
      <c r="E60"/>
      <c r="F60" s="833" t="s">
        <v>637</v>
      </c>
      <c r="G60" s="828" t="s">
        <v>178</v>
      </c>
      <c r="H60" s="857" t="s">
        <v>34</v>
      </c>
      <c r="I60" s="844" t="s">
        <v>638</v>
      </c>
      <c r="J60" s="840" t="s">
        <v>189</v>
      </c>
      <c r="K60" s="841" t="s">
        <v>635</v>
      </c>
      <c r="L60" s="995" t="s">
        <v>82</v>
      </c>
      <c r="M60" s="995"/>
      <c r="N60" s="360" t="s">
        <v>158</v>
      </c>
    </row>
    <row r="61" spans="1:33" x14ac:dyDescent="0.2">
      <c r="A61" s="856" t="str">
        <f>IF(A44="","",A44)</f>
        <v>x</v>
      </c>
      <c r="B61" s="990" t="str">
        <f>IF(B44&lt;&gt;"",B44,"")</f>
        <v>Tienvarsiniitto alue 1</v>
      </c>
      <c r="C61" s="990"/>
      <c r="D61" s="990"/>
      <c r="E61" s="990"/>
      <c r="F61" s="830"/>
      <c r="G61" s="843">
        <f t="shared" ref="G61:G66" si="31">IF(F61&gt;0,F61,W44)</f>
        <v>2</v>
      </c>
      <c r="H61" s="280" t="s">
        <v>78</v>
      </c>
      <c r="I61" s="838">
        <v>0</v>
      </c>
      <c r="J61" s="834">
        <f>IF(I61&gt;0,I61,T44)</f>
        <v>20.603929284074063</v>
      </c>
      <c r="K61" s="318">
        <v>1</v>
      </c>
      <c r="L61" s="1000">
        <f>IF(G61&lt;&gt;"",G61*J61*K61,0)</f>
        <v>41.207858568148126</v>
      </c>
      <c r="M61" s="1001"/>
      <c r="N61" s="846">
        <f t="shared" ref="N61:N66" si="32">IF(J61&lt;&gt;"",L61/$L$78,0)</f>
        <v>0.5</v>
      </c>
    </row>
    <row r="62" spans="1:33" ht="12.75" customHeight="1" x14ac:dyDescent="0.2">
      <c r="A62" s="856" t="str">
        <f>IF(A45="","",A45)</f>
        <v>x</v>
      </c>
      <c r="B62" s="990" t="str">
        <f t="shared" ref="B62:B74" si="33">IF(B45&lt;&gt;"",B45,"")</f>
        <v>Tienvarsiniitto alue 2</v>
      </c>
      <c r="C62" s="990"/>
      <c r="D62" s="990"/>
      <c r="E62" s="990"/>
      <c r="F62" s="830"/>
      <c r="G62" s="843">
        <f t="shared" si="31"/>
        <v>2</v>
      </c>
      <c r="H62" s="280" t="s">
        <v>78</v>
      </c>
      <c r="I62" s="838">
        <v>0</v>
      </c>
      <c r="J62" s="834">
        <f>IF(I62&gt;0,I62,T45)</f>
        <v>20.603929284074063</v>
      </c>
      <c r="K62" s="318">
        <v>1</v>
      </c>
      <c r="L62" s="1000">
        <f t="shared" ref="L62:L77" si="34">IF(G62&lt;&gt;"",G62*J62*K62,0)</f>
        <v>41.207858568148126</v>
      </c>
      <c r="M62" s="1001"/>
      <c r="N62" s="846">
        <f t="shared" si="32"/>
        <v>0.5</v>
      </c>
    </row>
    <row r="63" spans="1:33" x14ac:dyDescent="0.2">
      <c r="A63" s="856" t="str">
        <f t="shared" ref="A63:A73" si="35">IF(A46="","",A46)</f>
        <v/>
      </c>
      <c r="B63" s="990" t="str">
        <f t="shared" si="33"/>
        <v>Tienvarsiniitto alue 3</v>
      </c>
      <c r="C63" s="990"/>
      <c r="D63" s="990"/>
      <c r="E63" s="990"/>
      <c r="F63" s="830"/>
      <c r="G63" s="843" t="str">
        <f t="shared" si="31"/>
        <v/>
      </c>
      <c r="H63" s="280" t="s">
        <v>78</v>
      </c>
      <c r="I63" s="838">
        <v>0</v>
      </c>
      <c r="J63" s="834" t="str">
        <f>IF(I63&gt;0,I63,T46)</f>
        <v/>
      </c>
      <c r="K63" s="318">
        <v>1</v>
      </c>
      <c r="L63" s="1000">
        <f t="shared" si="34"/>
        <v>0</v>
      </c>
      <c r="M63" s="1001"/>
      <c r="N63" s="846">
        <f t="shared" si="32"/>
        <v>0</v>
      </c>
    </row>
    <row r="64" spans="1:33" x14ac:dyDescent="0.2">
      <c r="A64" s="856" t="str">
        <f t="shared" si="35"/>
        <v/>
      </c>
      <c r="B64" s="990" t="str">
        <f t="shared" si="33"/>
        <v>Tienvarsiniitto alue 4</v>
      </c>
      <c r="C64" s="990"/>
      <c r="D64" s="990"/>
      <c r="E64" s="990"/>
      <c r="F64" s="830"/>
      <c r="G64" s="843" t="str">
        <f t="shared" si="31"/>
        <v/>
      </c>
      <c r="H64" s="280" t="s">
        <v>78</v>
      </c>
      <c r="I64" s="838">
        <v>0</v>
      </c>
      <c r="J64" s="834" t="str">
        <f>IF(I64&gt;0,I64,T47)</f>
        <v/>
      </c>
      <c r="K64" s="318">
        <v>1</v>
      </c>
      <c r="L64" s="1000">
        <f t="shared" si="34"/>
        <v>0</v>
      </c>
      <c r="M64" s="1001"/>
      <c r="N64" s="846">
        <f t="shared" si="32"/>
        <v>0</v>
      </c>
    </row>
    <row r="65" spans="1:14" x14ac:dyDescent="0.2">
      <c r="A65" s="856" t="str">
        <f t="shared" si="35"/>
        <v/>
      </c>
      <c r="B65" s="990" t="str">
        <f t="shared" si="33"/>
        <v>Tienvarsiniitto alue 5</v>
      </c>
      <c r="C65" s="990"/>
      <c r="D65" s="990"/>
      <c r="E65" s="990"/>
      <c r="F65" s="830"/>
      <c r="G65" s="843" t="str">
        <f t="shared" si="31"/>
        <v/>
      </c>
      <c r="H65" s="280" t="s">
        <v>78</v>
      </c>
      <c r="I65" s="838">
        <v>0</v>
      </c>
      <c r="J65" s="834" t="str">
        <f>IF(I65&gt;0,I65,T48)</f>
        <v/>
      </c>
      <c r="K65" s="318">
        <v>1</v>
      </c>
      <c r="L65" s="1000">
        <f t="shared" si="34"/>
        <v>0</v>
      </c>
      <c r="M65" s="1001"/>
      <c r="N65" s="846">
        <f t="shared" si="32"/>
        <v>0</v>
      </c>
    </row>
    <row r="66" spans="1:14" x14ac:dyDescent="0.2">
      <c r="A66" s="856" t="str">
        <f t="shared" si="35"/>
        <v/>
      </c>
      <c r="B66" s="990" t="str">
        <f t="shared" si="33"/>
        <v>Tienvarsiniitto alue 6</v>
      </c>
      <c r="C66" s="990"/>
      <c r="D66" s="990"/>
      <c r="E66" s="990"/>
      <c r="F66" s="830"/>
      <c r="G66" s="843" t="str">
        <f t="shared" si="31"/>
        <v/>
      </c>
      <c r="H66" s="280" t="s">
        <v>78</v>
      </c>
      <c r="I66" s="838">
        <v>0</v>
      </c>
      <c r="J66" s="834" t="str">
        <f t="shared" ref="J66:J74" si="36">IF(I66&gt;0,I66,T49)</f>
        <v/>
      </c>
      <c r="K66" s="318">
        <v>1</v>
      </c>
      <c r="L66" s="1000">
        <f t="shared" si="34"/>
        <v>0</v>
      </c>
      <c r="M66" s="1001"/>
      <c r="N66" s="846">
        <f t="shared" si="32"/>
        <v>0</v>
      </c>
    </row>
    <row r="67" spans="1:14" x14ac:dyDescent="0.2">
      <c r="A67" s="856" t="str">
        <f t="shared" si="35"/>
        <v/>
      </c>
      <c r="B67" s="990" t="str">
        <f t="shared" si="33"/>
        <v>Tienvarsiniitto alue 7</v>
      </c>
      <c r="C67" s="990"/>
      <c r="D67" s="990"/>
      <c r="E67" s="990"/>
      <c r="F67" s="830"/>
      <c r="G67" s="843" t="str">
        <f t="shared" ref="G67:G74" si="37">IF(F67&gt;0,F67,W50)</f>
        <v/>
      </c>
      <c r="H67" s="280" t="s">
        <v>78</v>
      </c>
      <c r="I67" s="838">
        <v>0</v>
      </c>
      <c r="J67" s="834" t="str">
        <f t="shared" si="36"/>
        <v/>
      </c>
      <c r="K67" s="318">
        <v>1</v>
      </c>
      <c r="L67" s="1000">
        <f t="shared" si="34"/>
        <v>0</v>
      </c>
      <c r="M67" s="1001"/>
      <c r="N67" s="846">
        <f t="shared" ref="N67:N72" si="38">IF(J67&lt;&gt;"",L67/$L$78,0)</f>
        <v>0</v>
      </c>
    </row>
    <row r="68" spans="1:14" x14ac:dyDescent="0.2">
      <c r="A68" s="856" t="str">
        <f t="shared" si="35"/>
        <v/>
      </c>
      <c r="B68" s="990" t="str">
        <f t="shared" si="33"/>
        <v>Tienvarsiniitto alue 8</v>
      </c>
      <c r="C68" s="990"/>
      <c r="D68" s="990"/>
      <c r="E68" s="990"/>
      <c r="F68" s="830"/>
      <c r="G68" s="843" t="str">
        <f t="shared" si="37"/>
        <v/>
      </c>
      <c r="H68" s="280" t="s">
        <v>78</v>
      </c>
      <c r="I68" s="838">
        <v>0</v>
      </c>
      <c r="J68" s="834" t="str">
        <f t="shared" si="36"/>
        <v/>
      </c>
      <c r="K68" s="318">
        <v>1</v>
      </c>
      <c r="L68" s="1000">
        <f t="shared" si="34"/>
        <v>0</v>
      </c>
      <c r="M68" s="1001"/>
      <c r="N68" s="846">
        <f t="shared" si="38"/>
        <v>0</v>
      </c>
    </row>
    <row r="69" spans="1:14" x14ac:dyDescent="0.2">
      <c r="A69" s="856" t="str">
        <f t="shared" si="35"/>
        <v/>
      </c>
      <c r="B69" s="990" t="str">
        <f t="shared" si="33"/>
        <v>Tienvarsiniitto alue 9</v>
      </c>
      <c r="C69" s="990"/>
      <c r="D69" s="990"/>
      <c r="E69" s="990"/>
      <c r="F69" s="830"/>
      <c r="G69" s="843" t="str">
        <f t="shared" si="37"/>
        <v/>
      </c>
      <c r="H69" s="280" t="s">
        <v>78</v>
      </c>
      <c r="I69" s="838">
        <v>0</v>
      </c>
      <c r="J69" s="834" t="str">
        <f t="shared" si="36"/>
        <v/>
      </c>
      <c r="K69" s="318">
        <v>1</v>
      </c>
      <c r="L69" s="1000">
        <f t="shared" si="34"/>
        <v>0</v>
      </c>
      <c r="M69" s="1001"/>
      <c r="N69" s="846">
        <f t="shared" si="38"/>
        <v>0</v>
      </c>
    </row>
    <row r="70" spans="1:14" x14ac:dyDescent="0.2">
      <c r="A70" s="856" t="str">
        <f t="shared" si="35"/>
        <v/>
      </c>
      <c r="B70" s="990" t="str">
        <f t="shared" si="33"/>
        <v>Tienvarsiniitto alue 10</v>
      </c>
      <c r="C70" s="990"/>
      <c r="D70" s="990"/>
      <c r="E70" s="990"/>
      <c r="F70" s="830"/>
      <c r="G70" s="843" t="str">
        <f t="shared" si="37"/>
        <v/>
      </c>
      <c r="H70" s="280" t="s">
        <v>78</v>
      </c>
      <c r="I70" s="838">
        <v>0</v>
      </c>
      <c r="J70" s="834" t="str">
        <f t="shared" si="36"/>
        <v/>
      </c>
      <c r="K70" s="318">
        <v>1</v>
      </c>
      <c r="L70" s="1000">
        <f t="shared" si="34"/>
        <v>0</v>
      </c>
      <c r="M70" s="1001"/>
      <c r="N70" s="846">
        <f t="shared" si="38"/>
        <v>0</v>
      </c>
    </row>
    <row r="71" spans="1:14" x14ac:dyDescent="0.2">
      <c r="A71" s="856" t="str">
        <f t="shared" si="35"/>
        <v/>
      </c>
      <c r="B71" s="990" t="str">
        <f t="shared" si="33"/>
        <v>Tienvarsiniitto alue 11</v>
      </c>
      <c r="C71" s="990"/>
      <c r="D71" s="990"/>
      <c r="E71" s="990"/>
      <c r="F71" s="830"/>
      <c r="G71" s="843" t="str">
        <f t="shared" si="37"/>
        <v/>
      </c>
      <c r="H71" s="280" t="s">
        <v>78</v>
      </c>
      <c r="I71" s="838">
        <v>0</v>
      </c>
      <c r="J71" s="834" t="str">
        <f t="shared" si="36"/>
        <v/>
      </c>
      <c r="K71" s="318">
        <v>1</v>
      </c>
      <c r="L71" s="1000">
        <f t="shared" si="34"/>
        <v>0</v>
      </c>
      <c r="M71" s="1001"/>
      <c r="N71" s="846">
        <f t="shared" si="38"/>
        <v>0</v>
      </c>
    </row>
    <row r="72" spans="1:14" x14ac:dyDescent="0.2">
      <c r="A72" s="856" t="str">
        <f t="shared" si="35"/>
        <v/>
      </c>
      <c r="B72" s="990" t="str">
        <f t="shared" si="33"/>
        <v>Tienvarsiniitto alue 12</v>
      </c>
      <c r="C72" s="990"/>
      <c r="D72" s="990"/>
      <c r="E72" s="990"/>
      <c r="F72" s="830"/>
      <c r="G72" s="843" t="str">
        <f t="shared" si="37"/>
        <v/>
      </c>
      <c r="H72" s="280" t="s">
        <v>78</v>
      </c>
      <c r="I72" s="838">
        <v>0</v>
      </c>
      <c r="J72" s="834" t="str">
        <f t="shared" si="36"/>
        <v/>
      </c>
      <c r="K72" s="318">
        <v>1</v>
      </c>
      <c r="L72" s="1000">
        <f t="shared" si="34"/>
        <v>0</v>
      </c>
      <c r="M72" s="1001"/>
      <c r="N72" s="846">
        <f t="shared" si="38"/>
        <v>0</v>
      </c>
    </row>
    <row r="73" spans="1:14" x14ac:dyDescent="0.2">
      <c r="A73" s="856" t="str">
        <f t="shared" si="35"/>
        <v/>
      </c>
      <c r="B73" s="990" t="str">
        <f t="shared" si="33"/>
        <v>Tienvarsiniitto alue 13</v>
      </c>
      <c r="C73" s="990"/>
      <c r="D73" s="990"/>
      <c r="E73" s="990"/>
      <c r="F73" s="830"/>
      <c r="G73" s="843" t="str">
        <f t="shared" si="37"/>
        <v/>
      </c>
      <c r="H73" s="280" t="s">
        <v>78</v>
      </c>
      <c r="I73" s="838">
        <v>0</v>
      </c>
      <c r="J73" s="834" t="str">
        <f t="shared" si="36"/>
        <v/>
      </c>
      <c r="K73" s="318">
        <v>1</v>
      </c>
      <c r="L73" s="1000">
        <f t="shared" si="34"/>
        <v>0</v>
      </c>
      <c r="M73" s="1001"/>
      <c r="N73" s="846">
        <f>IF(J73&lt;&gt;"",L73/$L$78,0)</f>
        <v>0</v>
      </c>
    </row>
    <row r="74" spans="1:14" x14ac:dyDescent="0.2">
      <c r="A74" s="856" t="str">
        <f>IF(A57="","",A57)</f>
        <v/>
      </c>
      <c r="B74" s="990" t="str">
        <f t="shared" si="33"/>
        <v>Tienvarsiniitto alue 14</v>
      </c>
      <c r="C74" s="990"/>
      <c r="D74" s="990"/>
      <c r="E74" s="990"/>
      <c r="F74" s="830"/>
      <c r="G74" s="843" t="str">
        <f t="shared" si="37"/>
        <v/>
      </c>
      <c r="H74" s="280" t="s">
        <v>78</v>
      </c>
      <c r="I74" s="838">
        <v>0</v>
      </c>
      <c r="J74" s="834" t="str">
        <f t="shared" si="36"/>
        <v/>
      </c>
      <c r="K74" s="318">
        <v>1</v>
      </c>
      <c r="L74" s="1000">
        <f t="shared" si="34"/>
        <v>0</v>
      </c>
      <c r="M74" s="1001"/>
      <c r="N74" s="846">
        <f>IF(J74&lt;&gt;"",L74/$L$78,0)</f>
        <v>0</v>
      </c>
    </row>
    <row r="75" spans="1:14" x14ac:dyDescent="0.2">
      <c r="A75" s="878"/>
      <c r="B75" s="1028" t="s">
        <v>658</v>
      </c>
      <c r="C75" s="1029"/>
      <c r="D75" s="1029"/>
      <c r="E75" s="1030"/>
      <c r="F75" s="879"/>
      <c r="G75" s="843"/>
      <c r="H75" s="280" t="s">
        <v>506</v>
      </c>
      <c r="I75" s="838">
        <v>0</v>
      </c>
      <c r="J75" s="834">
        <f>AA58</f>
        <v>0</v>
      </c>
      <c r="K75" s="318">
        <v>1</v>
      </c>
      <c r="L75" s="1000">
        <f>IF(J75&lt;&gt;"",J75*K75,0)</f>
        <v>0</v>
      </c>
      <c r="M75" s="1001"/>
      <c r="N75" s="846">
        <f>IF(J75&lt;&gt;"",L75/$L$78,0)</f>
        <v>0</v>
      </c>
    </row>
    <row r="76" spans="1:14" ht="15" x14ac:dyDescent="0.2">
      <c r="B76" s="963" t="s">
        <v>654</v>
      </c>
      <c r="C76" s="963"/>
      <c r="D76" s="963"/>
      <c r="E76" s="963"/>
      <c r="F76" s="964"/>
      <c r="G76" s="830">
        <v>0</v>
      </c>
      <c r="H76" s="280" t="s">
        <v>73</v>
      </c>
      <c r="I76" s="838">
        <v>0</v>
      </c>
      <c r="J76" s="834">
        <f>IF(I76&gt;0,I76,T58)</f>
        <v>20.603929284074063</v>
      </c>
      <c r="K76" s="318">
        <v>1</v>
      </c>
      <c r="L76" s="1000">
        <f t="shared" si="34"/>
        <v>0</v>
      </c>
      <c r="M76" s="1001"/>
      <c r="N76" s="846">
        <f>IF(J76&lt;&gt;"",L76/$L$78,0)</f>
        <v>0</v>
      </c>
    </row>
    <row r="77" spans="1:14" ht="15" x14ac:dyDescent="0.2">
      <c r="B77" s="963" t="s">
        <v>620</v>
      </c>
      <c r="C77" s="963"/>
      <c r="D77" s="963"/>
      <c r="E77" s="963"/>
      <c r="F77" s="964"/>
      <c r="G77" s="830">
        <v>0</v>
      </c>
      <c r="H77" s="280" t="s">
        <v>228</v>
      </c>
      <c r="I77" s="838">
        <v>0</v>
      </c>
      <c r="J77" s="834">
        <f>IF(I77&gt;0,I77,T36)</f>
        <v>123.62357570444439</v>
      </c>
      <c r="K77" s="318">
        <v>1</v>
      </c>
      <c r="L77" s="1000">
        <f t="shared" si="34"/>
        <v>0</v>
      </c>
      <c r="M77" s="1001"/>
      <c r="N77" s="846">
        <f>IF(J77&lt;&gt;"",L77/$L$78,0)</f>
        <v>0</v>
      </c>
    </row>
    <row r="78" spans="1:14" ht="15.75" x14ac:dyDescent="0.25">
      <c r="B78" s="504" t="s">
        <v>201</v>
      </c>
      <c r="C78" s="503"/>
      <c r="D78" s="503"/>
      <c r="E78" s="503"/>
      <c r="F78" s="507"/>
      <c r="G78" s="505"/>
      <c r="H78" s="313"/>
      <c r="L78" s="1010">
        <f>SUM(L61:M77)</f>
        <v>82.415717136296252</v>
      </c>
      <c r="M78" s="1011"/>
      <c r="N78" s="846">
        <f>IF(J77&lt;&gt;"",L78/$L$78,0)</f>
        <v>1</v>
      </c>
    </row>
    <row r="79" spans="1:14" ht="15" x14ac:dyDescent="0.2">
      <c r="B79" s="962" t="s">
        <v>202</v>
      </c>
      <c r="C79" s="962"/>
      <c r="D79" s="962"/>
      <c r="E79" s="962"/>
      <c r="F79" s="586"/>
      <c r="G79" s="830">
        <v>1</v>
      </c>
      <c r="H79" s="280" t="s">
        <v>73</v>
      </c>
      <c r="I79" s="838">
        <v>0</v>
      </c>
      <c r="J79" s="834">
        <f>AC58</f>
        <v>42.152510893246188</v>
      </c>
      <c r="K79" s="318">
        <v>1</v>
      </c>
      <c r="L79" s="1006">
        <f>J79*G79</f>
        <v>42.152510893246188</v>
      </c>
      <c r="M79" s="1006"/>
      <c r="N79" s="846">
        <f>IF(J79&lt;&gt;"",L79/$L$78,0)</f>
        <v>0.51146204095434644</v>
      </c>
    </row>
    <row r="80" spans="1:14" ht="15" x14ac:dyDescent="0.2">
      <c r="B80" s="963" t="s">
        <v>626</v>
      </c>
      <c r="C80" s="963"/>
      <c r="D80" s="963"/>
      <c r="E80" s="963"/>
      <c r="F80" s="964"/>
      <c r="G80" s="830">
        <v>1</v>
      </c>
      <c r="H80" s="280" t="s">
        <v>73</v>
      </c>
      <c r="I80" s="999">
        <v>0</v>
      </c>
      <c r="J80" s="999"/>
      <c r="K80" s="318">
        <v>1</v>
      </c>
      <c r="L80" s="1006">
        <f>I80*G80</f>
        <v>0</v>
      </c>
      <c r="M80" s="1006"/>
      <c r="N80" s="846">
        <f>IF(I80&lt;&gt;"",L80/$L$78,0)</f>
        <v>0</v>
      </c>
    </row>
    <row r="81" spans="2:14" ht="15.75" x14ac:dyDescent="0.25">
      <c r="B81" s="279" t="s">
        <v>204</v>
      </c>
      <c r="C81"/>
      <c r="D81"/>
      <c r="E81"/>
      <c r="F81"/>
      <c r="G81" s="831"/>
      <c r="H81" s="832"/>
      <c r="I81" s="1002"/>
      <c r="J81" s="1003"/>
      <c r="L81" s="1007">
        <f>L78-L79-L80</f>
        <v>40.263206243050064</v>
      </c>
      <c r="M81" s="1007"/>
      <c r="N81" s="846">
        <f>IF(L78&lt;&gt;"",L81/$L$78,0)</f>
        <v>0.4885379590456535</v>
      </c>
    </row>
    <row r="82" spans="2:14" ht="15" x14ac:dyDescent="0.2">
      <c r="B82" s="470" t="s">
        <v>205</v>
      </c>
      <c r="C82"/>
      <c r="D82"/>
      <c r="E82"/>
      <c r="F82" s="830"/>
      <c r="G82" s="843">
        <f>IF(F82&gt;0,F82,AVERAGE(U58:V58))</f>
        <v>0.75</v>
      </c>
      <c r="H82" s="280" t="s">
        <v>228</v>
      </c>
      <c r="I82" s="845"/>
      <c r="J82" s="834">
        <f>IF(I82&gt;0,I82,T35)</f>
        <v>25</v>
      </c>
      <c r="K82" s="318">
        <v>1</v>
      </c>
      <c r="L82" s="1006">
        <f>G82*J82*K82</f>
        <v>18.75</v>
      </c>
      <c r="M82" s="1006"/>
      <c r="N82" s="846">
        <f>IF(J82&lt;&gt;"",L82/$L$78,0)</f>
        <v>0.22750514891464088</v>
      </c>
    </row>
    <row r="83" spans="2:14" ht="15" x14ac:dyDescent="0.2">
      <c r="B83" s="470" t="s">
        <v>206</v>
      </c>
      <c r="C83"/>
      <c r="D83"/>
      <c r="E83"/>
      <c r="F83"/>
      <c r="G83" s="830">
        <v>1</v>
      </c>
      <c r="H83" s="280" t="s">
        <v>73</v>
      </c>
      <c r="I83" s="845"/>
      <c r="J83" s="834">
        <f>IF(I83&gt;0,I83,AD58)</f>
        <v>20.720018618337111</v>
      </c>
      <c r="K83" s="318">
        <v>1</v>
      </c>
      <c r="L83" s="1006">
        <f>G83*J83*K83</f>
        <v>20.720018618337111</v>
      </c>
      <c r="M83" s="1006"/>
      <c r="N83" s="846">
        <f>IF(J83&lt;&gt;"",L83/$L$78,0)</f>
        <v>0.25140858246820885</v>
      </c>
    </row>
    <row r="84" spans="2:14" ht="15" x14ac:dyDescent="0.2">
      <c r="B84" s="470" t="s">
        <v>113</v>
      </c>
      <c r="C84"/>
      <c r="D84"/>
      <c r="E84"/>
      <c r="F84"/>
      <c r="G84" s="830">
        <v>1</v>
      </c>
      <c r="H84" s="280" t="s">
        <v>73</v>
      </c>
      <c r="I84" s="999">
        <v>0</v>
      </c>
      <c r="J84" s="999"/>
      <c r="K84" s="318">
        <v>1</v>
      </c>
      <c r="L84" s="1008">
        <f>G84*I84</f>
        <v>0</v>
      </c>
      <c r="M84" s="1009"/>
      <c r="N84" s="846">
        <f>IF(G84&lt;&gt;"",L84/$L$78,0)</f>
        <v>0</v>
      </c>
    </row>
    <row r="85" spans="2:14" ht="15" x14ac:dyDescent="0.2">
      <c r="B85" s="470" t="s">
        <v>207</v>
      </c>
      <c r="C85"/>
      <c r="D85"/>
      <c r="E85"/>
      <c r="F85"/>
      <c r="G85" s="454"/>
      <c r="H85" s="313"/>
      <c r="L85" s="1006">
        <f>L81-L82-L83-L84</f>
        <v>0.79318762471295301</v>
      </c>
      <c r="M85" s="1006"/>
      <c r="N85" s="846">
        <f>IF(L81&lt;&gt;"",L85/$L$78,0)</f>
        <v>9.6242276628037693E-3</v>
      </c>
    </row>
    <row r="86" spans="2:14" ht="15" x14ac:dyDescent="0.2">
      <c r="B86" s="470" t="s">
        <v>208</v>
      </c>
      <c r="C86"/>
      <c r="D86"/>
      <c r="E86"/>
      <c r="F86"/>
      <c r="G86" s="454"/>
      <c r="H86" s="427">
        <v>0.2</v>
      </c>
      <c r="L86" s="1006">
        <f>L85*H86</f>
        <v>0.15863752494259062</v>
      </c>
      <c r="M86" s="1006"/>
      <c r="N86" s="846">
        <f>IF(L85&lt;&gt;"",L86/$L$78,0)</f>
        <v>1.9248455325607541E-3</v>
      </c>
    </row>
    <row r="87" spans="2:14" ht="15.75" x14ac:dyDescent="0.25">
      <c r="B87" s="279" t="s">
        <v>209</v>
      </c>
      <c r="C87"/>
      <c r="D87"/>
      <c r="E87"/>
      <c r="L87" s="1007">
        <f>L85-L86</f>
        <v>0.63455009977036236</v>
      </c>
      <c r="M87" s="1007"/>
      <c r="N87" s="846">
        <f>IF(L85&lt;&gt;"",L87/$L$78,0)</f>
        <v>7.6993821302430146E-3</v>
      </c>
    </row>
    <row r="89" spans="2:14" ht="20.25" x14ac:dyDescent="0.3">
      <c r="B89" s="820" t="s">
        <v>655</v>
      </c>
    </row>
    <row r="90" spans="2:14" ht="18" x14ac:dyDescent="0.25">
      <c r="B90" s="582" t="s">
        <v>138</v>
      </c>
    </row>
    <row r="92" spans="2:14" x14ac:dyDescent="0.2">
      <c r="B92" s="4" t="s">
        <v>139</v>
      </c>
      <c r="C92" s="398" t="str">
        <f>Ohjeet!C2</f>
        <v>2024.12</v>
      </c>
    </row>
  </sheetData>
  <sheetProtection algorithmName="SHA-512" hashValue="yTH38s6q+254xQqS2TLGFVUTJRuKzQMSOVBrrJeuFs70woSjYCz4yOrs5wT327UPXCyI7lsdAqqPuroY5xSJig==" saltValue="Tlo/XVEHZ08DnCsjhUT/pw==" spinCount="100000" sheet="1" formatCells="0" formatColumns="0" formatRows="0"/>
  <mergeCells count="119">
    <mergeCell ref="L85:M85"/>
    <mergeCell ref="L86:M86"/>
    <mergeCell ref="L87:M87"/>
    <mergeCell ref="B40:E40"/>
    <mergeCell ref="B80:F80"/>
    <mergeCell ref="I80:J80"/>
    <mergeCell ref="L80:M80"/>
    <mergeCell ref="I81:J81"/>
    <mergeCell ref="L81:M81"/>
    <mergeCell ref="L82:M82"/>
    <mergeCell ref="L83:M83"/>
    <mergeCell ref="I84:J84"/>
    <mergeCell ref="L84:M84"/>
    <mergeCell ref="B72:E72"/>
    <mergeCell ref="B73:E73"/>
    <mergeCell ref="B74:E74"/>
    <mergeCell ref="B75:E75"/>
    <mergeCell ref="B76:F76"/>
    <mergeCell ref="B77:F77"/>
    <mergeCell ref="L77:M77"/>
    <mergeCell ref="L78:M78"/>
    <mergeCell ref="B79:E79"/>
    <mergeCell ref="L79:M79"/>
    <mergeCell ref="B46:C46"/>
    <mergeCell ref="R59:T59"/>
    <mergeCell ref="U59:Y59"/>
    <mergeCell ref="Z59:AG59"/>
    <mergeCell ref="B65:E65"/>
    <mergeCell ref="B66:E66"/>
    <mergeCell ref="B67:E67"/>
    <mergeCell ref="B69:E69"/>
    <mergeCell ref="B70:E70"/>
    <mergeCell ref="B71:E71"/>
    <mergeCell ref="L67:M67"/>
    <mergeCell ref="B68:E68"/>
    <mergeCell ref="L68:M68"/>
    <mergeCell ref="L69:M69"/>
    <mergeCell ref="B64:E64"/>
    <mergeCell ref="L64:M64"/>
    <mergeCell ref="L65:M65"/>
    <mergeCell ref="L66:M66"/>
    <mergeCell ref="A2:B2"/>
    <mergeCell ref="E2:F2"/>
    <mergeCell ref="I2:J2"/>
    <mergeCell ref="M2:N2"/>
    <mergeCell ref="Q2:R2"/>
    <mergeCell ref="C29:E29"/>
    <mergeCell ref="E1:G1"/>
    <mergeCell ref="H1:J1"/>
    <mergeCell ref="L1:N1"/>
    <mergeCell ref="P1:R1"/>
    <mergeCell ref="E3:F3"/>
    <mergeCell ref="I3:J3"/>
    <mergeCell ref="M3:N3"/>
    <mergeCell ref="Q3:R3"/>
    <mergeCell ref="C28:E28"/>
    <mergeCell ref="C19:E19"/>
    <mergeCell ref="Z40:AB40"/>
    <mergeCell ref="A41:A43"/>
    <mergeCell ref="B41:C43"/>
    <mergeCell ref="M40:Q40"/>
    <mergeCell ref="R40:T40"/>
    <mergeCell ref="U40:V40"/>
    <mergeCell ref="X40:Y40"/>
    <mergeCell ref="Z42:Z43"/>
    <mergeCell ref="AA42:AA43"/>
    <mergeCell ref="AB42:AB43"/>
    <mergeCell ref="L41:L43"/>
    <mergeCell ref="M41:M43"/>
    <mergeCell ref="N41:N43"/>
    <mergeCell ref="O41:O43"/>
    <mergeCell ref="P41:P43"/>
    <mergeCell ref="G41:G42"/>
    <mergeCell ref="H41:H43"/>
    <mergeCell ref="I41:I43"/>
    <mergeCell ref="J41:J43"/>
    <mergeCell ref="K41:K42"/>
    <mergeCell ref="X41:Y41"/>
    <mergeCell ref="W42:W43"/>
    <mergeCell ref="X42:X43"/>
    <mergeCell ref="Y42:Y43"/>
    <mergeCell ref="B51:C51"/>
    <mergeCell ref="B52:C52"/>
    <mergeCell ref="B53:C53"/>
    <mergeCell ref="B54:C54"/>
    <mergeCell ref="B55:C55"/>
    <mergeCell ref="B56:C56"/>
    <mergeCell ref="B47:C47"/>
    <mergeCell ref="B48:C48"/>
    <mergeCell ref="B49:C49"/>
    <mergeCell ref="B50:C50"/>
    <mergeCell ref="B44:C44"/>
    <mergeCell ref="B45:C45"/>
    <mergeCell ref="Q41:Q43"/>
    <mergeCell ref="R41:T41"/>
    <mergeCell ref="U41:V41"/>
    <mergeCell ref="R42:R43"/>
    <mergeCell ref="S42:S43"/>
    <mergeCell ref="T42:T43"/>
    <mergeCell ref="U42:U43"/>
    <mergeCell ref="V42:V43"/>
    <mergeCell ref="D41:F41"/>
    <mergeCell ref="D43:E43"/>
    <mergeCell ref="L74:M74"/>
    <mergeCell ref="L75:M75"/>
    <mergeCell ref="L76:M76"/>
    <mergeCell ref="L70:M70"/>
    <mergeCell ref="L71:M71"/>
    <mergeCell ref="L72:M72"/>
    <mergeCell ref="L73:M73"/>
    <mergeCell ref="B57:C57"/>
    <mergeCell ref="B61:E61"/>
    <mergeCell ref="L61:M61"/>
    <mergeCell ref="B62:E62"/>
    <mergeCell ref="L62:M62"/>
    <mergeCell ref="B63:E63"/>
    <mergeCell ref="L63:M63"/>
    <mergeCell ref="L60:M60"/>
    <mergeCell ref="G59:Q59"/>
  </mergeCells>
  <phoneticPr fontId="7" type="noConversion"/>
  <conditionalFormatting sqref="I61:I77">
    <cfRule type="cellIs" dxfId="21" priority="4" operator="greaterThan">
      <formula>0</formula>
    </cfRule>
  </conditionalFormatting>
  <conditionalFormatting sqref="I79">
    <cfRule type="cellIs" dxfId="20" priority="1" operator="greaterThan">
      <formula>0</formula>
    </cfRule>
  </conditionalFormatting>
  <conditionalFormatting sqref="L44:L57">
    <cfRule type="cellIs" dxfId="19" priority="5" operator="greaterThan">
      <formula>0</formula>
    </cfRule>
  </conditionalFormatting>
  <conditionalFormatting sqref="N44:N57">
    <cfRule type="cellIs" dxfId="18" priority="3" operator="greaterThan">
      <formula>0</formula>
    </cfRule>
  </conditionalFormatting>
  <conditionalFormatting sqref="P44:P57">
    <cfRule type="cellIs" dxfId="17" priority="2" operator="greaterThan">
      <formula>0</formula>
    </cfRule>
  </conditionalFormatting>
  <hyperlinks>
    <hyperlink ref="B89" location="'Koneketjujen ketjutus Tieketju'!A1" display="Siirry koneketjujen ketjuun urakan laskentaan tai tekemään vertailua" xr:uid="{9AA31837-A3D9-435E-9401-72D62BAD6ACC}"/>
    <hyperlink ref="J41:J43" location="'Työpäivien lkm'!A1" display="Arvaus ajokerroista kaudella (ei pakollinen, oletus 1" xr:uid="{33A864A3-48FA-473B-A71E-256284917A19}"/>
  </hyperlinks>
  <printOptions verticalCentered="1"/>
  <pageMargins left="3.937007874015748E-2" right="3.937007874015748E-2" top="0.74803149606299213" bottom="0.74803149606299213" header="0.31496062992125984" footer="0.31496062992125984"/>
  <pageSetup paperSize="9" scale="58"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D05BA33-A740-4B90-879E-1C3FFE763576}">
          <x14:formula1>
            <xm:f>Ohjeet!$A$63:$A$68</xm:f>
          </x14:formula1>
          <xm:sqref>V25</xm:sqref>
        </x14:dataValidation>
        <x14:dataValidation type="list" allowBlank="1" showInputMessage="1" showErrorMessage="1" xr:uid="{61646359-9C16-47E7-B60F-FB3B84DA0BF5}">
          <x14:formula1>
            <xm:f>Laskentayksikot!$E$2:$E$3</xm:f>
          </x14:formula1>
          <xm:sqref>E2:F2 I2:J2 M2:N2 Q2:R2</xm:sqref>
        </x14:dataValidation>
        <x14:dataValidation type="list" allowBlank="1" showInputMessage="1" showErrorMessage="1" xr:uid="{1D816A96-0B93-4606-AB11-05385ED4200E}">
          <x14:formula1>
            <xm:f>Laskentayksikot!$E$7:$E$8</xm:f>
          </x14:formula1>
          <xm:sqref>D2</xm:sqref>
        </x14:dataValidation>
        <x14:dataValidation type="list" allowBlank="1" showInputMessage="1" showErrorMessage="1" xr:uid="{CEB1CDD5-E23A-4BB3-B32F-4A8A34FEA0E3}">
          <x14:formula1>
            <xm:f>Laskentayksikot!$B$2:$B$14</xm:f>
          </x14:formula1>
          <xm:sqref>H82:H84 H79:H80 H61:H77</xm:sqref>
        </x14:dataValidation>
        <x14:dataValidation type="list" allowBlank="1" showInputMessage="1" showErrorMessage="1" xr:uid="{9CA3532D-739A-4DF7-B111-3519AEFF914E}">
          <x14:formula1>
            <xm:f>Laskentayksikot!$E$15:$E$16</xm:f>
          </x14:formula1>
          <xm:sqref>A44:A57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78675-86A6-46BD-8D9D-C2C7B4AD2C3F}">
  <dimension ref="A1:V91"/>
  <sheetViews>
    <sheetView zoomScale="80" zoomScaleNormal="80" workbookViewId="0">
      <selection activeCell="A52" sqref="A52:E52"/>
    </sheetView>
  </sheetViews>
  <sheetFormatPr defaultRowHeight="12.75" x14ac:dyDescent="0.2"/>
  <cols>
    <col min="4" max="4" width="11.42578125" customWidth="1"/>
    <col min="5" max="5" width="10.42578125" bestFit="1" customWidth="1"/>
    <col min="6" max="6" width="11.140625" customWidth="1"/>
    <col min="7" max="7" width="14.140625" customWidth="1"/>
    <col min="8" max="8" width="28.7109375" customWidth="1"/>
    <col min="9" max="9" width="9" customWidth="1"/>
    <col min="10" max="10" width="12.5703125" customWidth="1"/>
    <col min="11" max="11" width="26.7109375" customWidth="1"/>
    <col min="12" max="12" width="13.5703125" customWidth="1"/>
    <col min="13" max="13" width="13.7109375" customWidth="1"/>
    <col min="14" max="14" width="26.28515625" customWidth="1"/>
    <col min="15" max="15" width="10.7109375" customWidth="1"/>
    <col min="16" max="16" width="14.5703125" customWidth="1"/>
    <col min="17" max="17" width="30.42578125" customWidth="1"/>
    <col min="18" max="18" width="23.42578125" customWidth="1"/>
  </cols>
  <sheetData>
    <row r="1" spans="1:22" ht="18" x14ac:dyDescent="0.25">
      <c r="A1" s="381" t="str">
        <f>A7</f>
        <v>Ketjuta ketjut: Tien hoito koneketjutus</v>
      </c>
    </row>
    <row r="3" spans="1:22" x14ac:dyDescent="0.2">
      <c r="A3" s="2" t="s">
        <v>142</v>
      </c>
      <c r="H3" s="122" t="s">
        <v>143</v>
      </c>
      <c r="I3" s="122"/>
      <c r="J3" s="122"/>
      <c r="K3" s="122" t="s">
        <v>144</v>
      </c>
      <c r="L3" s="122"/>
      <c r="M3" s="122"/>
      <c r="N3" s="122" t="s">
        <v>145</v>
      </c>
      <c r="O3" s="122"/>
      <c r="P3" s="122"/>
      <c r="Q3" s="122" t="s">
        <v>146</v>
      </c>
    </row>
    <row r="4" spans="1:22" ht="13.5" thickBot="1" x14ac:dyDescent="0.25">
      <c r="A4" s="154" t="s">
        <v>147</v>
      </c>
      <c r="H4" s="429" t="s">
        <v>148</v>
      </c>
      <c r="I4" s="122"/>
      <c r="J4" s="122"/>
      <c r="K4" s="429" t="s">
        <v>148</v>
      </c>
      <c r="L4" s="122"/>
      <c r="M4" s="122"/>
      <c r="N4" s="429" t="s">
        <v>148</v>
      </c>
      <c r="O4" s="122"/>
      <c r="P4" s="122"/>
      <c r="Q4" s="429" t="s">
        <v>148</v>
      </c>
      <c r="R4" s="122"/>
    </row>
    <row r="5" spans="1:22" ht="16.5" thickBot="1" x14ac:dyDescent="0.3">
      <c r="A5" s="154" t="s">
        <v>149</v>
      </c>
      <c r="H5" s="428" t="s">
        <v>60</v>
      </c>
      <c r="I5" s="430"/>
      <c r="J5" s="430"/>
      <c r="K5" s="428" t="s">
        <v>60</v>
      </c>
      <c r="L5" s="430"/>
      <c r="M5" s="430"/>
      <c r="N5" s="428" t="s">
        <v>62</v>
      </c>
      <c r="O5" s="430"/>
      <c r="P5" s="430"/>
      <c r="Q5" s="428" t="s">
        <v>62</v>
      </c>
      <c r="R5" s="431" t="s">
        <v>82</v>
      </c>
    </row>
    <row r="6" spans="1:22" ht="13.5" thickBot="1" x14ac:dyDescent="0.25">
      <c r="H6" s="953" t="str">
        <f>'Traktorin tuntihinta tieketju 1'!T3</f>
        <v xml:space="preserve">Kytketty koneet: Valtra Tiesarja Etuaura </v>
      </c>
      <c r="I6" s="128"/>
      <c r="J6" s="129"/>
      <c r="K6" s="954" t="str">
        <f>'Traktorin tuntihinta tieketju 2'!T3</f>
        <v xml:space="preserve">Kytketty koneet: Valtra tiesarja Tieharjauslaite </v>
      </c>
      <c r="L6" s="128"/>
      <c r="M6" s="129"/>
      <c r="N6" s="954" t="str">
        <f>'Traktorin tuntihinta tieketju 3'!T3</f>
        <v xml:space="preserve">Kytketty koneet: Valtra tiesarja Lana Ammattilaisen versio </v>
      </c>
      <c r="O6" s="128"/>
      <c r="P6" s="129"/>
      <c r="Q6" s="954" t="str">
        <f>'Traktorin tuntihinta tieketju 4'!T3</f>
        <v xml:space="preserve">Kytketty koneet: Valtra tiesarja Tienvarsiniitto kone </v>
      </c>
      <c r="R6" s="967" t="str">
        <f>IF(H5="k",H6&amp;" ","")&amp;IF(K5="k",K6&amp;" ","")&amp;IF(N5="k",N6&amp;" ","")&amp;(IF(Q5="k",Q6&amp;" ",""))</f>
        <v xml:space="preserve">Kytketty koneet: Valtra Tiesarja Etuaura  Kytketty koneet: Valtra tiesarja Tieharjauslaite  </v>
      </c>
      <c r="S6" s="968"/>
      <c r="T6" s="968"/>
      <c r="U6" s="968"/>
      <c r="V6" s="969"/>
    </row>
    <row r="7" spans="1:22" ht="15.75" thickBot="1" x14ac:dyDescent="0.3">
      <c r="A7" s="946" t="s">
        <v>555</v>
      </c>
      <c r="B7" s="947"/>
      <c r="C7" s="947"/>
      <c r="D7" s="947"/>
      <c r="E7" s="947"/>
      <c r="F7" s="947"/>
      <c r="G7" s="948"/>
      <c r="H7" s="953"/>
      <c r="I7" s="130"/>
      <c r="J7" s="131"/>
      <c r="K7" s="954"/>
      <c r="L7" s="130"/>
      <c r="M7" s="131"/>
      <c r="N7" s="954"/>
      <c r="O7" s="130"/>
      <c r="P7" s="131"/>
      <c r="Q7" s="954"/>
      <c r="R7" s="970"/>
      <c r="S7" s="971"/>
      <c r="T7" s="971"/>
      <c r="U7" s="971"/>
      <c r="V7" s="972"/>
    </row>
    <row r="8" spans="1:22" ht="13.5" thickBot="1" x14ac:dyDescent="0.25">
      <c r="H8" s="953"/>
      <c r="I8" s="132"/>
      <c r="J8" s="133"/>
      <c r="K8" s="954"/>
      <c r="L8" s="132"/>
      <c r="M8" s="133"/>
      <c r="N8" s="954"/>
      <c r="O8" s="132"/>
      <c r="P8" s="133"/>
      <c r="Q8" s="954"/>
      <c r="R8" s="973"/>
      <c r="S8" s="974"/>
      <c r="T8" s="974"/>
      <c r="U8" s="974"/>
      <c r="V8" s="975"/>
    </row>
    <row r="9" spans="1:22" hidden="1" x14ac:dyDescent="0.2">
      <c r="A9" t="str">
        <f>'Traktorin tuntihinta tieketju 1'!A4</f>
        <v>Koneen arvioitu käyttöaika</v>
      </c>
      <c r="H9" s="433"/>
      <c r="K9" s="134"/>
      <c r="N9" s="138"/>
      <c r="Q9" s="138"/>
      <c r="R9" s="432"/>
    </row>
    <row r="10" spans="1:22" hidden="1" x14ac:dyDescent="0.2">
      <c r="A10" t="str">
        <f>'Traktorin tuntihinta tieketju 1'!A5</f>
        <v>Käyttötunnit/vuosi</v>
      </c>
      <c r="H10" s="434"/>
      <c r="K10" s="136"/>
      <c r="L10" s="435"/>
      <c r="M10" s="435"/>
      <c r="N10" s="139"/>
      <c r="O10" s="435"/>
      <c r="P10" s="435"/>
      <c r="Q10" s="139"/>
      <c r="R10" s="432"/>
    </row>
    <row r="11" spans="1:22" hidden="1" x14ac:dyDescent="0.2">
      <c r="A11" t="str">
        <f>'Traktorin tuntihinta tieketju 1'!A7</f>
        <v>Koneen hankintahinta alv</v>
      </c>
      <c r="H11" s="434"/>
      <c r="K11" s="136"/>
      <c r="L11" s="435"/>
      <c r="M11" s="435"/>
      <c r="N11" s="139"/>
      <c r="O11" s="435"/>
      <c r="P11" s="435"/>
      <c r="Q11" s="139"/>
      <c r="R11" s="432"/>
    </row>
    <row r="12" spans="1:22" hidden="1" x14ac:dyDescent="0.2">
      <c r="A12" t="str">
        <f>'Traktorin tuntihinta tieketju 1'!A8</f>
        <v>ALV:n osuus</v>
      </c>
      <c r="H12" s="434"/>
      <c r="K12" s="136"/>
      <c r="L12" s="435"/>
      <c r="M12" s="435"/>
      <c r="N12" s="139"/>
      <c r="O12" s="435"/>
      <c r="P12" s="435"/>
      <c r="Q12" s="139"/>
      <c r="R12" s="432"/>
    </row>
    <row r="13" spans="1:22" hidden="1" x14ac:dyDescent="0.2">
      <c r="A13" t="str">
        <f>'Traktorin tuntihinta tieketju 1'!A9</f>
        <v>Koneen hankintahinta alv 0 % (Laskennan peruste)</v>
      </c>
      <c r="H13" s="434"/>
      <c r="K13" s="136"/>
      <c r="L13" s="435"/>
      <c r="M13" s="435"/>
      <c r="N13" s="139"/>
      <c r="O13" s="435"/>
      <c r="P13" s="435"/>
      <c r="Q13" s="139"/>
      <c r="R13" s="432"/>
    </row>
    <row r="14" spans="1:22" hidden="1" x14ac:dyDescent="0.2">
      <c r="A14" t="str">
        <f>'Traktorin tuntihinta tieketju 1'!A10</f>
        <v>Jäännösarvo (Arvio koneen arvosta se myytäessä)</v>
      </c>
      <c r="H14" s="434"/>
      <c r="K14" s="136"/>
      <c r="L14" s="435"/>
      <c r="M14" s="435"/>
      <c r="N14" s="139"/>
      <c r="O14" s="435"/>
      <c r="P14" s="435"/>
      <c r="Q14" s="139"/>
      <c r="R14" s="432"/>
    </row>
    <row r="15" spans="1:22" hidden="1" x14ac:dyDescent="0.2">
      <c r="A15" t="str">
        <f>'Traktorin tuntihinta tieketju 1'!A11</f>
        <v>Hank.hinta-jäännösarvo</v>
      </c>
      <c r="H15" s="434"/>
      <c r="K15" s="136"/>
      <c r="L15" s="435"/>
      <c r="M15" s="435"/>
      <c r="N15" s="139"/>
      <c r="O15" s="435"/>
      <c r="P15" s="435"/>
      <c r="Q15" s="139"/>
      <c r="R15" s="432"/>
    </row>
    <row r="16" spans="1:22" hidden="1" x14ac:dyDescent="0.2">
      <c r="A16" s="2" t="str">
        <f>'Traktorin tuntihinta tieketju 1'!A12</f>
        <v>Kiinteät kustannukset €/v</v>
      </c>
      <c r="H16" s="434"/>
      <c r="K16" s="136"/>
      <c r="L16" s="435"/>
      <c r="M16" s="435"/>
      <c r="N16" s="139"/>
      <c r="O16" s="435"/>
      <c r="P16" s="435"/>
      <c r="Q16" s="139"/>
      <c r="R16" s="432"/>
    </row>
    <row r="17" spans="1:18" hidden="1" x14ac:dyDescent="0.2">
      <c r="B17" t="str">
        <f>'Traktorin tuntihinta tieketju 1'!B13</f>
        <v>Poisto ja korko yhteensä</v>
      </c>
      <c r="H17" s="436">
        <f>IF($H$5="K",'Traktorin tuntihinta tieketju 1'!T13,0)</f>
        <v>12749.003984063746</v>
      </c>
      <c r="I17" s="435"/>
      <c r="J17" s="435"/>
      <c r="K17" s="136">
        <f>IF($K$5="K",'Traktorin tuntihinta tieketju 2'!T15,0)</f>
        <v>9960.1593625498008</v>
      </c>
      <c r="L17" s="435"/>
      <c r="M17" s="435"/>
      <c r="N17" s="139">
        <f>IF($N$5="K",'Traktorin tuntihinta tieketju 3'!$T15,0)</f>
        <v>0</v>
      </c>
      <c r="O17" s="435"/>
      <c r="P17" s="435"/>
      <c r="Q17" s="139">
        <f>IF($Q$5="K",'Traktorin tuntihinta tieketju 4'!$T15,0)</f>
        <v>0</v>
      </c>
      <c r="R17" s="437">
        <f t="shared" ref="R17:R43" si="0">SUM(H17:Q17)</f>
        <v>22709.163346613546</v>
      </c>
    </row>
    <row r="18" spans="1:18" hidden="1" x14ac:dyDescent="0.2">
      <c r="B18" t="str">
        <f>'Traktorin tuntihinta tieketju 1'!B14</f>
        <v>Korko</v>
      </c>
      <c r="H18" s="436">
        <f>IF($H$5="K",'Traktorin tuntihinta tieketju 1'!T14,0)</f>
        <v>2788.8446215139443</v>
      </c>
      <c r="I18" s="435"/>
      <c r="J18" s="435"/>
      <c r="K18" s="136">
        <f>IF($K$5="K",'Traktorin tuntihinta tieketju 2'!T16,0)</f>
        <v>0</v>
      </c>
      <c r="L18" s="435"/>
      <c r="M18" s="435"/>
      <c r="N18" s="139">
        <f>IF($N$5="K",'Traktorin tuntihinta tieketju 3'!$T16,0)</f>
        <v>0</v>
      </c>
      <c r="O18" s="435"/>
      <c r="P18" s="435"/>
      <c r="Q18" s="139">
        <f>IF($Q$5="K",'Traktorin tuntihinta tieketju 4'!$T16,0)</f>
        <v>0</v>
      </c>
      <c r="R18" s="437">
        <f t="shared" si="0"/>
        <v>2788.8446215139443</v>
      </c>
    </row>
    <row r="19" spans="1:18" hidden="1" x14ac:dyDescent="0.2">
      <c r="B19" t="str">
        <f>'Traktorin tuntihinta tieketju 1'!B15</f>
        <v>Poisto</v>
      </c>
      <c r="H19" s="436">
        <f>IF($H$5="K",'Traktorin tuntihinta tieketju 1'!T15,0)</f>
        <v>9960.1593625498008</v>
      </c>
      <c r="I19" s="435"/>
      <c r="J19" s="435"/>
      <c r="K19" s="136">
        <f>IF($K$5="K",'Traktorin tuntihinta tieketju 2'!T17,0)</f>
        <v>240</v>
      </c>
      <c r="L19" s="435"/>
      <c r="M19" s="435"/>
      <c r="N19" s="139">
        <f>IF($N$5="K",'Traktorin tuntihinta tieketju 3'!$T17,0)</f>
        <v>0</v>
      </c>
      <c r="O19" s="435"/>
      <c r="P19" s="435"/>
      <c r="Q19" s="139">
        <f>IF($Q$5="K",'Traktorin tuntihinta tieketju 4'!$T17,0)</f>
        <v>0</v>
      </c>
      <c r="R19" s="437">
        <f t="shared" si="0"/>
        <v>10200.159362549801</v>
      </c>
    </row>
    <row r="20" spans="1:18" hidden="1" x14ac:dyDescent="0.2">
      <c r="H20" s="436">
        <f>IF($H$5="K",'Traktorin tuntihinta tieketju 1'!T16,0)</f>
        <v>0</v>
      </c>
      <c r="I20" s="435"/>
      <c r="J20" s="435"/>
      <c r="K20" s="136">
        <f>IF($K$5="K",'Traktorin tuntihinta tieketju 2'!T18,0)</f>
        <v>1000</v>
      </c>
      <c r="L20" s="435"/>
      <c r="M20" s="435"/>
      <c r="N20" s="139">
        <f>IF($N$5="K",'Traktorin tuntihinta tieketju 3'!$T18,0)</f>
        <v>0</v>
      </c>
      <c r="O20" s="435"/>
      <c r="P20" s="435"/>
      <c r="Q20" s="139">
        <f>IF($Q$5="K",'Traktorin tuntihinta tieketju 4'!$T18,0)</f>
        <v>0</v>
      </c>
      <c r="R20" s="437">
        <f t="shared" si="0"/>
        <v>1000</v>
      </c>
    </row>
    <row r="21" spans="1:18" hidden="1" x14ac:dyDescent="0.2">
      <c r="B21" t="str">
        <f>'Traktorin tuntihinta tieketju 1'!B17</f>
        <v>Liikennevakuutus €/v</v>
      </c>
      <c r="H21" s="436">
        <f>IF($H$5="K",'Traktorin tuntihinta tieketju 1'!T17,0)</f>
        <v>240</v>
      </c>
      <c r="I21" s="435"/>
      <c r="J21" s="435"/>
      <c r="K21" s="136">
        <f>IF($K$5="K",'Traktorin tuntihinta tieketju 2'!T19,0)</f>
        <v>0</v>
      </c>
      <c r="L21" s="435"/>
      <c r="M21" s="435"/>
      <c r="N21" s="139">
        <f>IF($N$5="K",'Traktorin tuntihinta tieketju 3'!$T19,0)</f>
        <v>0</v>
      </c>
      <c r="O21" s="435"/>
      <c r="P21" s="435"/>
      <c r="Q21" s="139">
        <f>IF($Q$5="K",'Traktorin tuntihinta tieketju 4'!$T19,0)</f>
        <v>0</v>
      </c>
      <c r="R21" s="437">
        <f t="shared" si="0"/>
        <v>240</v>
      </c>
    </row>
    <row r="22" spans="1:18" hidden="1" x14ac:dyDescent="0.2">
      <c r="B22" t="str">
        <f>'Traktorin tuntihinta tieketju 1'!B18</f>
        <v>Vahinkovakuutus Kasko (Osakasko:Palo- ja varkausvakuutus) €/v</v>
      </c>
      <c r="H22" s="436">
        <f>IF($H$5="K",'Traktorin tuntihinta tieketju 1'!T18,0)</f>
        <v>1000</v>
      </c>
      <c r="I22" s="435"/>
      <c r="J22" s="435"/>
      <c r="K22" s="136">
        <f>IF($K$5="K",'Traktorin tuntihinta tieketju 2'!T20,0)</f>
        <v>0</v>
      </c>
      <c r="L22" s="435"/>
      <c r="M22" s="435"/>
      <c r="N22" s="139">
        <f>IF($N$5="K",'Traktorin tuntihinta tieketju 3'!$T20,0)</f>
        <v>0</v>
      </c>
      <c r="O22" s="435"/>
      <c r="P22" s="435"/>
      <c r="Q22" s="139">
        <f>IF($Q$5="K",'Traktorin tuntihinta tieketju 4'!$T20,0)</f>
        <v>0</v>
      </c>
      <c r="R22" s="437">
        <f t="shared" si="0"/>
        <v>1000</v>
      </c>
    </row>
    <row r="23" spans="1:18" hidden="1" x14ac:dyDescent="0.2">
      <c r="B23" t="str">
        <f>'Traktorin tuntihinta tieketju 1'!B19</f>
        <v>Muut</v>
      </c>
      <c r="H23" s="436">
        <f>IF($H$5="K",'Traktorin tuntihinta tieketju 1'!T19,0)</f>
        <v>0</v>
      </c>
      <c r="I23" s="435"/>
      <c r="J23" s="435"/>
      <c r="K23" s="136">
        <f>IF($K$5="K",'Traktorin tuntihinta tieketju 2'!T21,0)</f>
        <v>334.66135458167332</v>
      </c>
      <c r="L23" s="435"/>
      <c r="M23" s="435"/>
      <c r="N23" s="139">
        <f>IF($N$5="K",'Traktorin tuntihinta tieketju 3'!$T21,0)</f>
        <v>0</v>
      </c>
      <c r="O23" s="435"/>
      <c r="P23" s="435"/>
      <c r="Q23" s="139">
        <f>IF($Q$5="K",'Traktorin tuntihinta tieketju 4'!$T21,0)</f>
        <v>0</v>
      </c>
      <c r="R23" s="437">
        <f t="shared" si="0"/>
        <v>334.66135458167332</v>
      </c>
    </row>
    <row r="24" spans="1:18" hidden="1" x14ac:dyDescent="0.2">
      <c r="H24" s="436">
        <f>IF($H$5="K",'Traktorin tuntihinta tieketju 1'!T20,0)</f>
        <v>0</v>
      </c>
      <c r="I24" s="435"/>
      <c r="J24" s="435"/>
      <c r="K24" s="136">
        <f>IF($K$5="K",'Traktorin tuntihinta tieketju 2'!T22,0)</f>
        <v>14323.665338645418</v>
      </c>
      <c r="L24" s="435"/>
      <c r="M24" s="435"/>
      <c r="N24" s="139">
        <f>IF($N$5="K",'Traktorin tuntihinta tieketju 3'!$T22,0)</f>
        <v>0</v>
      </c>
      <c r="O24" s="435"/>
      <c r="P24" s="435"/>
      <c r="Q24" s="139">
        <f>IF($Q$5="K",'Traktorin tuntihinta tieketju 4'!$T22,0)</f>
        <v>0</v>
      </c>
      <c r="R24" s="437">
        <f t="shared" si="0"/>
        <v>14323.665338645418</v>
      </c>
    </row>
    <row r="25" spans="1:18" hidden="1" x14ac:dyDescent="0.2">
      <c r="B25" t="str">
        <f>'Traktorin tuntihinta tieketju 1'!B21</f>
        <v>Säilytyskustannus</v>
      </c>
      <c r="H25" s="436">
        <f>IF($H$5="K",'Traktorin tuntihinta tieketju 1'!T21,0)</f>
        <v>334.66135458167332</v>
      </c>
      <c r="I25" s="435"/>
      <c r="J25" s="435"/>
      <c r="K25" s="136">
        <f>IF($K$5="K",'Traktorin tuntihinta tieketju 2'!T23,0)</f>
        <v>0</v>
      </c>
      <c r="L25" s="435"/>
      <c r="M25" s="435"/>
      <c r="N25" s="139">
        <f>IF($N$5="K",'Traktorin tuntihinta tieketju 3'!$T23,0)</f>
        <v>0</v>
      </c>
      <c r="O25" s="435"/>
      <c r="P25" s="435"/>
      <c r="Q25" s="139">
        <f>IF($Q$5="K",'Traktorin tuntihinta tieketju 4'!$T23,0)</f>
        <v>0</v>
      </c>
      <c r="R25" s="437">
        <f t="shared" si="0"/>
        <v>334.66135458167332</v>
      </c>
    </row>
    <row r="26" spans="1:18" hidden="1" x14ac:dyDescent="0.2">
      <c r="B26" s="2" t="str">
        <f>'Traktorin tuntihinta tieketju 1'!B22</f>
        <v>Kiinteät kustannukset yhteensä vuodessa</v>
      </c>
      <c r="C26" s="2"/>
      <c r="D26" s="2"/>
      <c r="E26" s="2"/>
      <c r="F26" s="2"/>
      <c r="G26" s="2"/>
      <c r="H26" s="436">
        <f>IF($H$5="K",'Traktorin tuntihinta tieketju 1'!T22,0)</f>
        <v>14323.665338645418</v>
      </c>
      <c r="I26" s="438"/>
      <c r="J26" s="438"/>
      <c r="K26" s="136">
        <f>IF($K$5="K",'Traktorin tuntihinta tieketju 2'!T24,0)</f>
        <v>3500</v>
      </c>
      <c r="L26" s="438"/>
      <c r="M26" s="438"/>
      <c r="N26" s="139">
        <f>IF($N$5="K",'Traktorin tuntihinta tieketju 3'!$T24,0)</f>
        <v>0</v>
      </c>
      <c r="O26" s="438"/>
      <c r="P26" s="438"/>
      <c r="Q26" s="139">
        <f>IF($Q$5="K",'Traktorin tuntihinta tieketju 4'!$T24,0)</f>
        <v>0</v>
      </c>
      <c r="R26" s="437">
        <f t="shared" si="0"/>
        <v>17823.66533864542</v>
      </c>
    </row>
    <row r="27" spans="1:18" hidden="1" x14ac:dyDescent="0.2">
      <c r="A27" s="2" t="str">
        <f>'Traktorin tuntihinta tieketju 1'!A23</f>
        <v>Muuttuvat kustannukset €/v</v>
      </c>
      <c r="H27" s="436">
        <f>IF($H$5="K",'Traktorin tuntihinta tieketju 1'!T23,0)</f>
        <v>0</v>
      </c>
      <c r="I27" s="435"/>
      <c r="J27" s="435"/>
      <c r="K27" s="136">
        <f>IF($K$5="K",'Traktorin tuntihinta tieketju 2'!T25,0)</f>
        <v>36720</v>
      </c>
      <c r="L27" s="435"/>
      <c r="M27" s="435"/>
      <c r="N27" s="139">
        <f>IF($N$5="K",'Traktorin tuntihinta tieketju 3'!$T25,0)</f>
        <v>0</v>
      </c>
      <c r="O27" s="435"/>
      <c r="P27" s="435"/>
      <c r="Q27" s="139">
        <f>IF($Q$5="K",'Traktorin tuntihinta tieketju 4'!$T25,0)</f>
        <v>0</v>
      </c>
      <c r="R27" s="437">
        <f t="shared" si="0"/>
        <v>36720</v>
      </c>
    </row>
    <row r="28" spans="1:18" hidden="1" x14ac:dyDescent="0.2">
      <c r="B28" t="str">
        <f>'Traktorin tuntihinta tieketju 1'!B24</f>
        <v>Kunnossapitokustannus €/v</v>
      </c>
      <c r="H28" s="436">
        <f>IF($H$5="K",'Traktorin tuntihinta tieketju 1'!T24,0)</f>
        <v>3300</v>
      </c>
      <c r="I28" s="435"/>
      <c r="J28" s="435"/>
      <c r="K28" s="136">
        <f>IF($K$5="K",'Traktorin tuntihinta tieketju 2'!T26,0)</f>
        <v>0</v>
      </c>
      <c r="L28" s="435"/>
      <c r="M28" s="435"/>
      <c r="N28" s="139">
        <f>IF($N$5="K",'Traktorin tuntihinta tieketju 3'!$T26,0)</f>
        <v>0</v>
      </c>
      <c r="O28" s="435"/>
      <c r="P28" s="435"/>
      <c r="Q28" s="139">
        <f>IF($Q$5="K",'Traktorin tuntihinta tieketju 4'!$T26,0)</f>
        <v>0</v>
      </c>
      <c r="R28" s="437">
        <f t="shared" si="0"/>
        <v>3300</v>
      </c>
    </row>
    <row r="29" spans="1:18" hidden="1" x14ac:dyDescent="0.2">
      <c r="B29" t="str">
        <f>'Traktorin tuntihinta tieketju 1'!B25</f>
        <v>Polttoaineen kulutus l/h hinta/l</v>
      </c>
      <c r="H29" s="436">
        <f>IF($H$5="K",'Traktorin tuntihinta tieketju 1'!T25,0)</f>
        <v>37800</v>
      </c>
      <c r="I29" s="435"/>
      <c r="J29" s="435"/>
      <c r="K29" s="136">
        <f>IF($K$5="K",'Traktorin tuntihinta tieketju 2'!T27,0)</f>
        <v>1680.2800000000002</v>
      </c>
      <c r="L29" s="435"/>
      <c r="M29" s="435"/>
      <c r="N29" s="139">
        <f>IF($N$5="K",'Traktorin tuntihinta tieketju 3'!$T27,0)</f>
        <v>0</v>
      </c>
      <c r="O29" s="435"/>
      <c r="P29" s="435"/>
      <c r="Q29" s="139">
        <f>IF($Q$5="K",'Traktorin tuntihinta tieketju 4'!$T27,0)</f>
        <v>0</v>
      </c>
      <c r="R29" s="437">
        <f t="shared" si="0"/>
        <v>39480.28</v>
      </c>
    </row>
    <row r="30" spans="1:18" hidden="1" x14ac:dyDescent="0.2">
      <c r="B30" t="str">
        <f>'Traktorin tuntihinta tieketju 1'!B26</f>
        <v>Lisäaine</v>
      </c>
      <c r="H30" s="436">
        <f>IF($H$5="K",'Traktorin tuntihinta tieketju 1'!T26,0)</f>
        <v>0</v>
      </c>
      <c r="I30" s="435"/>
      <c r="J30" s="435"/>
      <c r="K30" s="136">
        <f>IF($K$5="K",'Traktorin tuntihinta tieketju 2'!T28,0)</f>
        <v>2000</v>
      </c>
      <c r="L30" s="435"/>
      <c r="M30" s="435"/>
      <c r="N30" s="139">
        <f>IF($N$5="K",'Traktorin tuntihinta tieketju 3'!$T28,0)</f>
        <v>0</v>
      </c>
      <c r="O30" s="435"/>
      <c r="P30" s="435"/>
      <c r="Q30" s="139">
        <f>IF($Q$5="K",'Traktorin tuntihinta tieketju 4'!$T28,0)</f>
        <v>0</v>
      </c>
      <c r="R30" s="437">
        <f t="shared" si="0"/>
        <v>2000</v>
      </c>
    </row>
    <row r="31" spans="1:18" hidden="1" x14ac:dyDescent="0.2">
      <c r="B31" t="str">
        <f>'Traktorin tuntihinta tieketju 1'!B27</f>
        <v>AdBlue</v>
      </c>
      <c r="H31" s="436">
        <f>IF($H$5="K",'Traktorin tuntihinta tieketju 1'!T27,0)</f>
        <v>1680.2800000000002</v>
      </c>
      <c r="I31" s="435"/>
      <c r="J31" s="435"/>
      <c r="K31" s="136">
        <f>IF($K$5="K",'Traktorin tuntihinta tieketju 2'!T29,0)</f>
        <v>0</v>
      </c>
      <c r="L31" s="435"/>
      <c r="M31" s="435"/>
      <c r="N31" s="139">
        <f>IF($N$5="K",'Traktorin tuntihinta tieketju 3'!$T29,0)</f>
        <v>0</v>
      </c>
      <c r="O31" s="435"/>
      <c r="P31" s="435"/>
      <c r="Q31" s="139">
        <f>IF($Q$5="K",'Traktorin tuntihinta tieketju 4'!$T29,0)</f>
        <v>0</v>
      </c>
      <c r="R31" s="437">
        <f t="shared" si="0"/>
        <v>1680.2800000000002</v>
      </c>
    </row>
    <row r="32" spans="1:18" hidden="1" x14ac:dyDescent="0.2">
      <c r="B32" t="str">
        <f>'Traktorin tuntihinta tieketju 1'!B28</f>
        <v>Muut:</v>
      </c>
      <c r="H32" s="436">
        <f>IF($H$5="K",'Traktorin tuntihinta tieketju 1'!T28,0)</f>
        <v>2000</v>
      </c>
      <c r="I32" s="435"/>
      <c r="J32" s="435"/>
      <c r="K32" s="136">
        <f>IF($K$5="K",'Traktorin tuntihinta tieketju 2'!T30,0)</f>
        <v>43900.28</v>
      </c>
      <c r="L32" s="435"/>
      <c r="M32" s="435"/>
      <c r="N32" s="139">
        <f>IF($N$5="K",'Traktorin tuntihinta tieketju 3'!$T30,0)</f>
        <v>0</v>
      </c>
      <c r="O32" s="435"/>
      <c r="P32" s="435"/>
      <c r="Q32" s="139">
        <f>IF($Q$5="K",'Traktorin tuntihinta tieketju 4'!$T30,0)</f>
        <v>0</v>
      </c>
      <c r="R32" s="437">
        <f t="shared" si="0"/>
        <v>45900.28</v>
      </c>
    </row>
    <row r="33" spans="1:19" hidden="1" x14ac:dyDescent="0.2">
      <c r="B33" t="str">
        <f>'Traktorin tuntihinta tieketju 1'!B29</f>
        <v>Muut:</v>
      </c>
      <c r="H33" s="436">
        <f>IF($H$5="K",'Traktorin tuntihinta tieketju 1'!T29,0)</f>
        <v>0</v>
      </c>
      <c r="I33" s="435"/>
      <c r="J33" s="435"/>
      <c r="K33" s="136">
        <f>IF($K$5="K",'Traktorin tuntihinta tieketju 2'!T31,0)</f>
        <v>58223.945338645412</v>
      </c>
      <c r="L33" s="435"/>
      <c r="M33" s="435"/>
      <c r="N33" s="139">
        <f>IF($N$5="K",'Traktorin tuntihinta tieketju 3'!$T31,0)</f>
        <v>0</v>
      </c>
      <c r="O33" s="435"/>
      <c r="P33" s="435"/>
      <c r="Q33" s="139">
        <f>IF($Q$5="K",'Traktorin tuntihinta tieketju 4'!$T31,0)</f>
        <v>0</v>
      </c>
      <c r="R33" s="437">
        <f t="shared" si="0"/>
        <v>58223.945338645412</v>
      </c>
    </row>
    <row r="34" spans="1:19" hidden="1" x14ac:dyDescent="0.2">
      <c r="B34" s="2" t="str">
        <f>'Traktorin tuntihinta tieketju 1'!B30</f>
        <v>Muuttuvat kustannukset/vuosi</v>
      </c>
      <c r="C34" s="2"/>
      <c r="D34" s="2"/>
      <c r="E34" s="2"/>
      <c r="F34" s="2"/>
      <c r="G34" s="2"/>
      <c r="H34" s="436">
        <f>IF($H$5="K",'Traktorin tuntihinta tieketju 1'!T30,0)</f>
        <v>44780.28</v>
      </c>
      <c r="I34" s="438"/>
      <c r="J34" s="438"/>
      <c r="K34" s="136">
        <f>IF($K$5="K",'Traktorin tuntihinta tieketju 2'!T32,0)</f>
        <v>0</v>
      </c>
      <c r="L34" s="438"/>
      <c r="M34" s="438"/>
      <c r="N34" s="139">
        <f>IF($N$5="K",'Traktorin tuntihinta tieketju 3'!$T32,0)</f>
        <v>0</v>
      </c>
      <c r="O34" s="438"/>
      <c r="P34" s="438"/>
      <c r="Q34" s="139">
        <f>IF($Q$5="K",'Traktorin tuntihinta tieketju 4'!$T32,0)</f>
        <v>0</v>
      </c>
      <c r="R34" s="437">
        <f t="shared" si="0"/>
        <v>44780.28</v>
      </c>
    </row>
    <row r="35" spans="1:19" x14ac:dyDescent="0.2">
      <c r="A35" s="2" t="str">
        <f>'Traktorin tuntihinta tieketju 1'!A31</f>
        <v>Kustannukset yhteensä (kiinteät ja muuttuvat kustannukset) €/v</v>
      </c>
      <c r="B35" s="2"/>
      <c r="C35" s="2"/>
      <c r="D35" s="2"/>
      <c r="E35" s="2"/>
      <c r="F35" s="2"/>
      <c r="G35" s="2"/>
      <c r="H35" s="436">
        <f>IF($H$5="K",'Traktorin tuntihinta tieketju 1'!T31,0)</f>
        <v>59103.945338645412</v>
      </c>
      <c r="I35" s="438"/>
      <c r="J35" s="438"/>
      <c r="K35" s="136">
        <f>IF($K$5="K",'Traktorin tuntihinta tieketju 2'!T33,0)</f>
        <v>78.258863804043074</v>
      </c>
      <c r="L35" s="438"/>
      <c r="M35" s="438"/>
      <c r="N35" s="139">
        <f>IF($N$5="K",'Traktorin tuntihinta tieketju 3'!$T33,0)</f>
        <v>0</v>
      </c>
      <c r="O35" s="438"/>
      <c r="P35" s="438"/>
      <c r="Q35" s="139">
        <f>IF($Q$5="K",'Traktorin tuntihinta tieketju 4'!$T33,0)</f>
        <v>0</v>
      </c>
      <c r="R35" s="437">
        <f t="shared" si="0"/>
        <v>59182.204202449451</v>
      </c>
    </row>
    <row r="36" spans="1:19" hidden="1" x14ac:dyDescent="0.2">
      <c r="H36" s="436">
        <f>IF($H$5="K",'Traktorin tuntihinta tieketju 1'!T32,0)</f>
        <v>0</v>
      </c>
      <c r="I36" s="435"/>
      <c r="J36" s="435"/>
      <c r="K36" s="136">
        <f>IF($K$5="K",'Traktorin tuntihinta tieketju 2'!T34,0)</f>
        <v>13.810387730125257</v>
      </c>
      <c r="L36" s="435"/>
      <c r="M36" s="435"/>
      <c r="N36" s="139">
        <f>IF($N$5="K",'Traktorin tuntihinta tieketju 3'!$T34,0)</f>
        <v>0</v>
      </c>
      <c r="O36" s="435"/>
      <c r="P36" s="435"/>
      <c r="Q36" s="139">
        <f>IF($Q$5="K",'Traktorin tuntihinta tieketju 4'!$T34,0)</f>
        <v>0</v>
      </c>
      <c r="R36" s="437">
        <f t="shared" si="0"/>
        <v>13.810387730125257</v>
      </c>
    </row>
    <row r="37" spans="1:19" x14ac:dyDescent="0.2">
      <c r="A37" t="str">
        <f>'Traktorin tuntihinta tieketju 1'!A33</f>
        <v>Koneen työtunnin hinta (yrittäjän oma hinta)</v>
      </c>
      <c r="H37" s="436">
        <f>IF($H$5="K",'Traktorin tuntihinta tieketju 1'!T33,0)</f>
        <v>58.415195219123504</v>
      </c>
      <c r="I37" s="435"/>
      <c r="J37" s="435"/>
      <c r="K37" s="136">
        <f>IF($K$5="K",'Traktorin tuntihinta tieketju 2'!T35,0)</f>
        <v>25</v>
      </c>
      <c r="L37" s="435"/>
      <c r="M37" s="435"/>
      <c r="N37" s="139">
        <f>IF($N$5="K",'Traktorin tuntihinta tieketju 3'!$T35,0)</f>
        <v>0</v>
      </c>
      <c r="O37" s="435"/>
      <c r="P37" s="435"/>
      <c r="Q37" s="139">
        <f>IF($Q$5="K",'Traktorin tuntihinta tieketju 4'!$T35,0)</f>
        <v>0</v>
      </c>
      <c r="R37" s="437">
        <f t="shared" si="0"/>
        <v>83.415195219123504</v>
      </c>
    </row>
    <row r="38" spans="1:19" x14ac:dyDescent="0.2">
      <c r="B38" t="str">
        <f>'Traktorin tuntihinta tieketju 1'!B34</f>
        <v>Voitto %</v>
      </c>
      <c r="H38" s="436">
        <f>IF($H$5="K",'Traktorin tuntihinta tieketju 1'!T34,0)</f>
        <v>14.603798804780872</v>
      </c>
      <c r="I38" s="435"/>
      <c r="J38" s="435"/>
      <c r="K38" s="136">
        <f>IF($K$5="K",'Traktorin tuntihinta tieketju 2'!T36,0)</f>
        <v>117.06925153416833</v>
      </c>
      <c r="L38" s="435"/>
      <c r="M38" s="435"/>
      <c r="N38" s="139">
        <f>IF($N$5="K",'Traktorin tuntihinta tieketju 3'!$T36,0)</f>
        <v>0</v>
      </c>
      <c r="O38" s="435"/>
      <c r="P38" s="435"/>
      <c r="Q38" s="139">
        <f>IF($Q$5="K",'Traktorin tuntihinta tieketju 4'!$T36,0)</f>
        <v>0</v>
      </c>
      <c r="R38" s="437">
        <f t="shared" si="0"/>
        <v>131.6730503389492</v>
      </c>
    </row>
    <row r="39" spans="1:19" ht="13.5" thickBot="1" x14ac:dyDescent="0.25">
      <c r="B39" t="str">
        <f>'Traktorin tuntihinta tieketju 1'!B35</f>
        <v>Ajajan palkka</v>
      </c>
      <c r="H39" s="436">
        <f>IF($H$5="K",'Traktorin tuntihinta tieketju 1'!T35,0)</f>
        <v>25</v>
      </c>
      <c r="I39" s="435"/>
      <c r="J39" s="435"/>
      <c r="K39" s="136">
        <f>IF($K$5="K",'Traktorin tuntihinta tieketju 2'!T37,0)</f>
        <v>29.852659141212925</v>
      </c>
      <c r="L39" s="435"/>
      <c r="M39" s="435"/>
      <c r="N39" s="139">
        <f>IF($N$5="K",'Traktorin tuntihinta tieketju 3'!$T37,0)</f>
        <v>0</v>
      </c>
      <c r="O39" s="435"/>
      <c r="P39" s="435"/>
      <c r="Q39" s="139">
        <f>IF($Q$5="K",'Traktorin tuntihinta tieketju 4'!$T37,0)</f>
        <v>0</v>
      </c>
      <c r="R39" s="437">
        <f t="shared" si="0"/>
        <v>54.852659141212925</v>
      </c>
    </row>
    <row r="40" spans="1:19" ht="15.75" thickBot="1" x14ac:dyDescent="0.3">
      <c r="A40" s="536"/>
      <c r="B40" s="537" t="str">
        <f>'Traktorin tuntihinta tieketju 1'!B36</f>
        <v>Yhteensä (hinta alv 0%)</v>
      </c>
      <c r="C40" s="537"/>
      <c r="D40" s="537"/>
      <c r="E40" s="537"/>
      <c r="F40" s="537"/>
      <c r="G40" s="537"/>
      <c r="H40" s="538">
        <f>IF($H$5="K",'Traktorin tuntihinta tieketju 1'!T36,0)</f>
        <v>98.018994023904384</v>
      </c>
      <c r="I40" s="539"/>
      <c r="J40" s="539"/>
      <c r="K40" s="540">
        <f>IF($K$5="K",'Traktorin tuntihinta tieketju 2'!T36,0)</f>
        <v>117.06925153416833</v>
      </c>
      <c r="L40" s="539"/>
      <c r="M40" s="539"/>
      <c r="N40" s="541">
        <f>IF($N$5="K",'Traktorin tuntihinta tieketju 3'!$T36,0)</f>
        <v>0</v>
      </c>
      <c r="O40" s="539"/>
      <c r="P40" s="539"/>
      <c r="Q40" s="541">
        <f>IF($Q$5="K",'Traktorin tuntihinta tieketju 4'!$T36,0)</f>
        <v>0</v>
      </c>
      <c r="R40" s="542">
        <f t="shared" si="0"/>
        <v>215.08824555807271</v>
      </c>
    </row>
    <row r="41" spans="1:19" ht="15" x14ac:dyDescent="0.25">
      <c r="B41" t="str">
        <f>'Traktorin tuntihinta tieketju 1'!B37</f>
        <v>Alv</v>
      </c>
      <c r="H41" s="436">
        <f>IF($H$5="K",'Traktorin tuntihinta tieketju 1'!T37,0)</f>
        <v>24.994843476095618</v>
      </c>
      <c r="I41" s="489"/>
      <c r="J41" s="489"/>
      <c r="K41" s="136">
        <f>IF($K$5="K",'Traktorin tuntihinta tieketju 2'!T37,0)</f>
        <v>29.852659141212925</v>
      </c>
      <c r="L41" s="435"/>
      <c r="M41" s="435"/>
      <c r="N41" s="139">
        <f>IF($N$5="K",'Traktorin tuntihinta tieketju 3'!$T37,0)</f>
        <v>0</v>
      </c>
      <c r="O41" s="435"/>
      <c r="P41" s="435"/>
      <c r="Q41" s="139">
        <f>IF($Q$5="K",'Traktorin tuntihinta tieketju 4'!$T37,0)</f>
        <v>0</v>
      </c>
      <c r="R41" s="437">
        <f t="shared" si="0"/>
        <v>54.847502617308542</v>
      </c>
    </row>
    <row r="42" spans="1:19" ht="15.75" thickBot="1" x14ac:dyDescent="0.3">
      <c r="B42" s="2" t="str">
        <f>'Traktorin tuntihinta tieketju 1'!B38</f>
        <v>Yhteensä (asiakkaalta perittävä hinta)</v>
      </c>
      <c r="H42" s="523">
        <f>IF($H$5="K",'Traktorin tuntihinta tieketju 1'!T38,0)</f>
        <v>123.01383750000001</v>
      </c>
      <c r="I42" s="489"/>
      <c r="J42" s="489"/>
      <c r="K42" s="524">
        <f>IF($K$5="K",'Traktorin tuntihinta tieketju 2'!T38,0)</f>
        <v>146.92191067538124</v>
      </c>
      <c r="L42" s="486"/>
      <c r="M42" s="486"/>
      <c r="N42" s="487">
        <f>IF($N$5="K",'Traktorin tuntihinta tieketju 3'!$T38,0)</f>
        <v>0</v>
      </c>
      <c r="O42" s="486"/>
      <c r="P42" s="486"/>
      <c r="Q42" s="487">
        <f>IF($Q$5="K",'Traktorin tuntihinta tieketju 4'!$T38,0)</f>
        <v>0</v>
      </c>
      <c r="R42" s="488">
        <f t="shared" si="0"/>
        <v>269.93574817538126</v>
      </c>
    </row>
    <row r="43" spans="1:19" ht="13.5" thickBot="1" x14ac:dyDescent="0.25">
      <c r="A43" s="475" t="s">
        <v>151</v>
      </c>
      <c r="B43" s="535"/>
      <c r="C43" s="535"/>
      <c r="D43" s="535"/>
      <c r="E43" s="535"/>
      <c r="F43" s="535"/>
      <c r="G43" s="535"/>
      <c r="H43" s="515">
        <f>IF(H5="K",'Traktorin tuntihinta tieketju 1'!AA26,0)</f>
        <v>35.28</v>
      </c>
      <c r="I43" s="424"/>
      <c r="J43" s="424"/>
      <c r="K43" s="515">
        <f>IF($K$5="K",'Traktorin tuntihinta tieketju 2'!Z26,0)</f>
        <v>37.858604651162793</v>
      </c>
      <c r="L43" s="424"/>
      <c r="M43" s="424"/>
      <c r="N43" s="532">
        <f>IF($N$5="K",'Traktorin tuntihinta tieketju 3'!Z26,0)</f>
        <v>0</v>
      </c>
      <c r="O43" s="533"/>
      <c r="P43" s="534"/>
      <c r="Q43" s="515">
        <f>IF($Q$5="K",'Traktorin tuntihinta tieketju 4'!Z26,0)</f>
        <v>0</v>
      </c>
      <c r="R43" s="515">
        <f t="shared" si="0"/>
        <v>73.138604651162794</v>
      </c>
    </row>
    <row r="44" spans="1:19" x14ac:dyDescent="0.2">
      <c r="A44" s="443"/>
      <c r="B44" s="14"/>
      <c r="C44" s="14"/>
      <c r="D44" s="14"/>
      <c r="E44" s="14"/>
      <c r="F44" s="949" t="s">
        <v>152</v>
      </c>
      <c r="G44" s="950"/>
      <c r="H44" s="445"/>
      <c r="I44" s="949" t="s">
        <v>153</v>
      </c>
      <c r="J44" s="955"/>
      <c r="K44" s="462"/>
      <c r="L44" s="949" t="s">
        <v>154</v>
      </c>
      <c r="M44" s="950"/>
      <c r="N44" s="443"/>
      <c r="O44" s="949" t="s">
        <v>155</v>
      </c>
      <c r="P44" s="955"/>
      <c r="Q44" s="445"/>
      <c r="R44" s="447">
        <f>SUM(H44:N44)</f>
        <v>0</v>
      </c>
    </row>
    <row r="45" spans="1:19" ht="15.75" thickBot="1" x14ac:dyDescent="0.25">
      <c r="A45" s="314" t="s">
        <v>156</v>
      </c>
      <c r="E45" s="122"/>
      <c r="F45" s="441" t="s">
        <v>157</v>
      </c>
      <c r="G45" s="122" t="s">
        <v>158</v>
      </c>
      <c r="H45" s="574"/>
      <c r="I45" s="441" t="s">
        <v>157</v>
      </c>
      <c r="J45" s="448" t="s">
        <v>158</v>
      </c>
      <c r="K45" s="517"/>
      <c r="L45" s="441" t="s">
        <v>157</v>
      </c>
      <c r="M45" s="122" t="s">
        <v>158</v>
      </c>
      <c r="N45" s="251"/>
      <c r="O45" s="441" t="s">
        <v>157</v>
      </c>
      <c r="P45" s="448" t="s">
        <v>158</v>
      </c>
      <c r="Q45" s="574"/>
      <c r="R45" s="448" t="s">
        <v>82</v>
      </c>
      <c r="S45" s="509" t="s">
        <v>158</v>
      </c>
    </row>
    <row r="46" spans="1:19" ht="15" customHeight="1" x14ac:dyDescent="0.2">
      <c r="A46" s="938" t="s">
        <v>161</v>
      </c>
      <c r="B46" s="939"/>
      <c r="C46" s="939"/>
      <c r="D46" s="939"/>
      <c r="E46" s="939"/>
      <c r="F46" s="572">
        <v>1</v>
      </c>
      <c r="G46" s="573">
        <v>1</v>
      </c>
      <c r="H46" s="575">
        <f>H$40*F46*G46</f>
        <v>98.018994023904384</v>
      </c>
      <c r="I46" s="572">
        <v>1</v>
      </c>
      <c r="J46" s="573">
        <v>1</v>
      </c>
      <c r="K46" s="575">
        <f>K$40*I46*J46</f>
        <v>117.06925153416833</v>
      </c>
      <c r="L46" s="572">
        <v>1</v>
      </c>
      <c r="M46" s="576">
        <v>1</v>
      </c>
      <c r="N46" s="577">
        <f>N$40*L46*M46</f>
        <v>0</v>
      </c>
      <c r="O46" s="572">
        <v>1</v>
      </c>
      <c r="P46" s="573">
        <v>1</v>
      </c>
      <c r="Q46" s="578">
        <f>Q$40*O46*P46</f>
        <v>0</v>
      </c>
      <c r="R46" s="579">
        <f t="shared" ref="R46:R60" si="1">SUM(H46,K46,N46,Q46)</f>
        <v>215.08824555807271</v>
      </c>
      <c r="S46" s="522">
        <f>IF(R46&gt;0,R46/$R$68,0)</f>
        <v>1</v>
      </c>
    </row>
    <row r="47" spans="1:19" ht="15" customHeight="1" x14ac:dyDescent="0.2">
      <c r="A47" s="938" t="s">
        <v>162</v>
      </c>
      <c r="B47" s="939"/>
      <c r="C47" s="939"/>
      <c r="D47" s="939"/>
      <c r="E47" s="939"/>
      <c r="F47" s="442">
        <v>0</v>
      </c>
      <c r="G47" s="516">
        <v>1</v>
      </c>
      <c r="H47" s="563">
        <f t="shared" ref="H47:H60" si="2">H$40*F47*G47</f>
        <v>0</v>
      </c>
      <c r="I47" s="442">
        <v>0</v>
      </c>
      <c r="J47" s="516">
        <v>1</v>
      </c>
      <c r="K47" s="563">
        <f t="shared" ref="K47:K60" si="3">K$40*I47*J47</f>
        <v>0</v>
      </c>
      <c r="L47" s="442">
        <v>0</v>
      </c>
      <c r="M47" s="439">
        <v>1</v>
      </c>
      <c r="N47" s="549">
        <f t="shared" ref="N47:N60" si="4">N$40*L47*M47</f>
        <v>0</v>
      </c>
      <c r="O47" s="442">
        <v>0</v>
      </c>
      <c r="P47" s="516">
        <v>1</v>
      </c>
      <c r="Q47" s="446">
        <f t="shared" ref="Q47:Q60" si="5">Q$40*O47*P47</f>
        <v>0</v>
      </c>
      <c r="R47" s="449">
        <f t="shared" si="1"/>
        <v>0</v>
      </c>
      <c r="S47" s="522">
        <f t="shared" ref="S47:S61" si="6">IF(R47&gt;0,R47/$R$68,0)</f>
        <v>0</v>
      </c>
    </row>
    <row r="48" spans="1:19" ht="15" customHeight="1" x14ac:dyDescent="0.2">
      <c r="A48" s="938" t="s">
        <v>163</v>
      </c>
      <c r="B48" s="939"/>
      <c r="C48" s="939"/>
      <c r="D48" s="939"/>
      <c r="E48" s="939"/>
      <c r="F48" s="442">
        <v>0</v>
      </c>
      <c r="G48" s="516">
        <v>1</v>
      </c>
      <c r="H48" s="563">
        <f t="shared" si="2"/>
        <v>0</v>
      </c>
      <c r="I48" s="442">
        <v>0</v>
      </c>
      <c r="J48" s="516">
        <v>1</v>
      </c>
      <c r="K48" s="563">
        <f t="shared" si="3"/>
        <v>0</v>
      </c>
      <c r="L48" s="442">
        <v>0</v>
      </c>
      <c r="M48" s="439">
        <v>1</v>
      </c>
      <c r="N48" s="549">
        <f>N$40*L48*M48</f>
        <v>0</v>
      </c>
      <c r="O48" s="442">
        <v>0</v>
      </c>
      <c r="P48" s="516">
        <v>1</v>
      </c>
      <c r="Q48" s="446">
        <f>Q$40*O48*P48</f>
        <v>0</v>
      </c>
      <c r="R48" s="449">
        <f t="shared" si="1"/>
        <v>0</v>
      </c>
      <c r="S48" s="522">
        <f t="shared" si="6"/>
        <v>0</v>
      </c>
    </row>
    <row r="49" spans="1:19" ht="15" x14ac:dyDescent="0.2">
      <c r="A49" s="938" t="s">
        <v>164</v>
      </c>
      <c r="B49" s="939"/>
      <c r="C49" s="939"/>
      <c r="D49" s="939"/>
      <c r="E49" s="939"/>
      <c r="F49" s="442">
        <v>0</v>
      </c>
      <c r="G49" s="516">
        <v>1</v>
      </c>
      <c r="H49" s="563">
        <f t="shared" si="2"/>
        <v>0</v>
      </c>
      <c r="I49" s="442">
        <v>0</v>
      </c>
      <c r="J49" s="516">
        <v>1</v>
      </c>
      <c r="K49" s="563">
        <f t="shared" si="3"/>
        <v>0</v>
      </c>
      <c r="L49" s="442">
        <v>0</v>
      </c>
      <c r="M49" s="439">
        <v>1</v>
      </c>
      <c r="N49" s="549">
        <f t="shared" si="4"/>
        <v>0</v>
      </c>
      <c r="O49" s="442">
        <v>0</v>
      </c>
      <c r="P49" s="516">
        <v>1</v>
      </c>
      <c r="Q49" s="446">
        <f t="shared" si="5"/>
        <v>0</v>
      </c>
      <c r="R49" s="449">
        <f t="shared" si="1"/>
        <v>0</v>
      </c>
      <c r="S49" s="522">
        <f t="shared" si="6"/>
        <v>0</v>
      </c>
    </row>
    <row r="50" spans="1:19" ht="15" customHeight="1" x14ac:dyDescent="0.2">
      <c r="A50" s="938" t="s">
        <v>165</v>
      </c>
      <c r="B50" s="939"/>
      <c r="C50" s="939"/>
      <c r="D50" s="939"/>
      <c r="E50" s="939"/>
      <c r="F50" s="442">
        <v>0</v>
      </c>
      <c r="G50" s="516">
        <v>1</v>
      </c>
      <c r="H50" s="563">
        <f t="shared" si="2"/>
        <v>0</v>
      </c>
      <c r="I50" s="442">
        <v>0</v>
      </c>
      <c r="J50" s="516">
        <v>1</v>
      </c>
      <c r="K50" s="563">
        <f t="shared" si="3"/>
        <v>0</v>
      </c>
      <c r="L50" s="442">
        <v>0</v>
      </c>
      <c r="M50" s="439">
        <v>1</v>
      </c>
      <c r="N50" s="549">
        <f t="shared" si="4"/>
        <v>0</v>
      </c>
      <c r="O50" s="442">
        <v>0</v>
      </c>
      <c r="P50" s="516">
        <v>1</v>
      </c>
      <c r="Q50" s="446">
        <f t="shared" si="5"/>
        <v>0</v>
      </c>
      <c r="R50" s="449">
        <f t="shared" si="1"/>
        <v>0</v>
      </c>
      <c r="S50" s="522">
        <f t="shared" si="6"/>
        <v>0</v>
      </c>
    </row>
    <row r="51" spans="1:19" ht="15" x14ac:dyDescent="0.2">
      <c r="A51" s="938" t="s">
        <v>166</v>
      </c>
      <c r="B51" s="939"/>
      <c r="C51" s="939"/>
      <c r="D51" s="939"/>
      <c r="E51" s="939"/>
      <c r="F51" s="442">
        <v>0</v>
      </c>
      <c r="G51" s="516">
        <v>1</v>
      </c>
      <c r="H51" s="563">
        <f t="shared" si="2"/>
        <v>0</v>
      </c>
      <c r="I51" s="442">
        <v>0</v>
      </c>
      <c r="J51" s="516">
        <v>1</v>
      </c>
      <c r="K51" s="563">
        <f t="shared" si="3"/>
        <v>0</v>
      </c>
      <c r="L51" s="442">
        <v>0</v>
      </c>
      <c r="M51" s="439">
        <v>1</v>
      </c>
      <c r="N51" s="549">
        <f t="shared" si="4"/>
        <v>0</v>
      </c>
      <c r="O51" s="442">
        <v>0</v>
      </c>
      <c r="P51" s="516">
        <v>1</v>
      </c>
      <c r="Q51" s="446">
        <f t="shared" si="5"/>
        <v>0</v>
      </c>
      <c r="R51" s="449">
        <f t="shared" si="1"/>
        <v>0</v>
      </c>
      <c r="S51" s="522">
        <f t="shared" si="6"/>
        <v>0</v>
      </c>
    </row>
    <row r="52" spans="1:19" ht="15" x14ac:dyDescent="0.2">
      <c r="A52" s="938" t="s">
        <v>167</v>
      </c>
      <c r="B52" s="939"/>
      <c r="C52" s="939"/>
      <c r="D52" s="939"/>
      <c r="E52" s="939"/>
      <c r="F52" s="442">
        <v>0</v>
      </c>
      <c r="G52" s="516">
        <v>1</v>
      </c>
      <c r="H52" s="563">
        <f t="shared" si="2"/>
        <v>0</v>
      </c>
      <c r="I52" s="442">
        <v>0</v>
      </c>
      <c r="J52" s="516">
        <v>1</v>
      </c>
      <c r="K52" s="563">
        <f t="shared" si="3"/>
        <v>0</v>
      </c>
      <c r="L52" s="442">
        <v>0</v>
      </c>
      <c r="M52" s="439">
        <v>1</v>
      </c>
      <c r="N52" s="549">
        <f t="shared" si="4"/>
        <v>0</v>
      </c>
      <c r="O52" s="442">
        <v>0</v>
      </c>
      <c r="P52" s="516">
        <v>1</v>
      </c>
      <c r="Q52" s="446">
        <f t="shared" si="5"/>
        <v>0</v>
      </c>
      <c r="R52" s="449">
        <f t="shared" si="1"/>
        <v>0</v>
      </c>
      <c r="S52" s="522">
        <f t="shared" si="6"/>
        <v>0</v>
      </c>
    </row>
    <row r="53" spans="1:19" ht="15" x14ac:dyDescent="0.2">
      <c r="A53" s="938" t="s">
        <v>168</v>
      </c>
      <c r="B53" s="939"/>
      <c r="C53" s="939"/>
      <c r="D53" s="939"/>
      <c r="E53" s="939"/>
      <c r="F53" s="442">
        <v>0</v>
      </c>
      <c r="G53" s="516">
        <v>1</v>
      </c>
      <c r="H53" s="563">
        <f t="shared" si="2"/>
        <v>0</v>
      </c>
      <c r="I53" s="442">
        <v>0</v>
      </c>
      <c r="J53" s="516">
        <v>1</v>
      </c>
      <c r="K53" s="563">
        <f t="shared" si="3"/>
        <v>0</v>
      </c>
      <c r="L53" s="442">
        <v>0</v>
      </c>
      <c r="M53" s="439">
        <v>1</v>
      </c>
      <c r="N53" s="549">
        <f t="shared" si="4"/>
        <v>0</v>
      </c>
      <c r="O53" s="442">
        <v>0</v>
      </c>
      <c r="P53" s="516">
        <v>1</v>
      </c>
      <c r="Q53" s="446">
        <f t="shared" si="5"/>
        <v>0</v>
      </c>
      <c r="R53" s="449">
        <f t="shared" si="1"/>
        <v>0</v>
      </c>
      <c r="S53" s="522">
        <f t="shared" si="6"/>
        <v>0</v>
      </c>
    </row>
    <row r="54" spans="1:19" ht="15" x14ac:dyDescent="0.2">
      <c r="A54" s="938" t="s">
        <v>169</v>
      </c>
      <c r="B54" s="939"/>
      <c r="C54" s="939"/>
      <c r="D54" s="939"/>
      <c r="E54" s="939"/>
      <c r="F54" s="442">
        <v>0</v>
      </c>
      <c r="G54" s="516">
        <v>1</v>
      </c>
      <c r="H54" s="563">
        <f t="shared" si="2"/>
        <v>0</v>
      </c>
      <c r="I54" s="442">
        <v>0</v>
      </c>
      <c r="J54" s="516">
        <v>1</v>
      </c>
      <c r="K54" s="563">
        <f t="shared" si="3"/>
        <v>0</v>
      </c>
      <c r="L54" s="442">
        <v>0</v>
      </c>
      <c r="M54" s="439">
        <v>1</v>
      </c>
      <c r="N54" s="549">
        <f t="shared" si="4"/>
        <v>0</v>
      </c>
      <c r="O54" s="442">
        <v>0</v>
      </c>
      <c r="P54" s="516">
        <v>1</v>
      </c>
      <c r="Q54" s="446">
        <f t="shared" si="5"/>
        <v>0</v>
      </c>
      <c r="R54" s="449">
        <f t="shared" si="1"/>
        <v>0</v>
      </c>
      <c r="S54" s="522">
        <f t="shared" si="6"/>
        <v>0</v>
      </c>
    </row>
    <row r="55" spans="1:19" ht="15" x14ac:dyDescent="0.2">
      <c r="A55" s="938" t="s">
        <v>170</v>
      </c>
      <c r="B55" s="939"/>
      <c r="C55" s="939"/>
      <c r="D55" s="939"/>
      <c r="E55" s="939"/>
      <c r="F55" s="442">
        <v>0</v>
      </c>
      <c r="G55" s="516">
        <v>1</v>
      </c>
      <c r="H55" s="563">
        <f t="shared" si="2"/>
        <v>0</v>
      </c>
      <c r="I55" s="442">
        <v>0</v>
      </c>
      <c r="J55" s="516">
        <v>1</v>
      </c>
      <c r="K55" s="563">
        <f t="shared" si="3"/>
        <v>0</v>
      </c>
      <c r="L55" s="442">
        <v>0</v>
      </c>
      <c r="M55" s="439">
        <v>1</v>
      </c>
      <c r="N55" s="549">
        <f t="shared" si="4"/>
        <v>0</v>
      </c>
      <c r="O55" s="442">
        <v>0</v>
      </c>
      <c r="P55" s="516">
        <v>1</v>
      </c>
      <c r="Q55" s="446">
        <f t="shared" si="5"/>
        <v>0</v>
      </c>
      <c r="R55" s="449">
        <f t="shared" si="1"/>
        <v>0</v>
      </c>
      <c r="S55" s="522">
        <f t="shared" si="6"/>
        <v>0</v>
      </c>
    </row>
    <row r="56" spans="1:19" ht="15" x14ac:dyDescent="0.2">
      <c r="A56" s="938" t="s">
        <v>171</v>
      </c>
      <c r="B56" s="939"/>
      <c r="C56" s="939"/>
      <c r="D56" s="939"/>
      <c r="E56" s="939"/>
      <c r="F56" s="442">
        <v>0</v>
      </c>
      <c r="G56" s="516">
        <v>1</v>
      </c>
      <c r="H56" s="563">
        <f t="shared" si="2"/>
        <v>0</v>
      </c>
      <c r="I56" s="442">
        <v>0</v>
      </c>
      <c r="J56" s="516">
        <v>1</v>
      </c>
      <c r="K56" s="563">
        <f t="shared" si="3"/>
        <v>0</v>
      </c>
      <c r="L56" s="442">
        <v>0</v>
      </c>
      <c r="M56" s="439">
        <v>1</v>
      </c>
      <c r="N56" s="549">
        <f t="shared" si="4"/>
        <v>0</v>
      </c>
      <c r="O56" s="442">
        <v>0</v>
      </c>
      <c r="P56" s="516">
        <v>1</v>
      </c>
      <c r="Q56" s="446">
        <f t="shared" si="5"/>
        <v>0</v>
      </c>
      <c r="R56" s="449">
        <f t="shared" si="1"/>
        <v>0</v>
      </c>
      <c r="S56" s="522">
        <f t="shared" si="6"/>
        <v>0</v>
      </c>
    </row>
    <row r="57" spans="1:19" ht="15" x14ac:dyDescent="0.2">
      <c r="A57" s="938" t="s">
        <v>172</v>
      </c>
      <c r="B57" s="939"/>
      <c r="C57" s="939"/>
      <c r="D57" s="939"/>
      <c r="E57" s="939"/>
      <c r="F57" s="442">
        <v>0</v>
      </c>
      <c r="G57" s="516">
        <v>1</v>
      </c>
      <c r="H57" s="563">
        <f t="shared" si="2"/>
        <v>0</v>
      </c>
      <c r="I57" s="442">
        <v>0</v>
      </c>
      <c r="J57" s="516">
        <v>1</v>
      </c>
      <c r="K57" s="563">
        <f t="shared" si="3"/>
        <v>0</v>
      </c>
      <c r="L57" s="442">
        <v>0</v>
      </c>
      <c r="M57" s="439">
        <v>1</v>
      </c>
      <c r="N57" s="549">
        <f t="shared" si="4"/>
        <v>0</v>
      </c>
      <c r="O57" s="442">
        <v>0</v>
      </c>
      <c r="P57" s="516">
        <v>1</v>
      </c>
      <c r="Q57" s="446">
        <f t="shared" si="5"/>
        <v>0</v>
      </c>
      <c r="R57" s="449">
        <f t="shared" si="1"/>
        <v>0</v>
      </c>
      <c r="S57" s="522">
        <f t="shared" si="6"/>
        <v>0</v>
      </c>
    </row>
    <row r="58" spans="1:19" ht="15" x14ac:dyDescent="0.2">
      <c r="A58" s="938" t="s">
        <v>173</v>
      </c>
      <c r="B58" s="939"/>
      <c r="C58" s="939"/>
      <c r="D58" s="939"/>
      <c r="E58" s="939"/>
      <c r="F58" s="442">
        <v>0</v>
      </c>
      <c r="G58" s="516">
        <v>1</v>
      </c>
      <c r="H58" s="587">
        <f t="shared" si="2"/>
        <v>0</v>
      </c>
      <c r="I58" s="124">
        <v>0</v>
      </c>
      <c r="J58" s="570">
        <v>1</v>
      </c>
      <c r="K58" s="563">
        <f t="shared" si="3"/>
        <v>0</v>
      </c>
      <c r="L58" s="442">
        <v>0</v>
      </c>
      <c r="M58" s="439">
        <v>1</v>
      </c>
      <c r="N58" s="549">
        <f t="shared" si="4"/>
        <v>0</v>
      </c>
      <c r="O58" s="442">
        <v>0</v>
      </c>
      <c r="P58" s="516">
        <v>1</v>
      </c>
      <c r="Q58" s="446">
        <f t="shared" si="5"/>
        <v>0</v>
      </c>
      <c r="R58" s="449">
        <f t="shared" si="1"/>
        <v>0</v>
      </c>
      <c r="S58" s="522">
        <f t="shared" si="6"/>
        <v>0</v>
      </c>
    </row>
    <row r="59" spans="1:19" ht="15" x14ac:dyDescent="0.2">
      <c r="A59" s="938" t="s">
        <v>174</v>
      </c>
      <c r="B59" s="939"/>
      <c r="C59" s="939"/>
      <c r="D59" s="939"/>
      <c r="E59" s="939"/>
      <c r="F59" s="442">
        <v>0</v>
      </c>
      <c r="G59" s="516">
        <v>1</v>
      </c>
      <c r="H59" s="563">
        <f t="shared" si="2"/>
        <v>0</v>
      </c>
      <c r="I59" s="442">
        <v>0</v>
      </c>
      <c r="J59" s="516">
        <v>1</v>
      </c>
      <c r="K59" s="563">
        <f t="shared" si="3"/>
        <v>0</v>
      </c>
      <c r="L59" s="442">
        <v>0</v>
      </c>
      <c r="M59" s="439">
        <v>1</v>
      </c>
      <c r="N59" s="549">
        <f t="shared" si="4"/>
        <v>0</v>
      </c>
      <c r="O59" s="442">
        <v>0</v>
      </c>
      <c r="P59" s="516">
        <v>1</v>
      </c>
      <c r="Q59" s="446">
        <f t="shared" si="5"/>
        <v>0</v>
      </c>
      <c r="R59" s="449">
        <f t="shared" si="1"/>
        <v>0</v>
      </c>
      <c r="S59" s="522">
        <f t="shared" si="6"/>
        <v>0</v>
      </c>
    </row>
    <row r="60" spans="1:19" ht="15.75" thickBot="1" x14ac:dyDescent="0.25">
      <c r="A60" s="938" t="s">
        <v>175</v>
      </c>
      <c r="B60" s="939"/>
      <c r="C60" s="939"/>
      <c r="D60" s="939"/>
      <c r="E60" s="939"/>
      <c r="F60" s="442">
        <v>0</v>
      </c>
      <c r="G60" s="516">
        <v>1</v>
      </c>
      <c r="H60" s="563">
        <f t="shared" si="2"/>
        <v>0</v>
      </c>
      <c r="I60" s="442">
        <v>0</v>
      </c>
      <c r="J60" s="516">
        <v>1</v>
      </c>
      <c r="K60" s="563">
        <f t="shared" si="3"/>
        <v>0</v>
      </c>
      <c r="L60" s="442">
        <v>0</v>
      </c>
      <c r="M60" s="439">
        <v>1</v>
      </c>
      <c r="N60" s="549">
        <f t="shared" si="4"/>
        <v>0</v>
      </c>
      <c r="O60" s="442">
        <v>0</v>
      </c>
      <c r="P60" s="516">
        <v>1</v>
      </c>
      <c r="Q60" s="446">
        <f t="shared" si="5"/>
        <v>0</v>
      </c>
      <c r="R60" s="485">
        <f t="shared" si="1"/>
        <v>0</v>
      </c>
      <c r="S60" s="522">
        <f t="shared" si="6"/>
        <v>0</v>
      </c>
    </row>
    <row r="61" spans="1:19" ht="15.75" thickBot="1" x14ac:dyDescent="0.3">
      <c r="A61" s="444" t="s">
        <v>176</v>
      </c>
      <c r="B61" s="440"/>
      <c r="C61" s="440"/>
      <c r="D61" s="440"/>
      <c r="E61" s="440"/>
      <c r="F61" s="497">
        <f>SUM(F46:F60)</f>
        <v>1</v>
      </c>
      <c r="G61" s="517"/>
      <c r="H61" s="564">
        <f>SUM(H46:H60)</f>
        <v>98.018994023904384</v>
      </c>
      <c r="I61" s="497">
        <f>SUM(I46:I60)</f>
        <v>1</v>
      </c>
      <c r="J61" s="517"/>
      <c r="K61" s="564">
        <f>SUM(K46:K60)</f>
        <v>117.06925153416833</v>
      </c>
      <c r="L61" s="527">
        <f>SUM(L46:L60)</f>
        <v>1</v>
      </c>
      <c r="M61" s="440"/>
      <c r="N61" s="550">
        <f>SUM(N46:N60)</f>
        <v>0</v>
      </c>
      <c r="O61" s="497">
        <f>SUM(O46:O60)</f>
        <v>1</v>
      </c>
      <c r="P61" s="517"/>
      <c r="Q61" s="496">
        <f>SUM(Q46:Q60)</f>
        <v>0</v>
      </c>
      <c r="R61" s="553">
        <f>SUM(R46:R60)</f>
        <v>215.08824555807271</v>
      </c>
      <c r="S61" s="522">
        <f t="shared" si="6"/>
        <v>1</v>
      </c>
    </row>
    <row r="62" spans="1:19" ht="15.75" x14ac:dyDescent="0.25">
      <c r="A62" s="976" t="s">
        <v>177</v>
      </c>
      <c r="B62" s="977"/>
      <c r="C62" s="977"/>
      <c r="D62" s="977"/>
      <c r="E62" s="977"/>
      <c r="F62" s="512" t="s">
        <v>178</v>
      </c>
      <c r="G62" s="518" t="s">
        <v>179</v>
      </c>
      <c r="H62" s="513"/>
      <c r="I62" s="512" t="s">
        <v>178</v>
      </c>
      <c r="J62" s="518" t="s">
        <v>179</v>
      </c>
      <c r="K62" s="513"/>
      <c r="L62" s="526" t="s">
        <v>178</v>
      </c>
      <c r="M62" s="531" t="s">
        <v>179</v>
      </c>
      <c r="N62" s="528"/>
      <c r="O62" s="512" t="s">
        <v>178</v>
      </c>
      <c r="P62" s="518" t="s">
        <v>179</v>
      </c>
      <c r="Q62" s="556"/>
      <c r="R62" s="494" t="s">
        <v>82</v>
      </c>
      <c r="S62" s="522"/>
    </row>
    <row r="63" spans="1:19" ht="15" x14ac:dyDescent="0.2">
      <c r="A63" s="938" t="s">
        <v>180</v>
      </c>
      <c r="B63" s="939"/>
      <c r="C63" s="939"/>
      <c r="D63" s="939"/>
      <c r="E63" s="939"/>
      <c r="F63" s="442">
        <v>0</v>
      </c>
      <c r="G63" s="519">
        <v>0</v>
      </c>
      <c r="H63" s="565">
        <f>IF(H$5="K",F63*G63,0)</f>
        <v>0</v>
      </c>
      <c r="I63" s="442">
        <v>0</v>
      </c>
      <c r="J63" s="519">
        <v>0</v>
      </c>
      <c r="K63" s="565">
        <f>IF(K$5="K",I63*J63,0)</f>
        <v>0</v>
      </c>
      <c r="L63" s="491">
        <v>0</v>
      </c>
      <c r="M63" s="490">
        <v>0</v>
      </c>
      <c r="N63" s="543">
        <f>IF(N$5="K",L63*M63,0)</f>
        <v>0</v>
      </c>
      <c r="O63" s="442">
        <v>0</v>
      </c>
      <c r="P63" s="519">
        <v>0</v>
      </c>
      <c r="Q63" s="557">
        <f>IF(Q$5="K",O63*P63,0)</f>
        <v>0</v>
      </c>
      <c r="R63" s="449">
        <f>SUM(H63,K63,N63,Q63)</f>
        <v>0</v>
      </c>
      <c r="S63" s="522"/>
    </row>
    <row r="64" spans="1:19" ht="15.75" thickBot="1" x14ac:dyDescent="0.25">
      <c r="A64" s="938" t="s">
        <v>180</v>
      </c>
      <c r="B64" s="939"/>
      <c r="C64" s="939"/>
      <c r="D64" s="939"/>
      <c r="E64" s="939"/>
      <c r="F64" s="545">
        <v>0</v>
      </c>
      <c r="G64" s="519">
        <v>0</v>
      </c>
      <c r="H64" s="565">
        <f>IF(H$5="K",F64*G64,0)</f>
        <v>0</v>
      </c>
      <c r="I64" s="442">
        <v>0</v>
      </c>
      <c r="J64" s="519">
        <v>1</v>
      </c>
      <c r="K64" s="565">
        <f>IF(K$5="K",I64*J64,0)</f>
        <v>0</v>
      </c>
      <c r="L64" s="547">
        <v>0</v>
      </c>
      <c r="M64" s="490">
        <v>0</v>
      </c>
      <c r="N64" s="543">
        <f>IF(N$5="K",L64*M64,0)</f>
        <v>0</v>
      </c>
      <c r="O64" s="545">
        <v>0</v>
      </c>
      <c r="P64" s="519">
        <v>0</v>
      </c>
      <c r="Q64" s="557">
        <f>IF(Q$5="K",O64*P64,0)</f>
        <v>0</v>
      </c>
      <c r="R64" s="449">
        <f>SUM(H64,K64,N64,Q64)</f>
        <v>0</v>
      </c>
      <c r="S64" s="522"/>
    </row>
    <row r="65" spans="1:19" ht="13.5" thickBot="1" x14ac:dyDescent="0.25">
      <c r="A65" s="444" t="s">
        <v>181</v>
      </c>
      <c r="B65" s="493"/>
      <c r="C65" s="493"/>
      <c r="D65" s="493"/>
      <c r="E65" s="493"/>
      <c r="F65" s="546">
        <f>SUM(F63:F64)</f>
        <v>0</v>
      </c>
      <c r="G65" s="517"/>
      <c r="H65" s="566">
        <f>SUM(H63:H64)</f>
        <v>0</v>
      </c>
      <c r="I65" s="520">
        <f>SUM(I63:I64)</f>
        <v>0</v>
      </c>
      <c r="J65" s="517"/>
      <c r="K65" s="566">
        <f>SUM(K63:K64)</f>
        <v>0</v>
      </c>
      <c r="L65" s="546">
        <f>SUM(L63:L64)</f>
        <v>0</v>
      </c>
      <c r="N65" s="544">
        <f>SUM(N63:N64)</f>
        <v>0</v>
      </c>
      <c r="O65" s="546">
        <f>SUM(O63:O64)</f>
        <v>0</v>
      </c>
      <c r="P65" s="517"/>
      <c r="Q65" s="558">
        <f>SUM(Q63:Q64)</f>
        <v>0</v>
      </c>
      <c r="R65" s="554"/>
      <c r="S65" s="522"/>
    </row>
    <row r="66" spans="1:19" ht="16.5" thickBot="1" x14ac:dyDescent="0.25">
      <c r="A66" s="978" t="s">
        <v>182</v>
      </c>
      <c r="B66" s="978"/>
      <c r="C66" s="978"/>
      <c r="D66" s="978"/>
      <c r="E66" s="978"/>
      <c r="F66" s="588">
        <v>0.15</v>
      </c>
      <c r="G66" s="517"/>
      <c r="H66" s="567">
        <f>IF(H5="K",((F63*G63)+(F64*G64))/(100%-F66),0)</f>
        <v>0</v>
      </c>
      <c r="I66" s="588">
        <f>F66</f>
        <v>0.15</v>
      </c>
      <c r="J66" s="517"/>
      <c r="K66" s="567">
        <f>IF(K5="K",((I63*J63)+(I64*J64))/(100%-I66),0)</f>
        <v>0</v>
      </c>
      <c r="L66" s="588">
        <f>I66</f>
        <v>0.15</v>
      </c>
      <c r="N66" s="548">
        <f>IF(N5="K",((L63*M63)+(L64*M64))/(100%-L66),0)</f>
        <v>0</v>
      </c>
      <c r="O66" s="588">
        <f>L66</f>
        <v>0.15</v>
      </c>
      <c r="P66" s="517"/>
      <c r="Q66" s="559">
        <f>IF(Q5="K",((O63*P63)+(O64*P64))/(100%-O66),0)</f>
        <v>0</v>
      </c>
      <c r="R66" s="502">
        <f>SUM(H66,K66,N66,Q66)</f>
        <v>0</v>
      </c>
      <c r="S66" s="522">
        <f>IF(R66&gt;0,R66/$R$68,0)</f>
        <v>0</v>
      </c>
    </row>
    <row r="67" spans="1:19" ht="15.75" thickBot="1" x14ac:dyDescent="0.25">
      <c r="A67" s="979"/>
      <c r="B67" s="979"/>
      <c r="C67" s="979"/>
      <c r="D67" s="979"/>
      <c r="E67" s="979"/>
      <c r="F67" s="495"/>
      <c r="G67" s="517"/>
      <c r="H67" s="514"/>
      <c r="I67" s="495"/>
      <c r="J67" s="517"/>
      <c r="K67" s="514"/>
      <c r="L67" s="125"/>
      <c r="N67" s="529"/>
      <c r="O67" s="495"/>
      <c r="P67" s="517"/>
      <c r="Q67" s="560"/>
      <c r="R67" s="502"/>
      <c r="S67" s="522"/>
    </row>
    <row r="68" spans="1:19" ht="18" x14ac:dyDescent="0.2">
      <c r="A68" s="498" t="s">
        <v>183</v>
      </c>
      <c r="B68" s="125"/>
      <c r="C68" s="125"/>
      <c r="D68" s="125"/>
      <c r="E68" s="125"/>
      <c r="F68" s="251"/>
      <c r="G68" s="517"/>
      <c r="H68" s="571">
        <f>SUM(H61,H66)</f>
        <v>98.018994023904384</v>
      </c>
      <c r="I68" s="251"/>
      <c r="J68" s="517"/>
      <c r="K68" s="568">
        <f>SUM(K61,K66)</f>
        <v>117.06925153416833</v>
      </c>
      <c r="N68" s="551">
        <f>SUM(N61,N66)</f>
        <v>0</v>
      </c>
      <c r="O68" s="251"/>
      <c r="P68" s="517"/>
      <c r="Q68" s="561">
        <f>SUM(Q61,Q66)</f>
        <v>0</v>
      </c>
      <c r="R68" s="530">
        <f>SUM(R61,R66)</f>
        <v>215.08824555807271</v>
      </c>
      <c r="S68" s="522">
        <f>IF(R68&gt;0,R68/$R$68,0)</f>
        <v>1</v>
      </c>
    </row>
    <row r="69" spans="1:19" ht="18.75" thickBot="1" x14ac:dyDescent="0.25">
      <c r="A69" s="498" t="s">
        <v>184</v>
      </c>
      <c r="B69" s="125"/>
      <c r="C69" s="125"/>
      <c r="D69" s="125"/>
      <c r="E69" s="125"/>
      <c r="F69" s="251"/>
      <c r="G69" s="517"/>
      <c r="H69" s="580">
        <f>H68/$R$68</f>
        <v>0.45571525198683982</v>
      </c>
      <c r="I69" s="525"/>
      <c r="J69" s="521"/>
      <c r="K69" s="569">
        <f>K68/$R$68</f>
        <v>0.54428474801316018</v>
      </c>
      <c r="L69" s="440"/>
      <c r="M69" s="440"/>
      <c r="N69" s="552">
        <f>N68/$R$68</f>
        <v>0</v>
      </c>
      <c r="O69" s="525"/>
      <c r="P69" s="521"/>
      <c r="Q69" s="562">
        <f>Q68/$R$68</f>
        <v>0</v>
      </c>
      <c r="R69" s="555">
        <f>SUM(H69:Q69)</f>
        <v>1</v>
      </c>
      <c r="S69" s="511"/>
    </row>
    <row r="70" spans="1:19" ht="13.5" customHeight="1" thickBot="1" x14ac:dyDescent="0.25">
      <c r="A70" s="943" t="s">
        <v>185</v>
      </c>
      <c r="B70" s="944"/>
      <c r="C70" s="944"/>
      <c r="D70" s="944"/>
      <c r="E70" s="944"/>
      <c r="F70" s="944"/>
      <c r="G70" s="944"/>
      <c r="H70" s="945"/>
      <c r="J70" s="2" t="s">
        <v>186</v>
      </c>
    </row>
    <row r="71" spans="1:19" ht="12.75" customHeight="1" x14ac:dyDescent="0.2">
      <c r="A71" s="1065" t="s">
        <v>607</v>
      </c>
      <c r="B71" s="1066"/>
      <c r="C71" s="1066"/>
      <c r="D71" s="1066"/>
      <c r="E71" s="1066"/>
      <c r="F71" s="1066"/>
      <c r="G71" s="1066"/>
      <c r="H71" s="1067"/>
      <c r="I71" s="927" t="s">
        <v>188</v>
      </c>
      <c r="J71" s="927"/>
      <c r="K71" s="927"/>
      <c r="L71" s="927"/>
      <c r="M71" s="928"/>
      <c r="N71" s="482" t="s">
        <v>178</v>
      </c>
      <c r="O71" s="956" t="s">
        <v>34</v>
      </c>
      <c r="P71" s="957"/>
      <c r="Q71" s="481" t="s">
        <v>189</v>
      </c>
    </row>
    <row r="72" spans="1:19" ht="15.75" x14ac:dyDescent="0.2">
      <c r="A72" s="1068"/>
      <c r="B72" s="1069"/>
      <c r="C72" s="1069"/>
      <c r="D72" s="1069"/>
      <c r="E72" s="1069"/>
      <c r="F72" s="1069"/>
      <c r="G72" s="1069"/>
      <c r="H72" s="1070"/>
      <c r="I72" s="984" t="str">
        <f t="shared" ref="I72" si="7">O72</f>
        <v>tn</v>
      </c>
      <c r="J72" s="984"/>
      <c r="K72" s="984"/>
      <c r="L72" s="984"/>
      <c r="M72" s="985"/>
      <c r="N72" s="480">
        <v>1</v>
      </c>
      <c r="O72" s="958" t="s">
        <v>192</v>
      </c>
      <c r="P72" s="959"/>
      <c r="Q72" s="500">
        <f>IF(AND(R$68,N72)&gt;0,R$68/N72,0)</f>
        <v>215.08824555807271</v>
      </c>
      <c r="R72" s="171" t="str">
        <f>IF(AND(Q72&gt;0,M72&lt;&gt;""),"per "&amp;M72,"")</f>
        <v/>
      </c>
    </row>
    <row r="73" spans="1:19" ht="16.5" thickBot="1" x14ac:dyDescent="0.25">
      <c r="A73" s="1071"/>
      <c r="B73" s="1072"/>
      <c r="C73" s="1072"/>
      <c r="D73" s="1072"/>
      <c r="E73" s="1072"/>
      <c r="F73" s="1072"/>
      <c r="G73" s="1072"/>
      <c r="H73" s="1073"/>
      <c r="I73" s="984" t="s">
        <v>193</v>
      </c>
      <c r="J73" s="984"/>
      <c r="K73" s="984"/>
      <c r="L73" s="984"/>
      <c r="M73" s="985"/>
      <c r="N73" s="483">
        <v>1000</v>
      </c>
      <c r="O73" s="980" t="s">
        <v>78</v>
      </c>
      <c r="P73" s="981"/>
      <c r="Q73" s="492">
        <f>IF(AND(R$68,N73)&gt;0,R$68/N73,0)</f>
        <v>0.21508824555807271</v>
      </c>
      <c r="R73" s="171" t="str">
        <f>IF(AND(Q73&gt;0,M73&lt;&gt;""),"per "&amp;M73,"")</f>
        <v/>
      </c>
    </row>
    <row r="74" spans="1:19" ht="27" thickBot="1" x14ac:dyDescent="0.45">
      <c r="A74" s="583" t="s">
        <v>194</v>
      </c>
      <c r="F74" s="940" t="str">
        <f>H3&amp;" "&amp;D75</f>
        <v>Ketju 1 Myynti-syntyy tuloja</v>
      </c>
      <c r="G74" s="941"/>
      <c r="H74" s="942"/>
      <c r="I74" s="924" t="str">
        <f>K3&amp;" "&amp;$D$75</f>
        <v>Ketju 2 Myynti-syntyy tuloja</v>
      </c>
      <c r="J74" s="925"/>
      <c r="K74" s="926"/>
      <c r="L74" s="924" t="str">
        <f>N3&amp;" "&amp;$D$75</f>
        <v>Ketju 3 Myynti-syntyy tuloja</v>
      </c>
      <c r="M74" s="925"/>
      <c r="N74" s="926"/>
      <c r="O74" s="924" t="str">
        <f>Q3&amp;" "&amp;$D$75</f>
        <v>Ketju 4 Myynti-syntyy tuloja</v>
      </c>
      <c r="P74" s="925"/>
      <c r="Q74" s="926"/>
      <c r="R74" s="443"/>
      <c r="S74" s="14"/>
    </row>
    <row r="75" spans="1:19" ht="18.75" thickBot="1" x14ac:dyDescent="0.3">
      <c r="A75" s="2" t="s">
        <v>195</v>
      </c>
      <c r="D75" s="960" t="s">
        <v>76</v>
      </c>
      <c r="E75" s="961"/>
      <c r="F75" s="584" t="s">
        <v>178</v>
      </c>
      <c r="G75" s="501" t="s">
        <v>196</v>
      </c>
      <c r="H75" s="469" t="s">
        <v>82</v>
      </c>
      <c r="I75" s="468" t="s">
        <v>178</v>
      </c>
      <c r="J75" s="501" t="s">
        <v>196</v>
      </c>
      <c r="K75" s="469" t="s">
        <v>82</v>
      </c>
      <c r="L75" s="468" t="s">
        <v>178</v>
      </c>
      <c r="M75" s="501" t="s">
        <v>196</v>
      </c>
      <c r="N75" s="469" t="s">
        <v>82</v>
      </c>
      <c r="O75" s="468" t="s">
        <v>178</v>
      </c>
      <c r="P75" s="501" t="s">
        <v>196</v>
      </c>
      <c r="Q75" s="469" t="s">
        <v>82</v>
      </c>
      <c r="R75" s="463" t="s">
        <v>82</v>
      </c>
      <c r="S75" s="126" t="s">
        <v>197</v>
      </c>
    </row>
    <row r="76" spans="1:19" ht="18" x14ac:dyDescent="0.25">
      <c r="A76" s="470" t="s">
        <v>199</v>
      </c>
      <c r="F76" s="454">
        <f>IF(AND(H$5="K",$D$75="Myynti-syntyy tuloja"),F$61,0)</f>
        <v>1</v>
      </c>
      <c r="G76" s="280">
        <f>IF($D$75="Myynti-syntyy tuloja",H40,0)</f>
        <v>98.018994023904384</v>
      </c>
      <c r="H76" s="455">
        <f>F76*G76</f>
        <v>98.018994023904384</v>
      </c>
      <c r="I76" s="454">
        <f>IF(AND(K$5="K",$D$75="Myynti-syntyy tuloja"),I$61,0)</f>
        <v>1</v>
      </c>
      <c r="J76" s="280">
        <f>IF($D$75="Myynti-syntyy tuloja",K40,0)</f>
        <v>117.06925153416833</v>
      </c>
      <c r="K76" s="455">
        <f>I76*J76</f>
        <v>117.06925153416833</v>
      </c>
      <c r="L76" s="454">
        <f>IF(AND(N$5="K",$D$75="Myynti-syntyy tuloja"),L$61,0)</f>
        <v>0</v>
      </c>
      <c r="M76" s="280">
        <f>IF($D$75="Myynti-syntyy tuloja",N40,0)</f>
        <v>0</v>
      </c>
      <c r="N76" s="455">
        <f>L76*M76</f>
        <v>0</v>
      </c>
      <c r="O76" s="454">
        <f>IF(AND(Q$5="K",$D$75="Myynti-syntyy tuloja"),O$61,0)</f>
        <v>0</v>
      </c>
      <c r="P76" s="280">
        <f>IF($D$75="Myynti-syntyy tuloja",Q40,0)</f>
        <v>0</v>
      </c>
      <c r="Q76" s="455">
        <f>O76*P76</f>
        <v>0</v>
      </c>
      <c r="R76" s="465">
        <f t="shared" ref="R76:R87" si="8">SUM(H76,K76,N76,Q76)</f>
        <v>215.08824555807271</v>
      </c>
      <c r="S76" s="426">
        <f>SUM(F76,I76,L76,O76)</f>
        <v>2</v>
      </c>
    </row>
    <row r="77" spans="1:19" ht="18" x14ac:dyDescent="0.25">
      <c r="A77" s="963" t="s">
        <v>200</v>
      </c>
      <c r="B77" s="963"/>
      <c r="C77" s="963"/>
      <c r="D77" s="963"/>
      <c r="E77" s="964"/>
      <c r="F77" s="454">
        <f>IF(AND(H$5="K",$D$75="Myynti-syntyy tuloja"),F65,0)</f>
        <v>0</v>
      </c>
      <c r="G77" s="280"/>
      <c r="H77" s="455">
        <f>IF(AND(H$5="K",$D$75="Myynti-syntyy tuloja"),H66,0)</f>
        <v>0</v>
      </c>
      <c r="I77" s="454">
        <f>IF(AND(K$5="K",$D$75="Myynti-syntyy tuloja"),I65,0)</f>
        <v>0</v>
      </c>
      <c r="J77" s="280"/>
      <c r="K77" s="455">
        <f>IF(AND(K$5="K",$D$75="Myynti-syntyy tuloja"),K66,0)</f>
        <v>0</v>
      </c>
      <c r="L77" s="454">
        <f>IF(AND(N$5="K",$D$75="Myynti-syntyy tuloja"),L65,0)</f>
        <v>0</v>
      </c>
      <c r="M77" s="280"/>
      <c r="N77" s="455">
        <f>IF(AND(N$5="K",$D$75="Myynti-syntyy tuloja"),N66,0)</f>
        <v>0</v>
      </c>
      <c r="O77" s="454">
        <f>IF(AND(Q$5="K",$D$75="Myynti-syntyy tuloja"),O65,0)</f>
        <v>0</v>
      </c>
      <c r="P77" s="280"/>
      <c r="Q77" s="455">
        <f>IF(AND(Q$5="K",$D$75="Myynti-syntyy tuloja"),Q66,0)</f>
        <v>0</v>
      </c>
      <c r="R77" s="465">
        <f t="shared" si="8"/>
        <v>0</v>
      </c>
      <c r="S77" s="426"/>
    </row>
    <row r="78" spans="1:19" ht="18" x14ac:dyDescent="0.25">
      <c r="A78" s="504" t="s">
        <v>201</v>
      </c>
      <c r="B78" s="503"/>
      <c r="C78" s="503"/>
      <c r="D78" s="503"/>
      <c r="E78" s="507"/>
      <c r="F78" s="505"/>
      <c r="G78" s="313"/>
      <c r="H78" s="456">
        <f>SUM(H76:H77)</f>
        <v>98.018994023904384</v>
      </c>
      <c r="I78" s="505"/>
      <c r="J78" s="313"/>
      <c r="K78" s="456">
        <f>SUM(K76:K77)</f>
        <v>117.06925153416833</v>
      </c>
      <c r="L78" s="505"/>
      <c r="M78" s="313"/>
      <c r="N78" s="456">
        <f>SUM(N76:N77)</f>
        <v>0</v>
      </c>
      <c r="O78" s="505"/>
      <c r="P78" s="313"/>
      <c r="Q78" s="456">
        <f>SUM(Q76:Q77)</f>
        <v>0</v>
      </c>
      <c r="R78" s="465">
        <f t="shared" si="8"/>
        <v>215.08824555807271</v>
      </c>
      <c r="S78" s="506">
        <f>$S$76</f>
        <v>2</v>
      </c>
    </row>
    <row r="79" spans="1:19" ht="33.75" customHeight="1" x14ac:dyDescent="0.25">
      <c r="A79" s="962" t="s">
        <v>202</v>
      </c>
      <c r="B79" s="962"/>
      <c r="C79" s="962"/>
      <c r="D79" s="962"/>
      <c r="E79" s="586"/>
      <c r="F79" s="585">
        <f>IF(H$5="K",$F$61,0)</f>
        <v>1</v>
      </c>
      <c r="G79" s="315">
        <f>IF(H$5="K",'Traktorin tuntihinta tieketju 1'!U30,0)</f>
        <v>40.645372549019612</v>
      </c>
      <c r="H79" s="455">
        <f>F79*G79</f>
        <v>40.645372549019612</v>
      </c>
      <c r="I79" s="454">
        <f>IF(K$5="K",$F$61,0)</f>
        <v>1</v>
      </c>
      <c r="J79" s="315">
        <f>IF(K5="K",'Traktorin tuntihinta tieketju 2'!U30,0)</f>
        <v>46.943224400871458</v>
      </c>
      <c r="K79" s="455">
        <f>I79*J79</f>
        <v>46.943224400871458</v>
      </c>
      <c r="L79" s="454">
        <f>IF(N$5="K",$F$61,0)</f>
        <v>0</v>
      </c>
      <c r="M79" s="315">
        <f>IF(N5="K",'Traktorin tuntihinta tieketju 3'!U30,0)</f>
        <v>0</v>
      </c>
      <c r="N79" s="455">
        <f>L79*M79</f>
        <v>0</v>
      </c>
      <c r="O79" s="454">
        <f>IF(Q$5="K",$F$61,0)</f>
        <v>0</v>
      </c>
      <c r="P79" s="315">
        <f>IF(Q5="K",'Traktorin tuntihinta tieketju 4'!U30,0)</f>
        <v>0</v>
      </c>
      <c r="Q79" s="455">
        <f>O79*P79</f>
        <v>0</v>
      </c>
      <c r="R79" s="465">
        <f t="shared" si="8"/>
        <v>87.58859694989107</v>
      </c>
      <c r="S79" s="506">
        <f>$S$76</f>
        <v>2</v>
      </c>
    </row>
    <row r="80" spans="1:19" ht="18" x14ac:dyDescent="0.25">
      <c r="A80" s="965" t="s">
        <v>203</v>
      </c>
      <c r="B80" s="965"/>
      <c r="C80" s="965"/>
      <c r="D80" s="965"/>
      <c r="E80" s="966"/>
      <c r="F80" s="454">
        <f>IF(H5="K",F65,0)</f>
        <v>0</v>
      </c>
      <c r="G80" s="315"/>
      <c r="H80" s="455">
        <f>H65</f>
        <v>0</v>
      </c>
      <c r="I80" s="454">
        <f>IF(K5="K",I65,0)</f>
        <v>0</v>
      </c>
      <c r="J80" s="315"/>
      <c r="K80" s="455">
        <f>K65</f>
        <v>0</v>
      </c>
      <c r="L80" s="454">
        <f>IF(N5="K",L65,0)</f>
        <v>0</v>
      </c>
      <c r="M80" s="315"/>
      <c r="N80" s="455">
        <f>N65</f>
        <v>0</v>
      </c>
      <c r="O80" s="454">
        <f>IF(Q5="K",O65,0)</f>
        <v>0</v>
      </c>
      <c r="P80" s="315"/>
      <c r="Q80" s="455">
        <f>Q65</f>
        <v>0</v>
      </c>
      <c r="R80" s="465">
        <f t="shared" si="8"/>
        <v>0</v>
      </c>
      <c r="S80" s="506"/>
    </row>
    <row r="81" spans="1:19" ht="18" x14ac:dyDescent="0.25">
      <c r="A81" s="279" t="s">
        <v>204</v>
      </c>
      <c r="F81" s="454"/>
      <c r="G81" s="313"/>
      <c r="H81" s="456">
        <f>H78-H79-H80</f>
        <v>57.373621474884771</v>
      </c>
      <c r="I81" s="454"/>
      <c r="J81" s="313"/>
      <c r="K81" s="456">
        <f>K78-K79-K80</f>
        <v>70.126027133296873</v>
      </c>
      <c r="L81" s="454"/>
      <c r="M81" s="313"/>
      <c r="N81" s="456">
        <f>N78-N79-N80</f>
        <v>0</v>
      </c>
      <c r="O81" s="454"/>
      <c r="P81" s="313"/>
      <c r="Q81" s="456">
        <f>Q78-Q79-Q80</f>
        <v>0</v>
      </c>
      <c r="R81" s="465">
        <f t="shared" si="8"/>
        <v>127.49964860818164</v>
      </c>
      <c r="S81" s="506">
        <f t="shared" ref="S81:S87" si="9">$S$76</f>
        <v>2</v>
      </c>
    </row>
    <row r="82" spans="1:19" ht="18" x14ac:dyDescent="0.25">
      <c r="A82" s="470" t="s">
        <v>205</v>
      </c>
      <c r="F82" s="472">
        <f>IF(H5="K",F$61,0)</f>
        <v>1</v>
      </c>
      <c r="G82" s="473">
        <f>IF(H5="K",H39,0)</f>
        <v>25</v>
      </c>
      <c r="H82" s="474">
        <f>F82*G82</f>
        <v>25</v>
      </c>
      <c r="I82" s="472">
        <f>IF(K5="K",I$61,0)</f>
        <v>1</v>
      </c>
      <c r="J82" s="473">
        <f>K39</f>
        <v>29.852659141212925</v>
      </c>
      <c r="K82" s="474">
        <f>I82*J82</f>
        <v>29.852659141212925</v>
      </c>
      <c r="L82" s="472">
        <f>IF(N5="K",L$61,0)</f>
        <v>0</v>
      </c>
      <c r="M82" s="473">
        <f>N39</f>
        <v>0</v>
      </c>
      <c r="N82" s="474">
        <f>L82*M82</f>
        <v>0</v>
      </c>
      <c r="O82" s="472">
        <f>IF(Q5="K",O$61,0)</f>
        <v>0</v>
      </c>
      <c r="P82" s="473">
        <f>Q39</f>
        <v>0</v>
      </c>
      <c r="Q82" s="474">
        <f>O82*P82</f>
        <v>0</v>
      </c>
      <c r="R82" s="465">
        <f t="shared" si="8"/>
        <v>54.852659141212925</v>
      </c>
      <c r="S82" s="506">
        <f t="shared" si="9"/>
        <v>2</v>
      </c>
    </row>
    <row r="83" spans="1:19" ht="18" x14ac:dyDescent="0.25">
      <c r="A83" s="470" t="s">
        <v>206</v>
      </c>
      <c r="F83" s="454">
        <f>IF(H$5="K",F$61,0)</f>
        <v>1</v>
      </c>
      <c r="G83" s="315">
        <f>IF(H5="K",'Traktorin tuntihinta tieketju 1'!U22,0)</f>
        <v>17.769822670103899</v>
      </c>
      <c r="H83" s="455">
        <f>F83*G83</f>
        <v>17.769822670103899</v>
      </c>
      <c r="I83" s="454">
        <f>IF(K$5="K",I$61,0)</f>
        <v>1</v>
      </c>
      <c r="J83" s="315">
        <f>IF(K5="K",'Traktorin tuntihinta tieketju 2'!U22,0)</f>
        <v>31.31563940317163</v>
      </c>
      <c r="K83" s="455">
        <f>I83*J83</f>
        <v>31.31563940317163</v>
      </c>
      <c r="L83" s="454">
        <f>IF(N$5="K",L$61,0)</f>
        <v>0</v>
      </c>
      <c r="M83" s="315">
        <f>IF(N5="K",'Traktorin tuntihinta tieketju 3'!U22,0)</f>
        <v>0</v>
      </c>
      <c r="N83" s="455">
        <f>L83*M83</f>
        <v>0</v>
      </c>
      <c r="O83" s="454">
        <f>IF(Q$5="K",O$61,0)</f>
        <v>0</v>
      </c>
      <c r="P83" s="315">
        <f>IF(Q5="K",'Traktorin tuntihinta tieketju 4'!U22,0)</f>
        <v>0</v>
      </c>
      <c r="Q83" s="455">
        <f>O83*P83</f>
        <v>0</v>
      </c>
      <c r="R83" s="465">
        <f t="shared" si="8"/>
        <v>49.085462073275529</v>
      </c>
      <c r="S83" s="506">
        <f t="shared" si="9"/>
        <v>2</v>
      </c>
    </row>
    <row r="84" spans="1:19" ht="18" x14ac:dyDescent="0.25">
      <c r="A84" s="470" t="s">
        <v>113</v>
      </c>
      <c r="F84" s="454"/>
      <c r="G84" s="315"/>
      <c r="H84" s="457">
        <v>0</v>
      </c>
      <c r="I84" s="454"/>
      <c r="J84" s="315"/>
      <c r="K84" s="457"/>
      <c r="L84" s="454"/>
      <c r="M84" s="315"/>
      <c r="N84" s="457"/>
      <c r="O84" s="454"/>
      <c r="P84" s="315"/>
      <c r="Q84" s="457"/>
      <c r="R84" s="465">
        <f t="shared" si="8"/>
        <v>0</v>
      </c>
      <c r="S84" s="506">
        <f t="shared" si="9"/>
        <v>2</v>
      </c>
    </row>
    <row r="85" spans="1:19" ht="18" x14ac:dyDescent="0.25">
      <c r="A85" s="470" t="s">
        <v>207</v>
      </c>
      <c r="F85" s="454"/>
      <c r="G85" s="313"/>
      <c r="H85" s="456">
        <f>IF(H5="K",H81-H82-H83-H84,0)</f>
        <v>14.603798804780872</v>
      </c>
      <c r="I85" s="454"/>
      <c r="J85" s="313"/>
      <c r="K85" s="456">
        <f>K81-K82-K83-K84</f>
        <v>8.9577285889123175</v>
      </c>
      <c r="L85" s="454"/>
      <c r="M85" s="313"/>
      <c r="N85" s="456">
        <f>N81-N82-N83-N84</f>
        <v>0</v>
      </c>
      <c r="O85" s="454"/>
      <c r="P85" s="313"/>
      <c r="Q85" s="456">
        <f>Q81-Q82-Q83-Q84</f>
        <v>0</v>
      </c>
      <c r="R85" s="465">
        <f t="shared" si="8"/>
        <v>23.56152739369319</v>
      </c>
      <c r="S85" s="506">
        <f t="shared" si="9"/>
        <v>2</v>
      </c>
    </row>
    <row r="86" spans="1:19" ht="18" x14ac:dyDescent="0.25">
      <c r="A86" s="470" t="s">
        <v>208</v>
      </c>
      <c r="F86" s="454"/>
      <c r="G86" s="427">
        <v>0.2</v>
      </c>
      <c r="H86" s="458">
        <f>IF(H85&gt;0,G86*H85,0)</f>
        <v>2.9207597609561748</v>
      </c>
      <c r="I86" s="454"/>
      <c r="J86" s="427">
        <f>G86</f>
        <v>0.2</v>
      </c>
      <c r="K86" s="458"/>
      <c r="L86" s="454"/>
      <c r="M86" s="427">
        <f>J86</f>
        <v>0.2</v>
      </c>
      <c r="N86" s="458">
        <f>M86*N85</f>
        <v>0</v>
      </c>
      <c r="O86" s="454"/>
      <c r="P86" s="427">
        <f>M86</f>
        <v>0.2</v>
      </c>
      <c r="Q86" s="458">
        <f>P86*Q85</f>
        <v>0</v>
      </c>
      <c r="R86" s="465">
        <f t="shared" si="8"/>
        <v>2.9207597609561748</v>
      </c>
      <c r="S86" s="506">
        <f t="shared" si="9"/>
        <v>2</v>
      </c>
    </row>
    <row r="87" spans="1:19" ht="18.75" thickBot="1" x14ac:dyDescent="0.3">
      <c r="A87" s="279" t="s">
        <v>209</v>
      </c>
      <c r="F87" s="459"/>
      <c r="G87" s="460"/>
      <c r="H87" s="461">
        <f>H85-H86</f>
        <v>11.683039043824698</v>
      </c>
      <c r="I87" s="459"/>
      <c r="J87" s="460"/>
      <c r="K87" s="461">
        <f>K85-K86</f>
        <v>8.9577285889123175</v>
      </c>
      <c r="L87" s="459"/>
      <c r="M87" s="460"/>
      <c r="N87" s="461">
        <f>N85-N86</f>
        <v>0</v>
      </c>
      <c r="O87" s="459"/>
      <c r="P87" s="460"/>
      <c r="Q87" s="461">
        <f>Q85-Q86</f>
        <v>0</v>
      </c>
      <c r="R87" s="466">
        <f t="shared" si="8"/>
        <v>20.640767632737017</v>
      </c>
      <c r="S87" s="508">
        <f t="shared" si="9"/>
        <v>2</v>
      </c>
    </row>
    <row r="89" spans="1:19" x14ac:dyDescent="0.2">
      <c r="F89" s="422"/>
    </row>
    <row r="91" spans="1:19" ht="20.25" x14ac:dyDescent="0.3">
      <c r="A91" s="421"/>
      <c r="B91" s="471"/>
      <c r="F91" s="422"/>
    </row>
  </sheetData>
  <sheetProtection algorithmName="SHA-512" hashValue="k2CJiHkPm8mbk1eg5rzNQoFeea1XZOTTam8OsYEqYWb4zQgbHF95fZrMLLdvR9X5uhe2I8UvrHsMjYtcRizbFQ==" saltValue="aXh9y0JwVx4irRQizGWT6Q==" spinCount="100000" sheet="1" formatCells="0" formatColumns="0" formatRows="0"/>
  <mergeCells count="45">
    <mergeCell ref="Q6:Q8"/>
    <mergeCell ref="R6:V8"/>
    <mergeCell ref="I44:J44"/>
    <mergeCell ref="L44:M44"/>
    <mergeCell ref="O44:P44"/>
    <mergeCell ref="H6:H8"/>
    <mergeCell ref="K6:K8"/>
    <mergeCell ref="N6:N8"/>
    <mergeCell ref="I72:M72"/>
    <mergeCell ref="A60:E60"/>
    <mergeCell ref="A62:E62"/>
    <mergeCell ref="A63:E63"/>
    <mergeCell ref="A64:E64"/>
    <mergeCell ref="A66:E67"/>
    <mergeCell ref="A70:H70"/>
    <mergeCell ref="A48:E48"/>
    <mergeCell ref="A46:E46"/>
    <mergeCell ref="A49:E49"/>
    <mergeCell ref="A50:E50"/>
    <mergeCell ref="A51:E51"/>
    <mergeCell ref="A52:E52"/>
    <mergeCell ref="O72:P72"/>
    <mergeCell ref="I73:M73"/>
    <mergeCell ref="O73:P73"/>
    <mergeCell ref="F74:H74"/>
    <mergeCell ref="I74:K74"/>
    <mergeCell ref="L74:N74"/>
    <mergeCell ref="O74:Q74"/>
    <mergeCell ref="A71:H73"/>
    <mergeCell ref="I71:M71"/>
    <mergeCell ref="O71:P71"/>
    <mergeCell ref="A79:D79"/>
    <mergeCell ref="A80:E80"/>
    <mergeCell ref="A54:E54"/>
    <mergeCell ref="A55:E55"/>
    <mergeCell ref="A56:E56"/>
    <mergeCell ref="A57:E57"/>
    <mergeCell ref="A58:E58"/>
    <mergeCell ref="A59:E59"/>
    <mergeCell ref="D75:E75"/>
    <mergeCell ref="A53:E53"/>
    <mergeCell ref="A47:E47"/>
    <mergeCell ref="A7:G7"/>
    <mergeCell ref="F44:G44"/>
    <mergeCell ref="A77:E77"/>
  </mergeCells>
  <phoneticPr fontId="7" type="noConversion"/>
  <pageMargins left="0.7" right="0.7" top="0.75" bottom="0.75" header="0.3" footer="0.3"/>
  <pageSetup paperSize="9" scale="53" orientation="landscape" horizontalDpi="4294967293" verticalDpi="4294967293" r:id="rId1"/>
  <rowBreaks count="1" manualBreakCount="1">
    <brk id="69" max="20" man="1"/>
  </rowBreaks>
  <colBreaks count="1" manualBreakCount="1">
    <brk id="1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FA68033-88A0-4749-988C-930AF7D22B25}">
          <x14:formula1>
            <xm:f>Laskentayksikot!$E$11:$E$12</xm:f>
          </x14:formula1>
          <xm:sqref>D75:E75</xm:sqref>
        </x14:dataValidation>
        <x14:dataValidation type="list" allowBlank="1" showInputMessage="1" showErrorMessage="1" xr:uid="{01DEEEE5-5999-4382-8D02-8D413BA4657C}">
          <x14:formula1>
            <xm:f>Laskentayksikot!$E$2:$E$3</xm:f>
          </x14:formula1>
          <xm:sqref>H5 K5 N5 Q5</xm:sqref>
        </x14:dataValidation>
        <x14:dataValidation type="list" allowBlank="1" showInputMessage="1" showErrorMessage="1" xr:uid="{C253202A-CAB3-4B25-AF79-48B813DFE440}">
          <x14:formula1>
            <xm:f>Laskentayksikot!$B$2:$B$14</xm:f>
          </x14:formula1>
          <xm:sqref>O72:O73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11">
    <pageSetUpPr fitToPage="1"/>
  </sheetPr>
  <dimension ref="A1:R38"/>
  <sheetViews>
    <sheetView zoomScale="80" zoomScaleNormal="80" workbookViewId="0">
      <selection activeCell="F5" sqref="F5"/>
    </sheetView>
  </sheetViews>
  <sheetFormatPr defaultColWidth="9.140625" defaultRowHeight="12.75" x14ac:dyDescent="0.2"/>
  <cols>
    <col min="1" max="1" width="16.5703125" style="4" customWidth="1"/>
    <col min="2" max="2" width="29.7109375" style="4" customWidth="1"/>
    <col min="3" max="3" width="12.85546875" style="4" customWidth="1"/>
    <col min="4" max="4" width="15" style="4" customWidth="1"/>
    <col min="5" max="5" width="18.5703125" style="4" customWidth="1"/>
    <col min="6" max="6" width="17.7109375" style="4" customWidth="1"/>
    <col min="7" max="7" width="9.140625" style="4"/>
    <col min="8" max="8" width="11.85546875" style="4" customWidth="1"/>
    <col min="9" max="9" width="15.28515625" style="4" customWidth="1"/>
    <col min="10" max="10" width="9.140625" style="4"/>
    <col min="11" max="11" width="18.140625" style="4" customWidth="1"/>
    <col min="12" max="12" width="10.140625" style="4" customWidth="1"/>
    <col min="13" max="13" width="15" style="4" customWidth="1"/>
    <col min="14" max="14" width="9.140625" style="4"/>
    <col min="15" max="15" width="14.5703125" style="4" customWidth="1"/>
    <col min="16" max="16" width="16.85546875" style="4" customWidth="1"/>
    <col min="17" max="16384" width="9.140625" style="4"/>
  </cols>
  <sheetData>
    <row r="1" spans="1:18" ht="38.25" x14ac:dyDescent="0.2">
      <c r="A1" s="6" t="s">
        <v>79</v>
      </c>
      <c r="C1" s="6"/>
      <c r="K1" s="153" t="s">
        <v>33</v>
      </c>
      <c r="L1" s="152" t="s">
        <v>83</v>
      </c>
      <c r="M1" s="152" t="s">
        <v>84</v>
      </c>
      <c r="N1" s="152" t="s">
        <v>85</v>
      </c>
      <c r="O1" s="152" t="s">
        <v>86</v>
      </c>
      <c r="P1" s="152" t="s">
        <v>87</v>
      </c>
      <c r="Q1" s="152" t="s">
        <v>88</v>
      </c>
      <c r="R1" s="159"/>
    </row>
    <row r="2" spans="1:18" ht="13.5" thickBot="1" x14ac:dyDescent="0.25"/>
    <row r="3" spans="1:18" ht="13.5" thickBot="1" x14ac:dyDescent="0.25">
      <c r="A3" s="911" t="s">
        <v>419</v>
      </c>
      <c r="B3" s="912"/>
      <c r="F3" s="4" t="s">
        <v>90</v>
      </c>
      <c r="G3" s="15" t="s">
        <v>69</v>
      </c>
      <c r="H3" s="4" t="s">
        <v>91</v>
      </c>
    </row>
    <row r="5" spans="1:18" x14ac:dyDescent="0.2">
      <c r="A5" s="4" t="s">
        <v>95</v>
      </c>
      <c r="F5" s="16">
        <v>10</v>
      </c>
      <c r="G5" s="4" t="s">
        <v>96</v>
      </c>
    </row>
    <row r="6" spans="1:18" x14ac:dyDescent="0.2">
      <c r="A6" s="4" t="s">
        <v>98</v>
      </c>
      <c r="F6" s="17">
        <v>300</v>
      </c>
      <c r="G6" s="4" t="s">
        <v>99</v>
      </c>
    </row>
    <row r="7" spans="1:18" x14ac:dyDescent="0.2">
      <c r="A7" s="4" t="s">
        <v>100</v>
      </c>
      <c r="F7" s="18">
        <v>50000</v>
      </c>
    </row>
    <row r="8" spans="1:18" x14ac:dyDescent="0.2">
      <c r="A8" s="4" t="s">
        <v>101</v>
      </c>
      <c r="E8" s="20">
        <v>0</v>
      </c>
      <c r="F8" s="21">
        <f>F7/(100%+E8)*E8</f>
        <v>0</v>
      </c>
      <c r="G8" s="7"/>
      <c r="H8" s="4" t="s">
        <v>420</v>
      </c>
    </row>
    <row r="9" spans="1:18" x14ac:dyDescent="0.2">
      <c r="A9" s="4" t="s">
        <v>102</v>
      </c>
      <c r="F9" s="21">
        <f>F7-F8</f>
        <v>50000</v>
      </c>
      <c r="H9" s="22"/>
    </row>
    <row r="10" spans="1:18" x14ac:dyDescent="0.2">
      <c r="A10" s="4" t="s">
        <v>103</v>
      </c>
      <c r="E10" s="20">
        <v>0.35</v>
      </c>
      <c r="F10" s="21">
        <f>E10*F9</f>
        <v>17500</v>
      </c>
    </row>
    <row r="11" spans="1:18" x14ac:dyDescent="0.2">
      <c r="A11" s="4" t="s">
        <v>104</v>
      </c>
      <c r="F11" s="23">
        <f>F9-F10</f>
        <v>32500</v>
      </c>
    </row>
    <row r="12" spans="1:18" ht="13.5" thickBot="1" x14ac:dyDescent="0.25">
      <c r="A12" s="24" t="s">
        <v>206</v>
      </c>
    </row>
    <row r="13" spans="1:18" x14ac:dyDescent="0.2">
      <c r="A13" s="9"/>
      <c r="B13" s="25" t="s">
        <v>107</v>
      </c>
      <c r="C13" s="26"/>
      <c r="D13" s="27" t="s">
        <v>108</v>
      </c>
      <c r="E13" s="28">
        <v>0.05</v>
      </c>
      <c r="F13" s="29">
        <f>IF(G3="A",ABS(PMT(E13,F5,-F9,E10*F9,0)),SUM(F14:F15))</f>
        <v>4500</v>
      </c>
    </row>
    <row r="14" spans="1:18" x14ac:dyDescent="0.2">
      <c r="B14" s="30" t="s">
        <v>109</v>
      </c>
      <c r="F14" s="31">
        <f>IF(G3="A",E13*F9,F9/2*E13)</f>
        <v>1250</v>
      </c>
      <c r="G14" s="10"/>
    </row>
    <row r="15" spans="1:18" ht="13.5" thickBot="1" x14ac:dyDescent="0.25">
      <c r="B15" s="32" t="s">
        <v>110</v>
      </c>
      <c r="C15" s="33"/>
      <c r="D15" s="33"/>
      <c r="E15" s="33"/>
      <c r="F15" s="34">
        <f>IF(G3="A",F13-F14,F11/F5)</f>
        <v>3250</v>
      </c>
    </row>
    <row r="16" spans="1:18" x14ac:dyDescent="0.2">
      <c r="B16" s="35"/>
      <c r="F16" s="36"/>
    </row>
    <row r="17" spans="1:18" x14ac:dyDescent="0.2">
      <c r="B17" s="35" t="s">
        <v>421</v>
      </c>
      <c r="C17" s="37"/>
      <c r="D17" s="37"/>
      <c r="E17" s="37"/>
      <c r="F17" s="38">
        <v>150</v>
      </c>
      <c r="G17" s="10" t="s">
        <v>422</v>
      </c>
      <c r="H17" s="39"/>
    </row>
    <row r="18" spans="1:18" x14ac:dyDescent="0.2">
      <c r="B18" s="40" t="s">
        <v>423</v>
      </c>
      <c r="C18" s="41"/>
      <c r="D18" s="42"/>
      <c r="E18" s="43"/>
      <c r="F18" s="38">
        <v>350</v>
      </c>
      <c r="G18" s="10" t="s">
        <v>422</v>
      </c>
      <c r="H18" s="39"/>
    </row>
    <row r="19" spans="1:18" x14ac:dyDescent="0.2">
      <c r="B19" s="35" t="s">
        <v>113</v>
      </c>
      <c r="D19" s="44"/>
      <c r="F19" s="38"/>
      <c r="G19" s="10"/>
      <c r="H19" s="39"/>
    </row>
    <row r="20" spans="1:18" x14ac:dyDescent="0.2">
      <c r="B20" s="11"/>
      <c r="C20" s="45"/>
      <c r="D20" s="10"/>
      <c r="E20" s="10"/>
      <c r="F20" s="46"/>
      <c r="G20" s="10"/>
      <c r="H20" s="47"/>
    </row>
    <row r="21" spans="1:18" x14ac:dyDescent="0.2">
      <c r="B21" s="35" t="s">
        <v>114</v>
      </c>
      <c r="C21" s="10"/>
      <c r="D21" s="10"/>
      <c r="E21" s="48">
        <v>3.0000000000000001E-3</v>
      </c>
      <c r="F21" s="49">
        <f>E21*F9</f>
        <v>150</v>
      </c>
      <c r="G21" s="10" t="s">
        <v>422</v>
      </c>
      <c r="L21" s="94"/>
      <c r="M21" s="94"/>
    </row>
    <row r="22" spans="1:18" ht="13.5" thickBot="1" x14ac:dyDescent="0.25">
      <c r="B22" s="50" t="s">
        <v>115</v>
      </c>
      <c r="C22" s="51"/>
      <c r="D22" s="51"/>
      <c r="E22" s="52"/>
      <c r="F22" s="53">
        <f>SUM(F14:F21)</f>
        <v>5150</v>
      </c>
      <c r="G22" s="12" t="s">
        <v>422</v>
      </c>
      <c r="H22" s="54">
        <f>F22/F6</f>
        <v>17.166666666666668</v>
      </c>
      <c r="I22" s="4" t="s">
        <v>418</v>
      </c>
    </row>
    <row r="23" spans="1:18" x14ac:dyDescent="0.2">
      <c r="A23" s="24" t="s">
        <v>424</v>
      </c>
      <c r="B23" s="6"/>
      <c r="F23" s="46"/>
      <c r="G23" s="10"/>
      <c r="H23" s="55"/>
    </row>
    <row r="24" spans="1:18" x14ac:dyDescent="0.2">
      <c r="B24" s="11" t="s">
        <v>425</v>
      </c>
      <c r="C24" s="22"/>
      <c r="D24" s="10"/>
      <c r="F24" s="38">
        <v>1000</v>
      </c>
      <c r="G24" s="10" t="s">
        <v>422</v>
      </c>
      <c r="H24" s="47"/>
    </row>
    <row r="25" spans="1:18" ht="15.75" x14ac:dyDescent="0.2">
      <c r="B25" s="11" t="s">
        <v>118</v>
      </c>
      <c r="C25" s="56">
        <v>15</v>
      </c>
      <c r="D25" s="57">
        <v>1</v>
      </c>
      <c r="E25" s="58"/>
      <c r="F25" s="59">
        <f>C25*D25*F6</f>
        <v>4500</v>
      </c>
      <c r="G25" s="10" t="s">
        <v>422</v>
      </c>
      <c r="H25" s="39"/>
      <c r="K25" s="165" t="s">
        <v>37</v>
      </c>
      <c r="L25" s="642">
        <f>C25*F6</f>
        <v>4500</v>
      </c>
      <c r="M25" s="642">
        <f>L25/159</f>
        <v>28.30188679245283</v>
      </c>
      <c r="N25" s="161">
        <f>VLOOKUP(K25,Ohjeet!A63:F68,6,FALSE)</f>
        <v>2.66</v>
      </c>
      <c r="O25" s="163">
        <f>L25*N25</f>
        <v>11970</v>
      </c>
      <c r="P25" s="164">
        <f>O25/1000</f>
        <v>11.97</v>
      </c>
      <c r="Q25" s="162">
        <f>O25*0.27</f>
        <v>3231.9</v>
      </c>
      <c r="R25" s="162"/>
    </row>
    <row r="26" spans="1:18" ht="15" x14ac:dyDescent="0.2">
      <c r="B26" s="11" t="s">
        <v>113</v>
      </c>
      <c r="C26" s="7"/>
      <c r="D26" s="4">
        <v>0</v>
      </c>
      <c r="F26" s="38"/>
      <c r="G26" s="10" t="s">
        <v>422</v>
      </c>
      <c r="H26" s="39"/>
      <c r="K26" s="166" t="s">
        <v>123</v>
      </c>
      <c r="O26" s="167">
        <f>O25/F6</f>
        <v>39.9</v>
      </c>
    </row>
    <row r="27" spans="1:18" x14ac:dyDescent="0.2">
      <c r="B27" s="11" t="s">
        <v>113</v>
      </c>
      <c r="C27" s="7"/>
      <c r="F27" s="38"/>
      <c r="G27" s="10" t="s">
        <v>422</v>
      </c>
      <c r="H27" s="39"/>
    </row>
    <row r="28" spans="1:18" x14ac:dyDescent="0.2">
      <c r="B28" s="11" t="s">
        <v>113</v>
      </c>
      <c r="C28" s="7"/>
      <c r="F28" s="38"/>
      <c r="G28" s="10" t="s">
        <v>422</v>
      </c>
      <c r="H28" s="39"/>
    </row>
    <row r="29" spans="1:18" ht="13.5" thickBot="1" x14ac:dyDescent="0.25">
      <c r="B29" s="11" t="s">
        <v>113</v>
      </c>
      <c r="C29" s="7"/>
      <c r="F29" s="38"/>
      <c r="G29" s="10" t="s">
        <v>422</v>
      </c>
      <c r="H29" s="39"/>
    </row>
    <row r="30" spans="1:18" ht="13.5" thickBot="1" x14ac:dyDescent="0.25">
      <c r="B30" s="60" t="s">
        <v>127</v>
      </c>
      <c r="C30" s="51"/>
      <c r="D30" s="51"/>
      <c r="E30" s="51"/>
      <c r="F30" s="55">
        <f>SUM(F24:F29)</f>
        <v>5500</v>
      </c>
      <c r="G30" s="12" t="s">
        <v>422</v>
      </c>
      <c r="H30" s="61">
        <f>F30/F6</f>
        <v>18.333333333333332</v>
      </c>
      <c r="I30" s="4" t="s">
        <v>418</v>
      </c>
      <c r="N30" s="6"/>
    </row>
    <row r="31" spans="1:18" ht="13.5" thickBot="1" x14ac:dyDescent="0.25">
      <c r="A31" s="6" t="s">
        <v>426</v>
      </c>
      <c r="F31" s="62">
        <f>F22+F30</f>
        <v>10650</v>
      </c>
      <c r="G31" s="12" t="s">
        <v>422</v>
      </c>
      <c r="H31" s="19"/>
      <c r="N31" s="6"/>
    </row>
    <row r="32" spans="1:18" x14ac:dyDescent="0.2">
      <c r="F32" s="7"/>
    </row>
    <row r="33" spans="1:14" x14ac:dyDescent="0.2">
      <c r="A33" s="6" t="s">
        <v>129</v>
      </c>
      <c r="F33" s="63">
        <f>F31/F6</f>
        <v>35.5</v>
      </c>
      <c r="G33" s="12" t="s">
        <v>418</v>
      </c>
      <c r="N33" s="13"/>
    </row>
    <row r="34" spans="1:14" x14ac:dyDescent="0.2">
      <c r="B34" s="6" t="s">
        <v>130</v>
      </c>
      <c r="E34" s="64">
        <v>0.1</v>
      </c>
      <c r="F34" s="7">
        <f>((100%/(100%-E34))*F33)-F33</f>
        <v>3.9444444444444429</v>
      </c>
      <c r="G34" s="10" t="s">
        <v>418</v>
      </c>
      <c r="N34" s="13"/>
    </row>
    <row r="35" spans="1:14" x14ac:dyDescent="0.2">
      <c r="B35" s="4" t="s">
        <v>131</v>
      </c>
      <c r="C35" s="4" t="s">
        <v>427</v>
      </c>
      <c r="F35" s="65">
        <v>15</v>
      </c>
      <c r="G35" s="10" t="s">
        <v>418</v>
      </c>
    </row>
    <row r="36" spans="1:14" ht="13.5" thickBot="1" x14ac:dyDescent="0.25">
      <c r="B36" s="50" t="s">
        <v>428</v>
      </c>
      <c r="C36" s="51"/>
      <c r="D36" s="51"/>
      <c r="E36" s="51"/>
      <c r="F36" s="66">
        <f>SUM(F33:F35)</f>
        <v>54.444444444444443</v>
      </c>
      <c r="G36" s="10" t="s">
        <v>418</v>
      </c>
      <c r="N36" s="13"/>
    </row>
    <row r="37" spans="1:14" x14ac:dyDescent="0.2">
      <c r="B37" s="4" t="s">
        <v>135</v>
      </c>
      <c r="E37" s="67">
        <v>0.24</v>
      </c>
      <c r="F37" s="68">
        <f>E37*F36</f>
        <v>13.066666666666666</v>
      </c>
      <c r="G37" s="10" t="s">
        <v>418</v>
      </c>
      <c r="N37" s="7"/>
    </row>
    <row r="38" spans="1:14" ht="13.5" thickBot="1" x14ac:dyDescent="0.25">
      <c r="B38" s="69" t="s">
        <v>136</v>
      </c>
      <c r="C38" s="69"/>
      <c r="D38" s="69"/>
      <c r="E38" s="69"/>
      <c r="F38" s="66">
        <f>SUM(F36:F37)</f>
        <v>67.511111111111106</v>
      </c>
      <c r="G38" s="12" t="s">
        <v>418</v>
      </c>
      <c r="N38" s="13"/>
    </row>
  </sheetData>
  <sheetProtection algorithmName="SHA-512" hashValue="Nrp/gGt0/pK1Fcs4cnmEIi6ADHWSpY/8+HJPdMUcG+0GrjknyBcUyy/0Wopd+fkoKjSR6mBI47xhr1CNb/bKpA==" saltValue="kORkOhQHmgAZoFWjZz/0kw==" spinCount="100000" sheet="1" formatCells="0" formatColumns="0" formatRows="0"/>
  <mergeCells count="1">
    <mergeCell ref="A3:B3"/>
  </mergeCells>
  <pageMargins left="0.75" right="0.75" top="1" bottom="1"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Ohjeet!$A$63:$A$68</xm:f>
          </x14:formula1>
          <xm:sqref>K25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8">
    <pageSetUpPr fitToPage="1"/>
  </sheetPr>
  <dimension ref="A1:AC53"/>
  <sheetViews>
    <sheetView zoomScale="85" zoomScaleNormal="85" workbookViewId="0"/>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6.28515625" style="4" customWidth="1"/>
    <col min="13" max="13" width="10.140625" style="4" customWidth="1"/>
    <col min="14" max="14" width="13.85546875" style="4" customWidth="1"/>
    <col min="15" max="15" width="12.42578125" style="4" customWidth="1"/>
    <col min="16" max="16" width="6.28515625" style="4" customWidth="1"/>
    <col min="17" max="17" width="9.140625" style="4"/>
    <col min="18" max="18" width="13.85546875" style="4" customWidth="1"/>
    <col min="19" max="19" width="11" style="4"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7" t="s">
        <v>210</v>
      </c>
      <c r="F1" s="917"/>
      <c r="G1" s="917"/>
      <c r="H1" s="918" t="s">
        <v>211</v>
      </c>
      <c r="I1" s="918"/>
      <c r="J1" s="918"/>
      <c r="L1" s="918" t="s">
        <v>211</v>
      </c>
      <c r="M1" s="918"/>
      <c r="N1" s="918"/>
      <c r="P1" s="918" t="s">
        <v>211</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212</v>
      </c>
      <c r="B2" s="912"/>
      <c r="C2" s="4" t="s">
        <v>90</v>
      </c>
      <c r="D2" s="70" t="s">
        <v>69</v>
      </c>
      <c r="E2" s="913" t="s">
        <v>60</v>
      </c>
      <c r="F2" s="914"/>
      <c r="G2" s="72"/>
      <c r="H2" s="402"/>
      <c r="I2" s="913" t="s">
        <v>62</v>
      </c>
      <c r="J2" s="914"/>
      <c r="K2" s="71"/>
      <c r="L2" s="402"/>
      <c r="M2" s="913" t="s">
        <v>62</v>
      </c>
      <c r="N2" s="914"/>
      <c r="O2" s="71"/>
      <c r="P2" s="402"/>
      <c r="Q2" s="913" t="s">
        <v>62</v>
      </c>
      <c r="R2" s="914"/>
      <c r="S2" s="71"/>
    </row>
    <row r="3" spans="1:29" ht="13.5" thickBot="1" x14ac:dyDescent="0.25">
      <c r="C3" s="10" t="s">
        <v>91</v>
      </c>
      <c r="E3" s="921" t="s">
        <v>213</v>
      </c>
      <c r="F3" s="922"/>
      <c r="H3" s="403"/>
      <c r="I3" s="923" t="s">
        <v>214</v>
      </c>
      <c r="J3" s="916"/>
      <c r="K3" s="73"/>
      <c r="L3" s="403"/>
      <c r="M3" s="915" t="s">
        <v>93</v>
      </c>
      <c r="N3" s="916"/>
      <c r="O3" s="73"/>
      <c r="P3" s="403"/>
      <c r="Q3" s="915" t="s">
        <v>94</v>
      </c>
      <c r="R3" s="916"/>
      <c r="S3" s="73"/>
      <c r="T3" s="6" t="str">
        <f>"Kytketty koneet: "&amp;IF(E2="k",E3&amp;" ","")&amp;IF(I2="k",I3&amp;" ","")&amp;IF(M2="k",M3&amp;" ","")&amp;(IF(Q2="k",Q3&amp;" ",""))</f>
        <v xml:space="preserve">Kytketty koneet: Sampo </v>
      </c>
    </row>
    <row r="4" spans="1:29" x14ac:dyDescent="0.2">
      <c r="A4" s="4" t="s">
        <v>95</v>
      </c>
      <c r="E4" s="4" t="s">
        <v>96</v>
      </c>
      <c r="F4" s="75">
        <v>10</v>
      </c>
      <c r="H4" s="119"/>
      <c r="I4" s="4" t="s">
        <v>96</v>
      </c>
      <c r="J4" s="75">
        <v>0</v>
      </c>
      <c r="K4" s="73"/>
      <c r="L4" s="119"/>
      <c r="M4" s="4" t="s">
        <v>96</v>
      </c>
      <c r="N4" s="75">
        <v>1</v>
      </c>
      <c r="O4" s="73"/>
      <c r="P4" s="119"/>
      <c r="Q4" s="4" t="s">
        <v>96</v>
      </c>
      <c r="R4" s="420">
        <v>1</v>
      </c>
      <c r="S4" s="73"/>
      <c r="T4" s="160" t="s">
        <v>97</v>
      </c>
    </row>
    <row r="5" spans="1:29" x14ac:dyDescent="0.2">
      <c r="A5" s="4" t="s">
        <v>98</v>
      </c>
      <c r="E5" s="4" t="s">
        <v>99</v>
      </c>
      <c r="F5" s="640">
        <v>200</v>
      </c>
      <c r="H5" s="119"/>
      <c r="I5" s="4" t="s">
        <v>99</v>
      </c>
      <c r="J5" s="647">
        <v>80</v>
      </c>
      <c r="K5" s="73"/>
      <c r="L5" s="119"/>
      <c r="M5" s="4" t="s">
        <v>99</v>
      </c>
      <c r="N5" s="640">
        <v>1</v>
      </c>
      <c r="O5" s="73"/>
      <c r="P5" s="119"/>
      <c r="Q5" s="4" t="s">
        <v>99</v>
      </c>
      <c r="R5" s="640">
        <v>1</v>
      </c>
      <c r="S5" s="73"/>
      <c r="T5" s="641">
        <f>IF($E$2="k",(F5),0)+IF($I$2="k",(J5),0)+IF($M$2="k",(N5),0)+IF($Q$2="k",(R5),0)</f>
        <v>200</v>
      </c>
    </row>
    <row r="6" spans="1:29" x14ac:dyDescent="0.2">
      <c r="A6" s="4" t="s">
        <v>100</v>
      </c>
      <c r="F6" s="77">
        <v>200000</v>
      </c>
      <c r="H6" s="119"/>
      <c r="J6" s="77">
        <v>28000</v>
      </c>
      <c r="K6" s="73"/>
      <c r="L6" s="119"/>
      <c r="N6" s="77">
        <v>0</v>
      </c>
      <c r="O6" s="73"/>
      <c r="P6" s="119"/>
      <c r="R6" s="77">
        <v>0</v>
      </c>
      <c r="S6" s="73"/>
    </row>
    <row r="7" spans="1:29" x14ac:dyDescent="0.2">
      <c r="A7" s="4" t="s">
        <v>101</v>
      </c>
      <c r="E7" s="596">
        <v>0.255</v>
      </c>
      <c r="F7" s="222">
        <f>F6/(100%+E7)*E7</f>
        <v>40637.450199203187</v>
      </c>
      <c r="G7" s="7"/>
      <c r="H7" s="404"/>
      <c r="I7" s="596">
        <v>0.255</v>
      </c>
      <c r="J7" s="222">
        <f>J6/(100%+I7)*I7</f>
        <v>5689.2430278884467</v>
      </c>
      <c r="K7" s="79"/>
      <c r="L7" s="404"/>
      <c r="M7" s="596">
        <v>0</v>
      </c>
      <c r="N7" s="222">
        <f>N6/(100%+M7)*M7</f>
        <v>0</v>
      </c>
      <c r="O7" s="79"/>
      <c r="P7" s="404"/>
      <c r="Q7" s="596">
        <v>0</v>
      </c>
      <c r="R7" s="222">
        <f>R6/(100%+Q7)*Q7</f>
        <v>0</v>
      </c>
      <c r="S7" s="79"/>
    </row>
    <row r="8" spans="1:29" x14ac:dyDescent="0.2">
      <c r="A8" s="4" t="s">
        <v>102</v>
      </c>
      <c r="F8" s="80">
        <f>F6-F7</f>
        <v>159362.54980079681</v>
      </c>
      <c r="H8" s="119"/>
      <c r="J8" s="80">
        <f>J6-J7</f>
        <v>22310.756972111554</v>
      </c>
      <c r="K8" s="73"/>
      <c r="L8" s="119"/>
      <c r="N8" s="80">
        <f>N6-N7</f>
        <v>0</v>
      </c>
      <c r="O8" s="73"/>
      <c r="P8" s="119"/>
      <c r="R8" s="80">
        <f>R6-R7</f>
        <v>0</v>
      </c>
      <c r="S8" s="73"/>
    </row>
    <row r="9" spans="1:29" x14ac:dyDescent="0.2">
      <c r="A9" s="4" t="s">
        <v>103</v>
      </c>
      <c r="E9" s="225">
        <v>0.35</v>
      </c>
      <c r="F9" s="222">
        <f>E9*F8</f>
        <v>55776.89243027888</v>
      </c>
      <c r="H9" s="119"/>
      <c r="I9" s="225">
        <v>0.2</v>
      </c>
      <c r="J9" s="222">
        <f>I9*J8</f>
        <v>4462.1513944223107</v>
      </c>
      <c r="K9" s="73"/>
      <c r="L9" s="119"/>
      <c r="M9" s="225">
        <v>0</v>
      </c>
      <c r="N9" s="222">
        <f>M9*N8</f>
        <v>0</v>
      </c>
      <c r="O9" s="73"/>
      <c r="P9" s="119"/>
      <c r="Q9" s="225">
        <v>0</v>
      </c>
      <c r="R9" s="222">
        <f>Q9*R8</f>
        <v>0</v>
      </c>
      <c r="S9" s="73"/>
    </row>
    <row r="10" spans="1:29" x14ac:dyDescent="0.2">
      <c r="A10" s="4" t="s">
        <v>104</v>
      </c>
      <c r="F10" s="81">
        <f>F8-F9</f>
        <v>103585.65737051793</v>
      </c>
      <c r="H10" s="119"/>
      <c r="J10" s="81">
        <f>J8-J9</f>
        <v>17848.605577689243</v>
      </c>
      <c r="K10" s="73"/>
      <c r="L10" s="119"/>
      <c r="N10" s="81">
        <f>N8-N9</f>
        <v>0</v>
      </c>
      <c r="O10" s="73"/>
      <c r="P10" s="119"/>
      <c r="R10" s="81">
        <f>R8-R9</f>
        <v>0</v>
      </c>
      <c r="S10" s="73"/>
    </row>
    <row r="11" spans="1:29" ht="13.5" thickBot="1" x14ac:dyDescent="0.25">
      <c r="A11" s="24" t="s">
        <v>105</v>
      </c>
      <c r="F11" s="82"/>
      <c r="H11" s="119"/>
      <c r="J11" s="82"/>
      <c r="K11" s="73"/>
      <c r="L11" s="119"/>
      <c r="N11" s="82"/>
      <c r="O11" s="73"/>
      <c r="P11" s="119"/>
      <c r="R11" s="82"/>
      <c r="S11" s="73"/>
      <c r="T11" s="6" t="s">
        <v>106</v>
      </c>
    </row>
    <row r="12" spans="1:29" x14ac:dyDescent="0.2">
      <c r="A12" s="9"/>
      <c r="B12" s="25" t="s">
        <v>107</v>
      </c>
      <c r="C12" s="26"/>
      <c r="D12" s="27" t="s">
        <v>108</v>
      </c>
      <c r="E12" s="226">
        <v>0.05</v>
      </c>
      <c r="F12" s="222">
        <f>IF(E2="k",IF(D2="A",ABS(PMT(E12,F4,-F8,E9*F8,0)),SUM(F13:F14)),0)</f>
        <v>14342.629482071714</v>
      </c>
      <c r="H12" s="119"/>
      <c r="I12" s="226">
        <v>0.05</v>
      </c>
      <c r="J12" s="222">
        <f>IF(I2="k",IF($D$2="A",ABS(PMT(I12,J4,-J8,I9*J8,0)),SUM(J13:J14)),0)</f>
        <v>0</v>
      </c>
      <c r="K12" s="73"/>
      <c r="L12" s="119"/>
      <c r="M12" s="226">
        <v>0.05</v>
      </c>
      <c r="N12" s="222">
        <f>IF(M2="k",IF($D$2="A",ABS(PMT(M12,N4,-N8,M9*N8,0)),SUM(N13:N14)),0)</f>
        <v>0</v>
      </c>
      <c r="O12" s="73"/>
      <c r="P12" s="119"/>
      <c r="Q12" s="226">
        <v>0.05</v>
      </c>
      <c r="R12" s="222">
        <f>IF(Q2="k",IF($D$2="A",ABS(PMT(Q12,R4,-R8,Q9*R8,0)),SUM(R13:R14)),0)</f>
        <v>0</v>
      </c>
      <c r="S12" s="73"/>
      <c r="T12" s="36">
        <f>SUM(F12,J12,N12,R12)</f>
        <v>14342.629482071714</v>
      </c>
    </row>
    <row r="13" spans="1:29" x14ac:dyDescent="0.2">
      <c r="B13" s="30" t="s">
        <v>109</v>
      </c>
      <c r="F13" s="84">
        <f>IF(E2="k",IF(D2="A",E12*F8,F8/2*E12),0)</f>
        <v>3984.0637450199206</v>
      </c>
      <c r="G13" s="10"/>
      <c r="H13" s="405"/>
      <c r="J13" s="84">
        <f>IF(I2="k",IF($D$2="A",I12*J8,J8/2*I12),0)</f>
        <v>0</v>
      </c>
      <c r="K13" s="85"/>
      <c r="L13" s="405"/>
      <c r="N13" s="84">
        <f>IF(M2="k",IF($D$2="A",M12*N8,N8/2*M12),0)</f>
        <v>0</v>
      </c>
      <c r="O13" s="85"/>
      <c r="P13" s="405"/>
      <c r="R13" s="84">
        <f>IF(Q2="k",IF($D$2="A",Q12*R8,R8/2*Q12),0)</f>
        <v>0</v>
      </c>
      <c r="S13" s="85"/>
      <c r="T13" s="36">
        <f t="shared" ref="T13:T37" si="0">SUM(F13,J13,N13,R13)</f>
        <v>3984.0637450199206</v>
      </c>
    </row>
    <row r="14" spans="1:29" ht="13.5" thickBot="1" x14ac:dyDescent="0.25">
      <c r="B14" s="32" t="s">
        <v>110</v>
      </c>
      <c r="C14" s="33"/>
      <c r="D14" s="33"/>
      <c r="E14" s="33"/>
      <c r="F14" s="86">
        <f>IF(E2="k",IF(D2="A",F12-F13,F10/F4),0)</f>
        <v>10358.565737051793</v>
      </c>
      <c r="H14" s="119"/>
      <c r="J14" s="86">
        <f>IF(I2="k",IF($D$2="A",J12-J13,J10/J4),0)</f>
        <v>0</v>
      </c>
      <c r="K14" s="73"/>
      <c r="L14" s="119"/>
      <c r="N14" s="86">
        <f>IF(M2="k",IF($D$2="A",N12-N13,N10/N4),0)</f>
        <v>0</v>
      </c>
      <c r="O14" s="73"/>
      <c r="P14" s="119"/>
      <c r="R14" s="86">
        <f>IF(Q2="k",IF($D$2="A",R12-R13,R10/R4),0)</f>
        <v>0</v>
      </c>
      <c r="S14" s="73"/>
      <c r="T14" s="36">
        <f t="shared" si="0"/>
        <v>10358.565737051793</v>
      </c>
    </row>
    <row r="15" spans="1:29" ht="18" customHeight="1" x14ac:dyDescent="0.2">
      <c r="B15" s="35"/>
      <c r="F15" s="86"/>
      <c r="H15" s="119"/>
      <c r="J15" s="86"/>
      <c r="K15" s="73"/>
      <c r="L15" s="119"/>
      <c r="N15" s="86"/>
      <c r="O15" s="73"/>
      <c r="P15" s="119"/>
      <c r="R15" s="86"/>
      <c r="S15" s="73"/>
    </row>
    <row r="16" spans="1:29" x14ac:dyDescent="0.2">
      <c r="B16" s="419" t="s">
        <v>111</v>
      </c>
      <c r="F16" s="88">
        <v>100</v>
      </c>
      <c r="G16" s="10"/>
      <c r="H16" s="405"/>
      <c r="I16" s="44"/>
      <c r="J16" s="77">
        <v>0</v>
      </c>
      <c r="K16" s="85"/>
      <c r="L16" s="405"/>
      <c r="M16" s="44"/>
      <c r="N16" s="77">
        <v>0</v>
      </c>
      <c r="O16" s="85"/>
      <c r="P16" s="405"/>
      <c r="Q16" s="44"/>
      <c r="R16" s="77">
        <v>0</v>
      </c>
      <c r="S16" s="85"/>
      <c r="T16" s="8">
        <f>IF($E$2="k",F16)+IF($I$2="k",J16)+IF($M$2="k",N16)+IF($Q$2="k",R16)</f>
        <v>100</v>
      </c>
    </row>
    <row r="17" spans="1:29" x14ac:dyDescent="0.2">
      <c r="B17" s="40" t="s">
        <v>112</v>
      </c>
      <c r="C17" s="41"/>
      <c r="D17" s="42"/>
      <c r="E17" s="89"/>
      <c r="F17" s="88">
        <v>1000</v>
      </c>
      <c r="G17" s="10"/>
      <c r="H17" s="405"/>
      <c r="J17" s="77">
        <v>0</v>
      </c>
      <c r="K17" s="85"/>
      <c r="L17" s="405"/>
      <c r="N17" s="77">
        <v>0</v>
      </c>
      <c r="O17" s="85"/>
      <c r="P17" s="405"/>
      <c r="R17" s="77">
        <v>0</v>
      </c>
      <c r="S17" s="85"/>
      <c r="T17" s="8">
        <f>IF($E$2="k",F17)+IF($I$2="k",J17)+IF($M$2="k",N17)+IF($Q$2="k",R17)</f>
        <v>1000</v>
      </c>
    </row>
    <row r="18" spans="1:29" x14ac:dyDescent="0.2">
      <c r="B18" s="35" t="s">
        <v>113</v>
      </c>
      <c r="D18" s="44"/>
      <c r="F18" s="77"/>
      <c r="G18" s="10"/>
      <c r="H18" s="405"/>
      <c r="J18" s="77"/>
      <c r="K18" s="85"/>
      <c r="L18" s="405"/>
      <c r="N18" s="77"/>
      <c r="O18" s="85"/>
      <c r="P18" s="405"/>
      <c r="R18" s="77"/>
      <c r="S18" s="85"/>
      <c r="T18" s="8">
        <f>IF($E$2="k",F18)+IF($I$2="k",J18)+IF($M$2="k",N18)+IF($Q$2="k",R18)</f>
        <v>0</v>
      </c>
    </row>
    <row r="19" spans="1:29" x14ac:dyDescent="0.2">
      <c r="B19" s="11"/>
      <c r="C19" s="45"/>
      <c r="D19" s="10"/>
      <c r="E19" s="10"/>
      <c r="F19" s="90"/>
      <c r="G19" s="10"/>
      <c r="H19" s="405"/>
      <c r="I19" s="10"/>
      <c r="J19" s="90"/>
      <c r="K19" s="85"/>
      <c r="L19" s="405"/>
      <c r="M19" s="10"/>
      <c r="N19" s="90"/>
      <c r="O19" s="85"/>
      <c r="P19" s="405"/>
      <c r="Q19" s="10"/>
      <c r="R19" s="90"/>
      <c r="S19" s="85"/>
    </row>
    <row r="20" spans="1:29" x14ac:dyDescent="0.2">
      <c r="B20" s="35" t="s">
        <v>114</v>
      </c>
      <c r="C20" s="10"/>
      <c r="D20" s="10"/>
      <c r="E20" s="226">
        <v>3.0000000000000001E-3</v>
      </c>
      <c r="F20" s="290">
        <f>IF(E2="k",E20*F8,0)</f>
        <v>478.08764940239047</v>
      </c>
      <c r="G20" s="10"/>
      <c r="H20" s="405"/>
      <c r="I20" s="226">
        <v>3.0000000000000001E-3</v>
      </c>
      <c r="J20" s="290">
        <f>IF(I2="k",I20*J8,0)</f>
        <v>0</v>
      </c>
      <c r="K20" s="85"/>
      <c r="L20" s="405"/>
      <c r="M20" s="226">
        <v>3.0000000000000001E-3</v>
      </c>
      <c r="N20" s="290">
        <f>IF(M2="k",M20*N8,0)</f>
        <v>0</v>
      </c>
      <c r="O20" s="85"/>
      <c r="P20" s="405"/>
      <c r="Q20" s="226">
        <v>3.0000000000000001E-3</v>
      </c>
      <c r="R20" s="19">
        <f>IF(Q2="k",Q20*R8,0)</f>
        <v>0</v>
      </c>
      <c r="S20" s="85"/>
      <c r="T20" s="36">
        <f t="shared" si="0"/>
        <v>478.08764940239047</v>
      </c>
    </row>
    <row r="21" spans="1:29" ht="13.5" thickBot="1" x14ac:dyDescent="0.25">
      <c r="B21" s="50" t="s">
        <v>115</v>
      </c>
      <c r="C21" s="51"/>
      <c r="D21" s="51"/>
      <c r="E21" s="52"/>
      <c r="F21" s="91">
        <f>IF(E2="k",SUM(F13:F20),0)</f>
        <v>15920.717131474104</v>
      </c>
      <c r="G21" s="209">
        <f>F21/F5</f>
        <v>79.603585657370516</v>
      </c>
      <c r="H21" s="406"/>
      <c r="J21" s="91">
        <f>IF(I2="k",SUM(J13:J20),0)</f>
        <v>0</v>
      </c>
      <c r="K21" s="407">
        <f>J21/J5</f>
        <v>0</v>
      </c>
      <c r="L21" s="406"/>
      <c r="N21" s="91">
        <f>IF(M2="k",SUM(N13:N20),0)</f>
        <v>0</v>
      </c>
      <c r="O21" s="407">
        <f>N21/N5</f>
        <v>0</v>
      </c>
      <c r="P21" s="406"/>
      <c r="R21" s="93">
        <f>IF(Q2="k",SUM(R13:R20),0)</f>
        <v>0</v>
      </c>
      <c r="S21" s="407">
        <f>R21/R5</f>
        <v>0</v>
      </c>
      <c r="T21" s="94">
        <f t="shared" si="0"/>
        <v>15920.717131474104</v>
      </c>
      <c r="U21" s="95">
        <f>SUM(G21,K21,O21,S21)</f>
        <v>79.603585657370516</v>
      </c>
      <c r="W21" s="94"/>
      <c r="X21" s="94"/>
    </row>
    <row r="22" spans="1:29" x14ac:dyDescent="0.2">
      <c r="A22" s="24" t="s">
        <v>116</v>
      </c>
      <c r="B22" s="6"/>
      <c r="F22" s="96"/>
      <c r="G22" s="55"/>
      <c r="H22" s="408"/>
      <c r="J22" s="98"/>
      <c r="K22" s="97"/>
      <c r="L22" s="408"/>
      <c r="N22" s="98"/>
      <c r="O22" s="97"/>
      <c r="P22" s="408"/>
      <c r="R22" s="98"/>
      <c r="S22" s="97"/>
    </row>
    <row r="23" spans="1:29" x14ac:dyDescent="0.2">
      <c r="B23" s="11" t="s">
        <v>117</v>
      </c>
      <c r="C23" s="22"/>
      <c r="D23" s="10"/>
      <c r="F23" s="77">
        <v>2000</v>
      </c>
      <c r="G23" s="47"/>
      <c r="H23" s="409"/>
      <c r="J23" s="77">
        <v>1400</v>
      </c>
      <c r="K23" s="99"/>
      <c r="L23" s="409"/>
      <c r="N23" s="77">
        <v>0</v>
      </c>
      <c r="O23" s="99"/>
      <c r="P23" s="409"/>
      <c r="R23" s="77">
        <v>0</v>
      </c>
      <c r="S23" s="99"/>
      <c r="T23" s="8">
        <f>IF($E$2="k",F23)+IF($I$2="k",J23)+IF($M$2="k",N23)+IF($Q$2="k",R23)</f>
        <v>2000</v>
      </c>
    </row>
    <row r="24" spans="1:29" ht="15.75" x14ac:dyDescent="0.2">
      <c r="B24" s="11" t="s">
        <v>118</v>
      </c>
      <c r="C24" s="196">
        <v>15</v>
      </c>
      <c r="D24" s="197">
        <v>1.5</v>
      </c>
      <c r="E24" s="289"/>
      <c r="F24" s="100">
        <f>IF(E2="k",C24*D24*F5,0)</f>
        <v>4500</v>
      </c>
      <c r="G24" s="39"/>
      <c r="H24" s="410">
        <v>4</v>
      </c>
      <c r="I24" s="102">
        <f>$D$24</f>
        <v>1.5</v>
      </c>
      <c r="J24" s="100">
        <f>IF(I2="k",H24*I24*J5,0)</f>
        <v>0</v>
      </c>
      <c r="K24" s="101"/>
      <c r="L24" s="410">
        <f>H24</f>
        <v>4</v>
      </c>
      <c r="M24" s="102">
        <f>$D$24</f>
        <v>1.5</v>
      </c>
      <c r="N24" s="100">
        <f>IF(M2="k",L24*M24*N5,0)</f>
        <v>0</v>
      </c>
      <c r="O24" s="101"/>
      <c r="P24" s="410">
        <f>L24</f>
        <v>4</v>
      </c>
      <c r="Q24" s="102">
        <f>$D$24</f>
        <v>1.5</v>
      </c>
      <c r="R24" s="100">
        <f>IF(Q2="k",P24*Q24*R5,0)</f>
        <v>0</v>
      </c>
      <c r="S24" s="101"/>
      <c r="T24" s="36">
        <f t="shared" si="0"/>
        <v>4500</v>
      </c>
      <c r="V24" s="165" t="s">
        <v>37</v>
      </c>
      <c r="W24" s="642">
        <f>IF($E$2="k",(C24*F5),0)+IF($I$2="k",(H24*J5),0)+IF($M$2="k",(L24*N5),0)+IF($Q$2="k",(P24*R5),0)</f>
        <v>3000</v>
      </c>
      <c r="X24" s="642">
        <f>W24/159</f>
        <v>18.867924528301888</v>
      </c>
      <c r="Y24" s="161">
        <f>VLOOKUP(V24,Ohjeet!A63:F68,6,FALSE)</f>
        <v>2.66</v>
      </c>
      <c r="Z24" s="163">
        <f>W24*Y24</f>
        <v>7980</v>
      </c>
      <c r="AA24" s="164">
        <f>Z24/1000</f>
        <v>7.98</v>
      </c>
      <c r="AB24" s="162">
        <f>Z24*0.27</f>
        <v>2154.6000000000004</v>
      </c>
      <c r="AC24" s="162"/>
    </row>
    <row r="25" spans="1:29" ht="36" x14ac:dyDescent="0.2">
      <c r="B25" s="11" t="s">
        <v>119</v>
      </c>
      <c r="C25" s="394" t="s">
        <v>120</v>
      </c>
      <c r="D25" s="271" t="s">
        <v>121</v>
      </c>
      <c r="E25" s="160" t="s">
        <v>122</v>
      </c>
      <c r="F25" s="395"/>
      <c r="G25" s="39"/>
      <c r="H25" s="411"/>
      <c r="J25" s="395"/>
      <c r="K25" s="101"/>
      <c r="L25" s="411"/>
      <c r="N25" s="395"/>
      <c r="O25" s="101"/>
      <c r="P25" s="411"/>
      <c r="R25" s="395"/>
      <c r="S25" s="101"/>
      <c r="T25" s="8">
        <f>IF($E$2="k",F25)+IF($I$2="k",J25)+IF($M$2="k",N25)+IF($Q$2="k",R25)</f>
        <v>0</v>
      </c>
      <c r="V25" s="166" t="s">
        <v>123</v>
      </c>
      <c r="Z25" s="167">
        <f>Z24/T5</f>
        <v>39.9</v>
      </c>
    </row>
    <row r="26" spans="1:29" x14ac:dyDescent="0.2">
      <c r="B26" s="195" t="s">
        <v>124</v>
      </c>
      <c r="C26" s="393">
        <v>7.0000000000000007E-2</v>
      </c>
      <c r="D26" s="643">
        <f>C24*F5*C26</f>
        <v>210.00000000000003</v>
      </c>
      <c r="E26" s="644">
        <v>1</v>
      </c>
      <c r="F26" s="397">
        <f>IF(E2="K",IF(G26&gt;0,G26,D26*E26),0)</f>
        <v>210.00000000000003</v>
      </c>
      <c r="G26" s="645">
        <v>0</v>
      </c>
      <c r="H26" s="411"/>
      <c r="I26" s="400">
        <f>H24*$C$26</f>
        <v>0.28000000000000003</v>
      </c>
      <c r="J26" s="397">
        <f>IF(I2="K",IF(K26&gt;0,K26,I26*$E$26),0)</f>
        <v>0</v>
      </c>
      <c r="K26" s="646">
        <v>0</v>
      </c>
      <c r="L26" s="411"/>
      <c r="M26" s="400">
        <f>L24*$C$26</f>
        <v>0.28000000000000003</v>
      </c>
      <c r="N26" s="397">
        <f>IF(M2="K",IF(O26&gt;0,O26,M26*$E$26),0)</f>
        <v>0</v>
      </c>
      <c r="O26" s="646">
        <v>0</v>
      </c>
      <c r="P26" s="411"/>
      <c r="Q26" s="400">
        <f>P24*$C$26</f>
        <v>0.28000000000000003</v>
      </c>
      <c r="R26" s="397">
        <f>IF(Q2="K",IF(S26&gt;0,S26,Q26*$E$26),0)</f>
        <v>0</v>
      </c>
      <c r="S26" s="646">
        <v>0</v>
      </c>
      <c r="T26" s="8">
        <f>IF($E$2="k",F26)+IF($I$2="k",J26)+IF($M$2="k",N26)+IF($Q$2="k",R26)</f>
        <v>210.00000000000003</v>
      </c>
    </row>
    <row r="27" spans="1:29" x14ac:dyDescent="0.2">
      <c r="B27" s="396" t="s">
        <v>125</v>
      </c>
      <c r="C27" s="919" t="s">
        <v>126</v>
      </c>
      <c r="D27" s="920"/>
      <c r="E27" s="920"/>
      <c r="F27" s="77">
        <v>1000</v>
      </c>
      <c r="G27" s="39"/>
      <c r="H27" s="411"/>
      <c r="I27" s="412" t="str">
        <f>$B$27</f>
        <v>Muut:</v>
      </c>
      <c r="J27" s="77"/>
      <c r="K27" s="101"/>
      <c r="L27" s="411"/>
      <c r="M27" s="412" t="str">
        <f>$B$27</f>
        <v>Muut:</v>
      </c>
      <c r="N27" s="77">
        <v>1</v>
      </c>
      <c r="O27" s="101"/>
      <c r="P27" s="411"/>
      <c r="Q27" s="412" t="str">
        <f>$B$27</f>
        <v>Muut:</v>
      </c>
      <c r="R27" s="77">
        <v>1</v>
      </c>
      <c r="S27" s="101"/>
      <c r="T27" s="8">
        <f>IF($E$2="k",F27)+IF($I$2="k",J27)+IF($M$2="k",N27)+IF($Q$2="k",R27)</f>
        <v>1000</v>
      </c>
    </row>
    <row r="28" spans="1:29" ht="13.5" thickBot="1" x14ac:dyDescent="0.25">
      <c r="B28" s="396" t="s">
        <v>125</v>
      </c>
      <c r="C28" s="919" t="s">
        <v>113</v>
      </c>
      <c r="D28" s="920"/>
      <c r="E28" s="920"/>
      <c r="F28" s="77">
        <v>2000</v>
      </c>
      <c r="G28" s="39"/>
      <c r="H28" s="411"/>
      <c r="I28" s="412" t="str">
        <f>$B$28</f>
        <v>Muut:</v>
      </c>
      <c r="J28" s="77"/>
      <c r="K28" s="101"/>
      <c r="L28" s="411"/>
      <c r="M28" s="412" t="str">
        <f>$B$28</f>
        <v>Muut:</v>
      </c>
      <c r="N28" s="77">
        <v>1</v>
      </c>
      <c r="O28" s="101"/>
      <c r="P28" s="411"/>
      <c r="Q28" s="412" t="str">
        <f>$B$28</f>
        <v>Muut:</v>
      </c>
      <c r="R28" s="77">
        <v>1</v>
      </c>
      <c r="S28" s="101"/>
      <c r="T28" s="8">
        <f>IF($E$2="k",F28)+IF($I$2="k",J28)+IF($M$2="k",N28)+IF($Q$2="k",R28)</f>
        <v>2000</v>
      </c>
    </row>
    <row r="29" spans="1:29" ht="13.5" thickBot="1" x14ac:dyDescent="0.25">
      <c r="B29" s="60" t="s">
        <v>127</v>
      </c>
      <c r="C29" s="51"/>
      <c r="D29" s="51"/>
      <c r="E29" s="51"/>
      <c r="F29" s="55">
        <f>IF(E2="k",SUM(F23:F28),0)</f>
        <v>9710</v>
      </c>
      <c r="G29" s="210">
        <f>F29/F5</f>
        <v>48.55</v>
      </c>
      <c r="H29" s="413"/>
      <c r="J29" s="55">
        <f>IF(I2="k",SUM(J23:J28),0)</f>
        <v>0</v>
      </c>
      <c r="K29" s="414">
        <f>J29/J5</f>
        <v>0</v>
      </c>
      <c r="L29" s="413"/>
      <c r="N29" s="55">
        <f>IF(M2="k",SUM(N23:N28),0)</f>
        <v>0</v>
      </c>
      <c r="O29" s="414">
        <f>N29/N5</f>
        <v>0</v>
      </c>
      <c r="P29" s="413"/>
      <c r="R29" s="55">
        <f>IF(Q2="k",SUM(R23:R28),0)</f>
        <v>0</v>
      </c>
      <c r="S29" s="414">
        <f>R29/R5</f>
        <v>0</v>
      </c>
      <c r="T29" s="94">
        <f t="shared" si="0"/>
        <v>9710</v>
      </c>
      <c r="U29" s="105">
        <f>SUM(G29,K29,O29,S29)</f>
        <v>48.55</v>
      </c>
    </row>
    <row r="30" spans="1:29" ht="13.5" thickBot="1" x14ac:dyDescent="0.25">
      <c r="A30" s="6" t="s">
        <v>128</v>
      </c>
      <c r="F30" s="106">
        <f>F21+F29</f>
        <v>25630.717131474106</v>
      </c>
      <c r="G30" s="12"/>
      <c r="H30" s="415"/>
      <c r="J30" s="55">
        <f>IF(I2="k",J21+J29,0)</f>
        <v>0</v>
      </c>
      <c r="K30" s="107"/>
      <c r="L30" s="415"/>
      <c r="N30" s="55">
        <f>IF(M2="k",N21+N29,0)</f>
        <v>0</v>
      </c>
      <c r="O30" s="107"/>
      <c r="P30" s="415"/>
      <c r="R30" s="55">
        <f>IF(Q2="k",R21+R29,0)</f>
        <v>0</v>
      </c>
      <c r="S30" s="107"/>
      <c r="T30" s="94">
        <f t="shared" si="0"/>
        <v>25630.717131474106</v>
      </c>
    </row>
    <row r="31" spans="1:29" ht="13.5" thickBot="1" x14ac:dyDescent="0.25">
      <c r="F31" s="7"/>
      <c r="H31" s="119"/>
      <c r="J31" s="7"/>
      <c r="K31" s="73"/>
      <c r="L31" s="119"/>
      <c r="N31" s="7"/>
      <c r="O31" s="73"/>
      <c r="P31" s="119"/>
      <c r="R31" s="7"/>
      <c r="S31" s="73"/>
    </row>
    <row r="32" spans="1:29" ht="13.5" thickBot="1" x14ac:dyDescent="0.25">
      <c r="A32" s="6" t="s">
        <v>129</v>
      </c>
      <c r="F32" s="235">
        <f>IF(E2="k",F30/F5,)</f>
        <v>128.15358565737054</v>
      </c>
      <c r="G32" s="12"/>
      <c r="H32" s="415"/>
      <c r="J32" s="13">
        <f>IF(I2="k",J30/J5,0)</f>
        <v>0</v>
      </c>
      <c r="K32" s="107"/>
      <c r="L32" s="415"/>
      <c r="N32" s="13">
        <f>IF(M2="k",N30/N5,0)</f>
        <v>0</v>
      </c>
      <c r="O32" s="107"/>
      <c r="P32" s="415"/>
      <c r="R32" s="13">
        <f>IF(Q2="k",R30/R5,0)</f>
        <v>0</v>
      </c>
      <c r="S32" s="107"/>
      <c r="T32" s="108">
        <f t="shared" si="0"/>
        <v>128.15358565737054</v>
      </c>
    </row>
    <row r="33" spans="2:20" x14ac:dyDescent="0.2">
      <c r="B33" s="6" t="s">
        <v>130</v>
      </c>
      <c r="E33" s="203">
        <v>0</v>
      </c>
      <c r="F33" s="234">
        <f>IF(E2="k",((100%/(100%-E33))*F32)-F32,0)</f>
        <v>0</v>
      </c>
      <c r="G33" s="10"/>
      <c r="H33" s="405"/>
      <c r="I33" s="203">
        <f>E33</f>
        <v>0</v>
      </c>
      <c r="J33" s="7">
        <f>IF(I2="k",((100%/(100%-I33))*J32)-J32,0)</f>
        <v>0</v>
      </c>
      <c r="K33" s="85"/>
      <c r="L33" s="405"/>
      <c r="M33" s="203">
        <f>I33</f>
        <v>0</v>
      </c>
      <c r="N33" s="7">
        <f>IF(M2="k",((100%/(100%-M33))*N32)-N32,0)</f>
        <v>0</v>
      </c>
      <c r="O33" s="85"/>
      <c r="P33" s="405"/>
      <c r="Q33" s="203">
        <f>M33</f>
        <v>0</v>
      </c>
      <c r="R33" s="7">
        <f>IF(Q2="k",((100%/(100%-Q33))*R32)-R32,0)</f>
        <v>0</v>
      </c>
      <c r="S33" s="85"/>
      <c r="T33" s="36">
        <f t="shared" si="0"/>
        <v>0</v>
      </c>
    </row>
    <row r="34" spans="2:20" ht="13.5" thickBot="1" x14ac:dyDescent="0.25">
      <c r="B34" s="4" t="s">
        <v>131</v>
      </c>
      <c r="C34" s="160" t="s">
        <v>132</v>
      </c>
      <c r="F34" s="294">
        <v>20</v>
      </c>
      <c r="G34" s="10"/>
      <c r="H34" s="405"/>
      <c r="I34" s="109" t="s">
        <v>133</v>
      </c>
      <c r="J34" s="57">
        <v>0</v>
      </c>
      <c r="K34" s="85"/>
      <c r="L34" s="405"/>
      <c r="M34" s="109"/>
      <c r="N34" s="57">
        <v>0</v>
      </c>
      <c r="O34" s="85"/>
      <c r="P34" s="405"/>
      <c r="Q34" s="109"/>
      <c r="R34" s="57">
        <v>20</v>
      </c>
      <c r="S34" s="85"/>
      <c r="T34" s="8">
        <f>IF($E$2="k",F34)+IF($I$2="k",J34)+IF($M$2="k",N34)+IF($Q$2="k",R34)</f>
        <v>20</v>
      </c>
    </row>
    <row r="35" spans="2:20" x14ac:dyDescent="0.2">
      <c r="B35" s="116" t="s">
        <v>134</v>
      </c>
      <c r="C35" s="115"/>
      <c r="D35" s="115"/>
      <c r="E35" s="115"/>
      <c r="F35" s="117">
        <f>IF(E2="K",SUM(F32:F34),0)</f>
        <v>148.15358565737054</v>
      </c>
      <c r="G35" s="10"/>
      <c r="H35" s="405"/>
      <c r="J35" s="117">
        <f>IF(I2="K",SUM(J32:J34),0)</f>
        <v>0</v>
      </c>
      <c r="K35" s="85"/>
      <c r="L35" s="405"/>
      <c r="N35" s="117">
        <f>IF(M2="K",SUM(N32:N34),0)</f>
        <v>0</v>
      </c>
      <c r="O35" s="85"/>
      <c r="P35" s="405"/>
      <c r="R35" s="117">
        <f>IF(Q2="K",SUM(R32:R34),0)</f>
        <v>0</v>
      </c>
      <c r="S35" s="85"/>
      <c r="T35" s="118">
        <f>SUM(F35,J35,N35,R35)</f>
        <v>148.15358565737054</v>
      </c>
    </row>
    <row r="36" spans="2:20" ht="13.5" thickBot="1" x14ac:dyDescent="0.25">
      <c r="B36" s="119" t="s">
        <v>135</v>
      </c>
      <c r="E36" s="592">
        <v>0.255</v>
      </c>
      <c r="F36" s="291">
        <f>E36*F35</f>
        <v>37.779164342629485</v>
      </c>
      <c r="G36" s="401"/>
      <c r="H36" s="405"/>
      <c r="I36" s="593">
        <f>$E$36</f>
        <v>0.255</v>
      </c>
      <c r="J36" s="291">
        <f>I36*J35</f>
        <v>0</v>
      </c>
      <c r="K36" s="85"/>
      <c r="L36" s="405"/>
      <c r="M36" s="593">
        <f>$E$36</f>
        <v>0.255</v>
      </c>
      <c r="N36" s="291">
        <f>M36*N35</f>
        <v>0</v>
      </c>
      <c r="O36" s="85"/>
      <c r="P36" s="405"/>
      <c r="Q36" s="593">
        <f>$E$36</f>
        <v>0.255</v>
      </c>
      <c r="R36" s="291">
        <f>Q36*R35</f>
        <v>0</v>
      </c>
      <c r="S36" s="85"/>
      <c r="T36" s="120">
        <f>SUM(F36,J36,N36,R36)</f>
        <v>37.779164342629485</v>
      </c>
    </row>
    <row r="37" spans="2:20" ht="13.5" thickBot="1" x14ac:dyDescent="0.25">
      <c r="B37" s="121" t="s">
        <v>136</v>
      </c>
      <c r="C37" s="114"/>
      <c r="D37" s="114"/>
      <c r="E37" s="114"/>
      <c r="F37" s="110">
        <f>IF(E2="k",SUM(F35:F36),0)</f>
        <v>185.93275000000003</v>
      </c>
      <c r="G37" s="113"/>
      <c r="H37" s="416"/>
      <c r="I37" s="114"/>
      <c r="J37" s="110">
        <f>IF(I2="k",SUM(J35:J36),0)</f>
        <v>0</v>
      </c>
      <c r="K37" s="112"/>
      <c r="L37" s="416"/>
      <c r="M37" s="114"/>
      <c r="N37" s="110">
        <f>IF(M2="k",SUM(N35:N36),0)</f>
        <v>0</v>
      </c>
      <c r="O37" s="112"/>
      <c r="P37" s="416"/>
      <c r="Q37" s="114"/>
      <c r="R37" s="110">
        <f>IF(Q2="k",SUM(R35:R36),0)</f>
        <v>0</v>
      </c>
      <c r="S37" s="112"/>
      <c r="T37" s="108">
        <f t="shared" si="0"/>
        <v>185.93275000000003</v>
      </c>
    </row>
    <row r="40" spans="2:20" x14ac:dyDescent="0.2">
      <c r="B40" s="4" t="s">
        <v>139</v>
      </c>
      <c r="C40" s="172" t="str">
        <f>Ohjeet!C2</f>
        <v>2024.12</v>
      </c>
    </row>
    <row r="42" spans="2:20" x14ac:dyDescent="0.2">
      <c r="B42" s="160" t="s">
        <v>215</v>
      </c>
      <c r="F42" s="176">
        <v>1.2</v>
      </c>
      <c r="G42" s="160" t="s">
        <v>216</v>
      </c>
    </row>
    <row r="43" spans="2:20" x14ac:dyDescent="0.2">
      <c r="B43" s="160" t="s">
        <v>217</v>
      </c>
      <c r="F43" s="176">
        <v>10</v>
      </c>
      <c r="G43" s="160" t="s">
        <v>99</v>
      </c>
    </row>
    <row r="44" spans="2:20" ht="13.5" thickBot="1" x14ac:dyDescent="0.25">
      <c r="B44" s="160" t="s">
        <v>218</v>
      </c>
      <c r="F44" s="176">
        <v>20</v>
      </c>
      <c r="G44" s="160" t="s">
        <v>219</v>
      </c>
      <c r="H44" s="298" t="s">
        <v>220</v>
      </c>
      <c r="I44" s="299"/>
    </row>
    <row r="45" spans="2:20" x14ac:dyDescent="0.2">
      <c r="B45" s="160" t="s">
        <v>221</v>
      </c>
      <c r="F45" s="648">
        <v>5000</v>
      </c>
      <c r="G45" s="160" t="s">
        <v>222</v>
      </c>
      <c r="H45" s="649">
        <v>0.9</v>
      </c>
      <c r="I45" s="1074">
        <f>SUM(H45:H47)</f>
        <v>1</v>
      </c>
    </row>
    <row r="46" spans="2:20" x14ac:dyDescent="0.2">
      <c r="B46" s="160" t="s">
        <v>223</v>
      </c>
      <c r="F46" s="648">
        <v>3000</v>
      </c>
      <c r="G46" s="160" t="s">
        <v>222</v>
      </c>
      <c r="H46" s="650">
        <v>0.05</v>
      </c>
      <c r="I46" s="1075"/>
    </row>
    <row r="47" spans="2:20" ht="13.5" thickBot="1" x14ac:dyDescent="0.25">
      <c r="B47" s="160" t="s">
        <v>224</v>
      </c>
      <c r="F47" s="648">
        <v>1000</v>
      </c>
      <c r="G47" s="160" t="s">
        <v>222</v>
      </c>
      <c r="H47" s="651">
        <v>0.05</v>
      </c>
      <c r="I47" s="1076"/>
    </row>
    <row r="48" spans="2:20" x14ac:dyDescent="0.2">
      <c r="B48" s="160" t="s">
        <v>225</v>
      </c>
      <c r="F48" s="231">
        <f>(F42*F43*F45*F42*H45)+(F42*F43*F46*H46)+(F42*F47*H47)</f>
        <v>66660</v>
      </c>
      <c r="G48" s="160" t="s">
        <v>40</v>
      </c>
    </row>
    <row r="49" spans="2:7" x14ac:dyDescent="0.2">
      <c r="B49" s="160" t="s">
        <v>226</v>
      </c>
      <c r="F49" s="231">
        <f>F48*F44</f>
        <v>1333200</v>
      </c>
      <c r="G49" s="160" t="s">
        <v>40</v>
      </c>
    </row>
    <row r="50" spans="2:7" x14ac:dyDescent="0.2">
      <c r="B50" s="160" t="s">
        <v>227</v>
      </c>
      <c r="F50" s="652">
        <f>F44*F43</f>
        <v>200</v>
      </c>
      <c r="G50" s="160" t="s">
        <v>228</v>
      </c>
    </row>
    <row r="51" spans="2:7" x14ac:dyDescent="0.2">
      <c r="B51" s="6" t="s">
        <v>229</v>
      </c>
      <c r="F51" s="228">
        <f>F43*F42*F44</f>
        <v>240</v>
      </c>
      <c r="G51" s="160" t="s">
        <v>58</v>
      </c>
    </row>
    <row r="52" spans="2:7" x14ac:dyDescent="0.2">
      <c r="B52" s="6" t="s">
        <v>230</v>
      </c>
      <c r="F52" s="229">
        <f>T35/F42</f>
        <v>123.46132138114213</v>
      </c>
      <c r="G52" s="6" t="s">
        <v>231</v>
      </c>
    </row>
    <row r="53" spans="2:7" x14ac:dyDescent="0.2">
      <c r="F53" s="229">
        <f>T37/F42</f>
        <v>154.94395833333337</v>
      </c>
      <c r="G53" s="6" t="s">
        <v>232</v>
      </c>
    </row>
  </sheetData>
  <sheetProtection algorithmName="SHA-512" hashValue="gpljAAeviEaEswlCGRGUimFRn9k7d4f4scS0JT07/6VRmnbrUj7ln9qCVcghh8fnz47Q1NHlz3s0vuyg8+JW1g==" saltValue="TfdDKOy1H3URezbPT8MqNQ==" spinCount="100000" sheet="1" formatCells="0" formatColumns="0" formatRows="0"/>
  <mergeCells count="16">
    <mergeCell ref="Q3:R3"/>
    <mergeCell ref="I45:I47"/>
    <mergeCell ref="E1:G1"/>
    <mergeCell ref="H1:J1"/>
    <mergeCell ref="L1:N1"/>
    <mergeCell ref="P1:R1"/>
    <mergeCell ref="Q2:R2"/>
    <mergeCell ref="C27:E27"/>
    <mergeCell ref="C28:E28"/>
    <mergeCell ref="A2:B2"/>
    <mergeCell ref="E2:F2"/>
    <mergeCell ref="I2:J2"/>
    <mergeCell ref="M2:N2"/>
    <mergeCell ref="E3:F3"/>
    <mergeCell ref="I3:J3"/>
    <mergeCell ref="M3:N3"/>
  </mergeCell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Ohjeet!$A$63:$A$68</xm:f>
          </x14:formula1>
          <xm:sqref>V24</xm:sqref>
        </x14:dataValidation>
        <x14:dataValidation type="list" allowBlank="1" showInputMessage="1" showErrorMessage="1" xr:uid="{E1D59319-2C2C-460C-83B8-9336E7B62C3D}">
          <x14:formula1>
            <xm:f>Laskentayksikot!$E$2:$E$3</xm:f>
          </x14:formula1>
          <xm:sqref>E2:F2 I2:J2 M2:N2 Q2:R2</xm:sqref>
        </x14:dataValidation>
        <x14:dataValidation type="list" allowBlank="1" showInputMessage="1" showErrorMessage="1" xr:uid="{A8F8E175-A519-46AF-B681-8A99ECA1E06F}">
          <x14:formula1>
            <xm:f>Laskentayksikot!$E$7:$E$8</xm:f>
          </x14:formula1>
          <xm:sqref>D2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141"/>
  <sheetViews>
    <sheetView zoomScale="80" zoomScaleNormal="80" workbookViewId="0">
      <selection activeCell="F99" sqref="F99"/>
    </sheetView>
  </sheetViews>
  <sheetFormatPr defaultColWidth="9.140625" defaultRowHeight="12.75" x14ac:dyDescent="0.2"/>
  <cols>
    <col min="1" max="1" width="5.140625" style="4" customWidth="1"/>
    <col min="2" max="2" width="25.570312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8.28515625" style="4" customWidth="1"/>
    <col min="9" max="9" width="10.5703125" style="4" customWidth="1"/>
    <col min="10" max="10" width="28.7109375" style="4" customWidth="1"/>
    <col min="11" max="11" width="11" style="4" customWidth="1"/>
    <col min="12" max="12" width="7.42578125" style="4" customWidth="1"/>
    <col min="13" max="13" width="10" style="4" customWidth="1"/>
    <col min="14" max="14" width="13.85546875" style="4" customWidth="1"/>
    <col min="15" max="15" width="12.42578125" style="4" customWidth="1"/>
    <col min="16" max="16" width="8" style="4" customWidth="1"/>
    <col min="17" max="17" width="9.140625" style="4"/>
    <col min="18" max="18" width="13.85546875" style="4" customWidth="1"/>
    <col min="19" max="19" width="11" style="4" customWidth="1"/>
    <col min="20" max="20" width="14.28515625" style="4" customWidth="1"/>
    <col min="21" max="21" width="7.85546875" style="4" customWidth="1"/>
    <col min="22" max="22" width="12.7109375" style="4" customWidth="1"/>
    <col min="23" max="23" width="15.7109375" style="4" customWidth="1"/>
    <col min="24" max="24" width="13.140625" style="4" customWidth="1"/>
    <col min="25" max="25" width="11.42578125" style="4" customWidth="1"/>
    <col min="26" max="26" width="10.42578125" style="4" bestFit="1" customWidth="1"/>
    <col min="27" max="27" width="13.7109375" style="4" customWidth="1"/>
    <col min="28" max="28" width="12.140625" style="4" customWidth="1"/>
    <col min="29" max="29" width="11.140625" style="4" customWidth="1"/>
    <col min="30" max="33" width="9.140625" style="4"/>
    <col min="34" max="34" width="2.85546875" style="4" customWidth="1"/>
    <col min="35" max="16384" width="9.140625" style="4"/>
  </cols>
  <sheetData>
    <row r="1" spans="1:30" x14ac:dyDescent="0.2">
      <c r="A1" s="160" t="s">
        <v>233</v>
      </c>
    </row>
    <row r="2" spans="1:30" ht="39" thickBot="1" x14ac:dyDescent="0.3">
      <c r="A2" s="232" t="s">
        <v>234</v>
      </c>
      <c r="C2" s="6"/>
      <c r="E2" s="917" t="s">
        <v>235</v>
      </c>
      <c r="F2" s="917"/>
      <c r="G2" s="917"/>
      <c r="H2" s="918" t="s">
        <v>236</v>
      </c>
      <c r="I2" s="918"/>
      <c r="J2" s="918"/>
      <c r="L2" s="918" t="s">
        <v>236</v>
      </c>
      <c r="M2" s="918"/>
      <c r="N2" s="918"/>
      <c r="P2" s="918" t="s">
        <v>236</v>
      </c>
      <c r="Q2" s="918"/>
      <c r="R2" s="918"/>
      <c r="T2" s="6" t="s">
        <v>82</v>
      </c>
      <c r="U2" s="6"/>
      <c r="V2" s="6"/>
      <c r="W2" s="153" t="s">
        <v>33</v>
      </c>
      <c r="X2" s="152" t="s">
        <v>83</v>
      </c>
      <c r="Y2" s="152" t="s">
        <v>84</v>
      </c>
      <c r="Z2" s="152" t="s">
        <v>85</v>
      </c>
      <c r="AA2" s="152" t="s">
        <v>86</v>
      </c>
      <c r="AB2" s="152" t="s">
        <v>87</v>
      </c>
      <c r="AC2" s="152" t="s">
        <v>88</v>
      </c>
      <c r="AD2" s="159"/>
    </row>
    <row r="3" spans="1:30" ht="16.5" thickBot="1" x14ac:dyDescent="0.3">
      <c r="A3" s="911" t="s">
        <v>237</v>
      </c>
      <c r="B3" s="912"/>
      <c r="C3" s="4" t="s">
        <v>90</v>
      </c>
      <c r="D3" s="70" t="s">
        <v>69</v>
      </c>
      <c r="E3" s="913" t="s">
        <v>60</v>
      </c>
      <c r="F3" s="914"/>
      <c r="G3" s="71"/>
      <c r="H3" s="72"/>
      <c r="I3" s="913" t="s">
        <v>60</v>
      </c>
      <c r="J3" s="914"/>
      <c r="K3" s="71"/>
      <c r="L3" s="72"/>
      <c r="M3" s="913" t="s">
        <v>62</v>
      </c>
      <c r="N3" s="914"/>
      <c r="O3" s="71"/>
      <c r="P3" s="72"/>
      <c r="Q3" s="913" t="s">
        <v>62</v>
      </c>
      <c r="R3" s="914"/>
      <c r="S3" s="72"/>
      <c r="T3" s="212"/>
    </row>
    <row r="4" spans="1:30" x14ac:dyDescent="0.2">
      <c r="C4" s="10" t="s">
        <v>91</v>
      </c>
      <c r="E4" s="1077" t="s">
        <v>238</v>
      </c>
      <c r="F4" s="922"/>
      <c r="G4" s="73"/>
      <c r="H4" s="74"/>
      <c r="I4" s="1078" t="s">
        <v>239</v>
      </c>
      <c r="J4" s="916"/>
      <c r="K4" s="73"/>
      <c r="L4" s="74"/>
      <c r="M4" s="1078" t="s">
        <v>240</v>
      </c>
      <c r="N4" s="916"/>
      <c r="O4" s="73"/>
      <c r="P4" s="74"/>
      <c r="Q4" s="1078" t="s">
        <v>241</v>
      </c>
      <c r="R4" s="916"/>
      <c r="T4" s="213" t="str">
        <f>"Kytketty koneet: "&amp;IF(E3="k",E4&amp;" ","")&amp;IF(I3="k",I4&amp;" ","")&amp;IF(M3="k",M4&amp;" ","")&amp;(IF(Q3="k",Q4&amp;" ",""))</f>
        <v xml:space="preserve">Kytketty koneet: Pakettikuivaamo Kuivurikoneisto </v>
      </c>
      <c r="U4" s="6"/>
    </row>
    <row r="5" spans="1:30" x14ac:dyDescent="0.2">
      <c r="A5" s="160" t="s">
        <v>242</v>
      </c>
      <c r="C5" s="349" t="s">
        <v>243</v>
      </c>
      <c r="E5" s="175" t="s">
        <v>244</v>
      </c>
      <c r="F5" s="206">
        <v>32</v>
      </c>
      <c r="G5" s="73"/>
      <c r="H5" s="74"/>
      <c r="I5" s="175" t="str">
        <f>E5</f>
        <v>m3</v>
      </c>
      <c r="J5" s="206">
        <f>F5</f>
        <v>32</v>
      </c>
      <c r="K5" s="73"/>
      <c r="L5" s="74"/>
      <c r="M5" s="175" t="str">
        <f>I5</f>
        <v>m3</v>
      </c>
      <c r="N5" s="344">
        <f>F59</f>
        <v>61.53846153846154</v>
      </c>
      <c r="O5" s="73"/>
      <c r="P5" s="74"/>
      <c r="Q5" s="175" t="str">
        <f>M5</f>
        <v>m3</v>
      </c>
      <c r="R5" s="206">
        <v>0</v>
      </c>
      <c r="T5" s="213"/>
      <c r="U5" s="6"/>
    </row>
    <row r="6" spans="1:30" x14ac:dyDescent="0.2">
      <c r="A6" s="160"/>
      <c r="C6" s="10"/>
      <c r="E6" s="227" t="s">
        <v>245</v>
      </c>
      <c r="F6" s="254">
        <f>F5*10</f>
        <v>320</v>
      </c>
      <c r="G6" s="73"/>
      <c r="H6" s="74"/>
      <c r="I6" s="74" t="str">
        <f>E6</f>
        <v>hl</v>
      </c>
      <c r="J6" s="254">
        <f>J5*10</f>
        <v>320</v>
      </c>
      <c r="K6" s="73"/>
      <c r="L6" s="74"/>
      <c r="M6" s="74" t="str">
        <f>I6</f>
        <v>hl</v>
      </c>
      <c r="N6" s="254">
        <f>N5*10</f>
        <v>615.38461538461536</v>
      </c>
      <c r="O6" s="73"/>
      <c r="P6" s="74"/>
      <c r="Q6" s="74" t="str">
        <f>M6</f>
        <v>hl</v>
      </c>
      <c r="R6" s="254">
        <f>R5*10</f>
        <v>0</v>
      </c>
      <c r="T6" s="213"/>
      <c r="U6" s="6"/>
    </row>
    <row r="7" spans="1:30" x14ac:dyDescent="0.2">
      <c r="A7" s="160" t="s">
        <v>246</v>
      </c>
      <c r="E7" s="224" t="s">
        <v>96</v>
      </c>
      <c r="F7" s="75">
        <v>15</v>
      </c>
      <c r="G7" s="73"/>
      <c r="I7" s="224" t="s">
        <v>96</v>
      </c>
      <c r="J7" s="75">
        <v>15</v>
      </c>
      <c r="K7" s="73"/>
      <c r="M7" s="224" t="s">
        <v>96</v>
      </c>
      <c r="N7" s="75">
        <f>F7</f>
        <v>15</v>
      </c>
      <c r="O7" s="73"/>
      <c r="Q7" s="224" t="s">
        <v>96</v>
      </c>
      <c r="R7" s="75">
        <v>15</v>
      </c>
      <c r="T7" s="214" t="s">
        <v>97</v>
      </c>
      <c r="U7" s="160"/>
    </row>
    <row r="8" spans="1:30" x14ac:dyDescent="0.2">
      <c r="A8" s="4" t="s">
        <v>98</v>
      </c>
      <c r="C8" s="349" t="s">
        <v>247</v>
      </c>
      <c r="E8" s="82" t="s">
        <v>99</v>
      </c>
      <c r="F8" s="220">
        <v>140</v>
      </c>
      <c r="G8" s="73"/>
      <c r="I8" s="82" t="s">
        <v>99</v>
      </c>
      <c r="J8" s="221">
        <f>F8</f>
        <v>140</v>
      </c>
      <c r="K8" s="73"/>
      <c r="M8" s="82" t="s">
        <v>99</v>
      </c>
      <c r="N8" s="221">
        <f>8*365</f>
        <v>2920</v>
      </c>
      <c r="O8" s="73"/>
      <c r="Q8" s="82" t="s">
        <v>99</v>
      </c>
      <c r="R8" s="221">
        <v>10</v>
      </c>
      <c r="T8" s="653">
        <f>IF($E$3="k",(F8),0)+IF($I$3="k",(J8),0)+IF($M$3="k",(N8),0)+IF($Q$3="k",(R8),0)</f>
        <v>280</v>
      </c>
      <c r="U8" s="654"/>
    </row>
    <row r="9" spans="1:30" x14ac:dyDescent="0.2">
      <c r="A9" s="160" t="s">
        <v>248</v>
      </c>
      <c r="F9" s="77">
        <v>85000</v>
      </c>
      <c r="G9" s="73"/>
      <c r="J9" s="77">
        <v>50000</v>
      </c>
      <c r="K9" s="73"/>
      <c r="N9" s="77">
        <f>110*N5</f>
        <v>6769.2307692307695</v>
      </c>
      <c r="O9" s="73"/>
      <c r="R9" s="77">
        <v>5000</v>
      </c>
      <c r="T9" s="215"/>
    </row>
    <row r="10" spans="1:30" x14ac:dyDescent="0.2">
      <c r="A10" s="4" t="s">
        <v>101</v>
      </c>
      <c r="E10" s="596">
        <v>0</v>
      </c>
      <c r="F10" s="222">
        <f>F9/(100%+E10)*E10</f>
        <v>0</v>
      </c>
      <c r="G10" s="79"/>
      <c r="H10" s="7"/>
      <c r="I10" s="596">
        <v>0</v>
      </c>
      <c r="J10" s="222">
        <f>J9/(100%+I10)*I10</f>
        <v>0</v>
      </c>
      <c r="K10" s="79"/>
      <c r="L10" s="7"/>
      <c r="M10" s="596">
        <v>0</v>
      </c>
      <c r="N10" s="222">
        <f>N9/(100%+M10)*M10</f>
        <v>0</v>
      </c>
      <c r="O10" s="79"/>
      <c r="P10" s="7"/>
      <c r="Q10" s="596">
        <v>0</v>
      </c>
      <c r="R10" s="222">
        <f>R9/(100%+Q10)*Q10</f>
        <v>0</v>
      </c>
      <c r="S10" s="7"/>
      <c r="T10" s="215"/>
    </row>
    <row r="11" spans="1:30" x14ac:dyDescent="0.2">
      <c r="A11" s="160" t="s">
        <v>249</v>
      </c>
      <c r="F11" s="80">
        <f>F9-F10</f>
        <v>85000</v>
      </c>
      <c r="G11" s="73"/>
      <c r="J11" s="80">
        <f>J9-J10</f>
        <v>50000</v>
      </c>
      <c r="K11" s="73"/>
      <c r="N11" s="80">
        <f>N9-N10</f>
        <v>6769.2307692307695</v>
      </c>
      <c r="O11" s="73"/>
      <c r="R11" s="80">
        <f>R9-R10</f>
        <v>5000</v>
      </c>
      <c r="T11" s="215"/>
    </row>
    <row r="12" spans="1:30" x14ac:dyDescent="0.2">
      <c r="A12" s="160" t="s">
        <v>250</v>
      </c>
      <c r="E12" s="225">
        <v>0</v>
      </c>
      <c r="F12" s="222">
        <f>E12*F11</f>
        <v>0</v>
      </c>
      <c r="G12" s="73"/>
      <c r="I12" s="20">
        <v>0</v>
      </c>
      <c r="J12" s="78">
        <f>I12*J11</f>
        <v>0</v>
      </c>
      <c r="K12" s="73"/>
      <c r="M12" s="225">
        <v>0</v>
      </c>
      <c r="N12" s="222">
        <f>M12*N11</f>
        <v>0</v>
      </c>
      <c r="O12" s="73"/>
      <c r="Q12" s="225">
        <v>0</v>
      </c>
      <c r="R12" s="222">
        <f>Q12*R11</f>
        <v>0</v>
      </c>
      <c r="T12" s="215"/>
    </row>
    <row r="13" spans="1:30" x14ac:dyDescent="0.2">
      <c r="A13" s="4" t="s">
        <v>104</v>
      </c>
      <c r="F13" s="81">
        <f>F11-F12</f>
        <v>85000</v>
      </c>
      <c r="G13" s="73"/>
      <c r="I13" s="82"/>
      <c r="J13" s="223">
        <f>J11-J12</f>
        <v>50000</v>
      </c>
      <c r="K13" s="73"/>
      <c r="N13" s="81">
        <f>N11-N12</f>
        <v>6769.2307692307695</v>
      </c>
      <c r="O13" s="73"/>
      <c r="R13" s="81">
        <f>R11-R12</f>
        <v>5000</v>
      </c>
      <c r="T13" s="215"/>
    </row>
    <row r="14" spans="1:30" ht="13.5" thickBot="1" x14ac:dyDescent="0.25">
      <c r="A14" s="24" t="s">
        <v>105</v>
      </c>
      <c r="F14" s="82"/>
      <c r="G14" s="73"/>
      <c r="J14" s="82"/>
      <c r="K14" s="73"/>
      <c r="N14" s="82"/>
      <c r="O14" s="73"/>
      <c r="R14" s="82"/>
      <c r="T14" s="242" t="s">
        <v>106</v>
      </c>
      <c r="U14" s="354" t="s">
        <v>158</v>
      </c>
    </row>
    <row r="15" spans="1:30" x14ac:dyDescent="0.2">
      <c r="A15" s="9"/>
      <c r="B15" s="25" t="s">
        <v>107</v>
      </c>
      <c r="C15" s="26"/>
      <c r="D15" s="27" t="s">
        <v>108</v>
      </c>
      <c r="E15" s="83">
        <v>0.05</v>
      </c>
      <c r="F15" s="78">
        <f>IF(E3="k",IF(D3="A",ABS(PMT(E15,F7,-F11,E12*F11,0)),SUM(F16:F17)),0)</f>
        <v>7791.666666666667</v>
      </c>
      <c r="G15" s="73"/>
      <c r="I15" s="226">
        <v>0.05</v>
      </c>
      <c r="J15" s="222">
        <f>IF(I3="k",IF($D$3="A",ABS(PMT(I15,J7,-J11,I12*J11,0)),SUM(J16:J17)),0)</f>
        <v>4583.3333333333339</v>
      </c>
      <c r="K15" s="73"/>
      <c r="M15" s="226">
        <v>0.05</v>
      </c>
      <c r="N15" s="222">
        <f>IF(M3="k",IF($D$3="A",ABS(PMT(M15,N7,-N11,M12*N11,0)),SUM(N16:N17)),0)</f>
        <v>0</v>
      </c>
      <c r="O15" s="73"/>
      <c r="Q15" s="226">
        <v>0.05</v>
      </c>
      <c r="R15" s="222">
        <f>IF(Q3="k",IF($D$3="A",ABS(PMT(Q15,R7,-R11,Q12*R11,0)),SUM(R16:R17)),0)</f>
        <v>0</v>
      </c>
      <c r="T15" s="353">
        <f>SUM(F15,J15,N15,R15)</f>
        <v>12375</v>
      </c>
      <c r="U15" s="655"/>
    </row>
    <row r="16" spans="1:30" x14ac:dyDescent="0.2">
      <c r="B16" s="30" t="s">
        <v>109</v>
      </c>
      <c r="F16" s="84">
        <f>IF(E3="k",IF(D3="A",E15*F11,F11/2*E15),0)</f>
        <v>2125</v>
      </c>
      <c r="G16" s="85"/>
      <c r="H16" s="10"/>
      <c r="J16" s="84">
        <f>IF(I3="k",IF($D$3="A",I15*J11,J11/2*I15),0)</f>
        <v>1250</v>
      </c>
      <c r="K16" s="85"/>
      <c r="L16" s="10"/>
      <c r="N16" s="84">
        <f>IF(M3="k",IF($D$3="A",M15*N11,N11/2*M15),0)</f>
        <v>0</v>
      </c>
      <c r="O16" s="85"/>
      <c r="P16" s="10"/>
      <c r="R16" s="84">
        <f>IF(Q3="k",IF($D$3="A",Q15*R11,R11/2*Q15),0)</f>
        <v>0</v>
      </c>
      <c r="S16" s="10"/>
      <c r="T16" s="216">
        <f t="shared" ref="T16:T41" si="0">SUM(F16,J16,N16,R16)</f>
        <v>3375</v>
      </c>
      <c r="U16" s="655">
        <f t="shared" ref="U16:U33" si="1">T16/$T$34</f>
        <v>0.24640432211433158</v>
      </c>
    </row>
    <row r="17" spans="1:30" ht="13.5" thickBot="1" x14ac:dyDescent="0.25">
      <c r="B17" s="32" t="s">
        <v>110</v>
      </c>
      <c r="C17" s="33"/>
      <c r="D17" s="33"/>
      <c r="E17" s="33"/>
      <c r="F17" s="86">
        <f>IF(E3="k",IF(D3="A",F15-F16,F13/F7),0)</f>
        <v>5666.666666666667</v>
      </c>
      <c r="G17" s="73"/>
      <c r="J17" s="86">
        <f>IF(I3="k",IF($D$3="A",J15-J16,J13/J7),0)</f>
        <v>3333.3333333333335</v>
      </c>
      <c r="K17" s="73"/>
      <c r="N17" s="86">
        <f>IF(M3="k",IF($D$3="A",N15-N16,N13/N7),0)</f>
        <v>0</v>
      </c>
      <c r="O17" s="73"/>
      <c r="R17" s="86">
        <f>IF(Q3="k",IF($D$3="A",R15-R16,R13/R7),0)</f>
        <v>0</v>
      </c>
      <c r="T17" s="216">
        <f t="shared" si="0"/>
        <v>9000</v>
      </c>
      <c r="U17" s="655">
        <f t="shared" si="1"/>
        <v>0.65707819230488418</v>
      </c>
    </row>
    <row r="18" spans="1:30" ht="18" customHeight="1" x14ac:dyDescent="0.2">
      <c r="B18" s="35"/>
      <c r="F18" s="86"/>
      <c r="G18" s="73"/>
      <c r="J18" s="86"/>
      <c r="K18" s="73"/>
      <c r="N18" s="86"/>
      <c r="O18" s="73"/>
      <c r="R18" s="86"/>
      <c r="T18" s="215"/>
      <c r="U18" s="655"/>
    </row>
    <row r="19" spans="1:30" x14ac:dyDescent="0.2">
      <c r="B19" s="199"/>
      <c r="C19" s="198"/>
      <c r="D19" s="37"/>
      <c r="E19" s="87"/>
      <c r="F19" s="88">
        <v>0</v>
      </c>
      <c r="G19" s="85"/>
      <c r="H19" s="10"/>
      <c r="I19" s="44"/>
      <c r="J19" s="77">
        <v>0</v>
      </c>
      <c r="K19" s="85"/>
      <c r="L19" s="10"/>
      <c r="M19" s="44"/>
      <c r="N19" s="77">
        <v>0</v>
      </c>
      <c r="O19" s="85"/>
      <c r="P19" s="10"/>
      <c r="Q19" s="44"/>
      <c r="R19" s="77">
        <v>0</v>
      </c>
      <c r="S19" s="10"/>
      <c r="T19" s="217">
        <f>IF($E$3="k",F19)+IF($I$3="k",J19)+IF($M$3="k",N19)+IF($Q$3="k",R19)</f>
        <v>0</v>
      </c>
      <c r="U19" s="655">
        <f t="shared" si="1"/>
        <v>0</v>
      </c>
    </row>
    <row r="20" spans="1:30" x14ac:dyDescent="0.2">
      <c r="B20" s="174" t="s">
        <v>251</v>
      </c>
      <c r="C20" s="41"/>
      <c r="D20" s="42"/>
      <c r="E20" s="83">
        <v>2E-3</v>
      </c>
      <c r="F20" s="88">
        <f>F9*E20</f>
        <v>170</v>
      </c>
      <c r="G20" s="85"/>
      <c r="H20" s="10"/>
      <c r="I20" s="83">
        <v>2E-3</v>
      </c>
      <c r="J20" s="88">
        <f>J9*I20</f>
        <v>100</v>
      </c>
      <c r="K20" s="85"/>
      <c r="L20" s="10"/>
      <c r="M20" s="83">
        <v>2E-3</v>
      </c>
      <c r="N20" s="88">
        <f>N9*M20</f>
        <v>13.53846153846154</v>
      </c>
      <c r="O20" s="85"/>
      <c r="P20" s="10"/>
      <c r="Q20" s="83">
        <v>2E-3</v>
      </c>
      <c r="R20" s="88">
        <f>R9*Q20</f>
        <v>10</v>
      </c>
      <c r="S20" s="10"/>
      <c r="T20" s="217">
        <f>IF($E$3="k",F20)+IF($I$3="k",J20)+IF($M$3="k",N20)+IF($Q$3="k",R20)</f>
        <v>270</v>
      </c>
      <c r="U20" s="655">
        <f t="shared" si="1"/>
        <v>1.9712345769146527E-2</v>
      </c>
    </row>
    <row r="21" spans="1:30" x14ac:dyDescent="0.2">
      <c r="B21" s="35" t="s">
        <v>113</v>
      </c>
      <c r="D21" s="44"/>
      <c r="F21" s="77"/>
      <c r="G21" s="85"/>
      <c r="H21" s="10"/>
      <c r="J21" s="77"/>
      <c r="K21" s="85"/>
      <c r="L21" s="10"/>
      <c r="N21" s="77"/>
      <c r="O21" s="85"/>
      <c r="P21" s="10"/>
      <c r="R21" s="77"/>
      <c r="S21" s="10"/>
      <c r="T21" s="217">
        <f>IF($E$3="k",F21)+IF($I$3="k",J21)+IF($M$3="k",N21)+IF($Q$3="k",R21)</f>
        <v>0</v>
      </c>
      <c r="U21" s="655">
        <f t="shared" si="1"/>
        <v>0</v>
      </c>
    </row>
    <row r="22" spans="1:30" x14ac:dyDescent="0.2">
      <c r="B22" s="11"/>
      <c r="C22" s="45"/>
      <c r="D22" s="10"/>
      <c r="E22" s="10"/>
      <c r="F22" s="90"/>
      <c r="G22" s="85"/>
      <c r="H22" s="10"/>
      <c r="I22" s="10"/>
      <c r="J22" s="90"/>
      <c r="K22" s="85"/>
      <c r="L22" s="10"/>
      <c r="M22" s="10"/>
      <c r="N22" s="90"/>
      <c r="O22" s="85"/>
      <c r="P22" s="10"/>
      <c r="Q22" s="10"/>
      <c r="R22" s="90"/>
      <c r="S22" s="10"/>
      <c r="T22" s="215"/>
      <c r="U22" s="655"/>
    </row>
    <row r="23" spans="1:30" x14ac:dyDescent="0.2">
      <c r="B23" s="35" t="s">
        <v>114</v>
      </c>
      <c r="C23" s="10"/>
      <c r="D23" s="10"/>
      <c r="E23" s="226">
        <v>0</v>
      </c>
      <c r="F23" s="290">
        <f>IF(E3="k",E23*F11,0)</f>
        <v>0</v>
      </c>
      <c r="G23" s="85"/>
      <c r="H23" s="10"/>
      <c r="I23" s="226">
        <v>0</v>
      </c>
      <c r="J23" s="290">
        <f>IF(I3="k",I23*J11,0)</f>
        <v>0</v>
      </c>
      <c r="K23" s="85"/>
      <c r="L23" s="10"/>
      <c r="M23" s="226">
        <v>0</v>
      </c>
      <c r="N23" s="290">
        <f>IF(M3="k",M23*N11,0)</f>
        <v>0</v>
      </c>
      <c r="O23" s="85"/>
      <c r="P23" s="10"/>
      <c r="Q23" s="226">
        <v>0</v>
      </c>
      <c r="R23" s="19">
        <f>IF(Q3="k",Q23*R11,0)</f>
        <v>0</v>
      </c>
      <c r="S23" s="10"/>
      <c r="T23" s="216">
        <f t="shared" si="0"/>
        <v>0</v>
      </c>
      <c r="U23" s="655">
        <f t="shared" si="1"/>
        <v>0</v>
      </c>
    </row>
    <row r="24" spans="1:30" ht="13.5" thickBot="1" x14ac:dyDescent="0.25">
      <c r="B24" s="50" t="s">
        <v>115</v>
      </c>
      <c r="C24" s="51"/>
      <c r="D24" s="51"/>
      <c r="E24" s="288"/>
      <c r="F24" s="91">
        <f>IF(E3="k",SUM(F16:F23),0)</f>
        <v>7961.666666666667</v>
      </c>
      <c r="G24" s="350">
        <f>F24/F8</f>
        <v>56.86904761904762</v>
      </c>
      <c r="H24" s="54"/>
      <c r="J24" s="91">
        <f>IF(I3="k",SUM(J16:J23),0)</f>
        <v>4683.3333333333339</v>
      </c>
      <c r="K24" s="92">
        <f>J24/J8</f>
        <v>33.452380952380956</v>
      </c>
      <c r="L24" s="54"/>
      <c r="N24" s="91">
        <f>IF(M3="k",SUM(N16:N23),0)</f>
        <v>0</v>
      </c>
      <c r="O24" s="92">
        <f>N24/N8</f>
        <v>0</v>
      </c>
      <c r="P24" s="54"/>
      <c r="R24" s="93">
        <f>IF(Q3="k",SUM(R16:R23),0)</f>
        <v>0</v>
      </c>
      <c r="S24" s="209">
        <f>R24/R8</f>
        <v>0</v>
      </c>
      <c r="T24" s="218">
        <f t="shared" si="0"/>
        <v>12645</v>
      </c>
      <c r="U24" s="356">
        <f t="shared" si="1"/>
        <v>0.92319486018836228</v>
      </c>
      <c r="V24" s="357">
        <f>SUM(G24,K24,O24,S24)</f>
        <v>90.321428571428584</v>
      </c>
      <c r="X24" s="94"/>
      <c r="Y24" s="94"/>
    </row>
    <row r="25" spans="1:30" x14ac:dyDescent="0.2">
      <c r="A25" s="24" t="s">
        <v>116</v>
      </c>
      <c r="B25" s="6"/>
      <c r="F25" s="96"/>
      <c r="G25" s="97"/>
      <c r="H25" s="55"/>
      <c r="J25" s="98"/>
      <c r="K25" s="97"/>
      <c r="L25" s="55"/>
      <c r="N25" s="98"/>
      <c r="O25" s="97"/>
      <c r="P25" s="55"/>
      <c r="R25" s="98"/>
      <c r="S25" s="55"/>
      <c r="T25" s="215"/>
      <c r="U25" s="655"/>
    </row>
    <row r="26" spans="1:30" x14ac:dyDescent="0.2">
      <c r="B26" s="11" t="s">
        <v>117</v>
      </c>
      <c r="C26" s="22"/>
      <c r="D26" s="10"/>
      <c r="F26" s="77">
        <v>500</v>
      </c>
      <c r="G26" s="99"/>
      <c r="H26" s="47"/>
      <c r="J26" s="77">
        <v>500</v>
      </c>
      <c r="K26" s="99"/>
      <c r="L26" s="47"/>
      <c r="N26" s="77">
        <v>50</v>
      </c>
      <c r="O26" s="99"/>
      <c r="P26" s="47"/>
      <c r="R26" s="77">
        <v>0</v>
      </c>
      <c r="S26" s="47"/>
      <c r="T26" s="217">
        <f>IF($E$3="k",F26)+IF($I$3="k",J26)+IF($M$3="k",N26)+IF($Q$3="k",R26)</f>
        <v>1000</v>
      </c>
      <c r="U26" s="655">
        <f>T26/$T$34</f>
        <v>7.3008688033876015E-2</v>
      </c>
    </row>
    <row r="27" spans="1:30" ht="15.75" x14ac:dyDescent="0.2">
      <c r="B27" s="195" t="s">
        <v>252</v>
      </c>
      <c r="C27" s="196">
        <v>0</v>
      </c>
      <c r="D27" s="197">
        <v>1.1000000000000001</v>
      </c>
      <c r="E27" s="349" t="s">
        <v>253</v>
      </c>
      <c r="F27" s="100">
        <f>IF($E$3="k",C27*D27*$F$8*G27,0)</f>
        <v>0</v>
      </c>
      <c r="G27" s="330">
        <v>0</v>
      </c>
      <c r="H27" s="261">
        <f>C27</f>
        <v>0</v>
      </c>
      <c r="I27" s="326">
        <f>$D$27</f>
        <v>1.1000000000000001</v>
      </c>
      <c r="J27" s="100">
        <f>IF($I$3="k",H27*I27*$J$8*K27,0)</f>
        <v>0</v>
      </c>
      <c r="K27" s="330">
        <v>1</v>
      </c>
      <c r="L27" s="196">
        <v>0</v>
      </c>
      <c r="M27" s="326">
        <f>$D$27</f>
        <v>1.1000000000000001</v>
      </c>
      <c r="N27" s="100">
        <f>IF($I$3="k",L27*M27*$N$8*O27,0)</f>
        <v>0</v>
      </c>
      <c r="O27" s="330">
        <v>0</v>
      </c>
      <c r="P27" s="196">
        <v>0</v>
      </c>
      <c r="Q27" s="326">
        <f>$D$27</f>
        <v>1.1000000000000001</v>
      </c>
      <c r="R27" s="100">
        <f>IF($I$3="k",P27*Q27*$R$8*S27,0)</f>
        <v>0</v>
      </c>
      <c r="S27" s="330">
        <v>0</v>
      </c>
      <c r="T27" s="216">
        <f t="shared" si="0"/>
        <v>0</v>
      </c>
      <c r="U27" s="655">
        <f t="shared" si="1"/>
        <v>0</v>
      </c>
      <c r="W27" s="165" t="s">
        <v>37</v>
      </c>
      <c r="X27" s="642">
        <f>IF($E$3="k",(C27*F8),0)+IF($I$3="k",(H27*J8),0)+IF($M$3="k",(L27*N8),0)+IF($Q$3="k",(P27*R8),0)</f>
        <v>0</v>
      </c>
      <c r="Y27" s="642">
        <f>X27/159</f>
        <v>0</v>
      </c>
      <c r="Z27" s="161">
        <f>VLOOKUP(W27,Ohjeet!A63:F68,6,FALSE)</f>
        <v>2.66</v>
      </c>
      <c r="AA27" s="163">
        <f>X27*Z27</f>
        <v>0</v>
      </c>
      <c r="AB27" s="164">
        <f>AA27/1000</f>
        <v>0</v>
      </c>
      <c r="AC27" s="162">
        <f>AA27*0.27</f>
        <v>0</v>
      </c>
      <c r="AD27" s="162"/>
    </row>
    <row r="28" spans="1:30" ht="15.75" x14ac:dyDescent="0.2">
      <c r="B28" s="328" t="s">
        <v>254</v>
      </c>
      <c r="C28" s="196">
        <v>0</v>
      </c>
      <c r="D28" s="197">
        <v>40</v>
      </c>
      <c r="E28" s="332"/>
      <c r="F28" s="100">
        <f>IF($E$3="k",C28*D28*$F$8*G28,0)</f>
        <v>0</v>
      </c>
      <c r="G28" s="330">
        <v>0</v>
      </c>
      <c r="H28" s="262">
        <v>0</v>
      </c>
      <c r="I28" s="326">
        <f>D28</f>
        <v>40</v>
      </c>
      <c r="J28" s="100">
        <f>IF($I$3="k",H28*I28*J8*K28,0)</f>
        <v>0</v>
      </c>
      <c r="K28" s="330">
        <v>1</v>
      </c>
      <c r="L28" s="196">
        <v>0</v>
      </c>
      <c r="M28" s="326">
        <f>D28</f>
        <v>40</v>
      </c>
      <c r="N28" s="100">
        <f>IF($I$3="k",L28*M28*N8*O28,0)</f>
        <v>0</v>
      </c>
      <c r="O28" s="330">
        <v>0</v>
      </c>
      <c r="P28" s="196">
        <v>0</v>
      </c>
      <c r="Q28" s="326">
        <f>D28</f>
        <v>40</v>
      </c>
      <c r="R28" s="100">
        <f>IF($I$3="k",P28*Q28*R8*S28,0)</f>
        <v>0</v>
      </c>
      <c r="S28" s="330">
        <v>0</v>
      </c>
      <c r="T28" s="216">
        <f t="shared" si="0"/>
        <v>0</v>
      </c>
      <c r="U28" s="655">
        <f t="shared" si="1"/>
        <v>0</v>
      </c>
      <c r="W28" s="165" t="s">
        <v>48</v>
      </c>
      <c r="X28" s="642">
        <f>IF($E$3="k",(C28*F8),0)+IF($I$3="k",(H28*J8),0)+IF($M$3="k",(L28*N8),0)+IF($Q$3="k",(P28*R8),0)</f>
        <v>0</v>
      </c>
      <c r="Y28" s="642">
        <f>X28/159</f>
        <v>0</v>
      </c>
      <c r="Z28" s="161">
        <f>VLOOKUP(W28,Ohjeet!A63:F68,6,FALSE)</f>
        <v>0</v>
      </c>
      <c r="AA28" s="163">
        <f>X28*Z28</f>
        <v>0</v>
      </c>
      <c r="AB28" s="164">
        <f>AA28/1000</f>
        <v>0</v>
      </c>
      <c r="AC28" s="162">
        <f>AA28*0.27</f>
        <v>0</v>
      </c>
      <c r="AD28" s="162"/>
    </row>
    <row r="29" spans="1:30" ht="15" x14ac:dyDescent="0.2">
      <c r="B29" s="325" t="s">
        <v>255</v>
      </c>
      <c r="C29" s="333">
        <f>IF(E29&gt;0,E29,F97)</f>
        <v>260</v>
      </c>
      <c r="D29" s="329">
        <v>0.2</v>
      </c>
      <c r="E29" s="196">
        <v>0</v>
      </c>
      <c r="F29" s="100">
        <f>IF(E$3="k",$C$29*$D$29*G29,0)</f>
        <v>0</v>
      </c>
      <c r="G29" s="330">
        <v>0</v>
      </c>
      <c r="H29" s="338">
        <f>$F$97</f>
        <v>260</v>
      </c>
      <c r="J29" s="100">
        <f>IF(I$3="k",$D$29*H29*K29,0)</f>
        <v>52</v>
      </c>
      <c r="K29" s="330">
        <v>1</v>
      </c>
      <c r="L29" s="338">
        <f>$F$97</f>
        <v>260</v>
      </c>
      <c r="N29" s="100">
        <f>IF(M$3="k",$D$29*L29*O29,0)</f>
        <v>0</v>
      </c>
      <c r="O29" s="330">
        <v>0</v>
      </c>
      <c r="P29" s="338">
        <f>$F$97</f>
        <v>260</v>
      </c>
      <c r="R29" s="100">
        <f>IF(Q$3="k",$D$29*P29*S29,0)</f>
        <v>0</v>
      </c>
      <c r="S29" s="330">
        <v>0</v>
      </c>
      <c r="T29" s="327">
        <f>IF($E$3="k",F29)+IF($I$3="k",J29)+IF($M$3="k",N29)+IF($Q$3="k",R29)</f>
        <v>52</v>
      </c>
      <c r="U29" s="655">
        <f t="shared" si="1"/>
        <v>3.7964517777615532E-3</v>
      </c>
      <c r="V29" s="358">
        <f>IF($E$3="k",G29)+IF($I$3="k",K29)+IF($M$3="k",O29)+IF($Q$3="k",S29)</f>
        <v>1</v>
      </c>
      <c r="Y29" s="166" t="s">
        <v>123</v>
      </c>
      <c r="AA29" s="167">
        <f>SUM(AA27:AA28)/T8</f>
        <v>0</v>
      </c>
    </row>
    <row r="30" spans="1:30" x14ac:dyDescent="0.2">
      <c r="B30" s="195" t="s">
        <v>113</v>
      </c>
      <c r="C30" s="1079" t="s">
        <v>256</v>
      </c>
      <c r="D30" s="1079"/>
      <c r="E30" s="1079"/>
      <c r="F30" s="77">
        <v>0</v>
      </c>
      <c r="G30" s="101"/>
      <c r="H30" s="39"/>
      <c r="J30" s="77">
        <v>0</v>
      </c>
      <c r="K30" s="101"/>
      <c r="L30" s="39"/>
      <c r="N30" s="77">
        <v>0</v>
      </c>
      <c r="O30" s="101"/>
      <c r="P30" s="39"/>
      <c r="R30" s="77">
        <v>0</v>
      </c>
      <c r="S30" s="39"/>
      <c r="T30" s="217">
        <f>IF($E$3="k",F30)+IF($I$3="k",J30)+IF($M$3="k",N30)+IF($Q$3="k",R30)</f>
        <v>0</v>
      </c>
      <c r="U30" s="655">
        <f t="shared" si="1"/>
        <v>0</v>
      </c>
    </row>
    <row r="31" spans="1:30" x14ac:dyDescent="0.2">
      <c r="B31" s="195" t="s">
        <v>113</v>
      </c>
      <c r="C31" s="7"/>
      <c r="F31" s="77">
        <v>0</v>
      </c>
      <c r="G31" s="101"/>
      <c r="H31" s="39"/>
      <c r="J31" s="77">
        <v>0</v>
      </c>
      <c r="K31" s="101"/>
      <c r="L31" s="39"/>
      <c r="N31" s="77">
        <v>0</v>
      </c>
      <c r="O31" s="101"/>
      <c r="P31" s="39"/>
      <c r="R31" s="77">
        <v>0</v>
      </c>
      <c r="S31" s="39"/>
      <c r="T31" s="217">
        <f>IF($E$3="k",F31)+IF($I$3="k",J31)+IF($M$3="k",N31)+IF($Q$3="k",R31)</f>
        <v>0</v>
      </c>
      <c r="U31" s="655">
        <f t="shared" si="1"/>
        <v>0</v>
      </c>
    </row>
    <row r="32" spans="1:30" ht="13.5" thickBot="1" x14ac:dyDescent="0.25">
      <c r="B32" s="195" t="s">
        <v>113</v>
      </c>
      <c r="C32" s="7"/>
      <c r="F32" s="77">
        <v>0</v>
      </c>
      <c r="G32" s="101"/>
      <c r="H32" s="39"/>
      <c r="J32" s="77">
        <v>0</v>
      </c>
      <c r="K32" s="101"/>
      <c r="L32" s="39"/>
      <c r="N32" s="77">
        <v>0</v>
      </c>
      <c r="O32" s="101"/>
      <c r="P32" s="39"/>
      <c r="R32" s="77">
        <v>0</v>
      </c>
      <c r="S32" s="39"/>
      <c r="T32" s="217">
        <f>IF($E$3="k",F32)+IF($I$3="k",J32)+IF($M$3="k",N32)+IF($Q$3="k",R32)</f>
        <v>0</v>
      </c>
      <c r="U32" s="655">
        <f t="shared" si="1"/>
        <v>0</v>
      </c>
    </row>
    <row r="33" spans="1:23" ht="13.5" thickBot="1" x14ac:dyDescent="0.25">
      <c r="B33" s="194" t="s">
        <v>127</v>
      </c>
      <c r="C33" s="51"/>
      <c r="D33" s="51"/>
      <c r="E33" s="51"/>
      <c r="F33" s="55">
        <f>IF(E3="k",SUM(F26:F32),0)</f>
        <v>500</v>
      </c>
      <c r="G33" s="103">
        <f>F33/F8</f>
        <v>3.5714285714285716</v>
      </c>
      <c r="H33" s="104"/>
      <c r="J33" s="55">
        <f>IF(I3="k",SUM(J26:J32),0)</f>
        <v>552</v>
      </c>
      <c r="K33" s="103">
        <f>J33/J8</f>
        <v>3.9428571428571431</v>
      </c>
      <c r="L33" s="104"/>
      <c r="N33" s="55">
        <f>IF(M3="k",SUM(N26:N32),0)</f>
        <v>0</v>
      </c>
      <c r="O33" s="103">
        <f>N33/N8</f>
        <v>0</v>
      </c>
      <c r="P33" s="104"/>
      <c r="R33" s="55">
        <f>IF(Q3="k",SUM(R26:R32),0)</f>
        <v>0</v>
      </c>
      <c r="S33" s="210">
        <f>R33/R8</f>
        <v>0</v>
      </c>
      <c r="T33" s="218">
        <f t="shared" si="0"/>
        <v>1052</v>
      </c>
      <c r="U33" s="356">
        <f t="shared" si="1"/>
        <v>7.6805139811637571E-2</v>
      </c>
      <c r="V33" s="211">
        <f>SUM(G33,K33,O33,S33)</f>
        <v>7.5142857142857142</v>
      </c>
    </row>
    <row r="34" spans="1:23" ht="13.5" thickBot="1" x14ac:dyDescent="0.25">
      <c r="A34" s="6" t="s">
        <v>128</v>
      </c>
      <c r="F34" s="106">
        <f>F24+F33</f>
        <v>8461.6666666666679</v>
      </c>
      <c r="G34" s="107"/>
      <c r="H34" s="12"/>
      <c r="J34" s="55">
        <f>IF(I3="k",J24+J33,0)</f>
        <v>5235.3333333333339</v>
      </c>
      <c r="K34" s="107"/>
      <c r="L34" s="12"/>
      <c r="N34" s="55">
        <f>IF(M3="k",N24+N33,0)</f>
        <v>0</v>
      </c>
      <c r="O34" s="107"/>
      <c r="P34" s="12"/>
      <c r="R34" s="55">
        <f>IF(Q3="k",R24+R33,0)</f>
        <v>0</v>
      </c>
      <c r="S34" s="12"/>
      <c r="T34" s="218">
        <f t="shared" si="0"/>
        <v>13697.000000000002</v>
      </c>
      <c r="U34" s="355">
        <f>SUM(U16:U23,U26:U32)</f>
        <v>0.99999999999999989</v>
      </c>
    </row>
    <row r="35" spans="1:23" ht="13.5" thickBot="1" x14ac:dyDescent="0.25">
      <c r="F35" s="7"/>
      <c r="G35" s="73"/>
      <c r="J35" s="7"/>
      <c r="K35" s="73"/>
      <c r="N35" s="7"/>
      <c r="O35" s="73"/>
      <c r="R35" s="7"/>
      <c r="T35" s="215"/>
    </row>
    <row r="36" spans="1:23" ht="13.5" thickBot="1" x14ac:dyDescent="0.25">
      <c r="A36" s="6" t="s">
        <v>257</v>
      </c>
      <c r="F36" s="296">
        <f>IF(F8&gt;0,IF(E3="k",F34/F8,),0)</f>
        <v>60.440476190476197</v>
      </c>
      <c r="G36" s="107"/>
      <c r="H36" s="12"/>
      <c r="J36" s="296">
        <f>IF(J8&gt;0,IF(I3="k",J34/J8,),0)</f>
        <v>37.395238095238099</v>
      </c>
      <c r="K36" s="107"/>
      <c r="L36" s="12"/>
      <c r="N36" s="296">
        <f>IF(N8&gt;0,IF(M3="k",N34/N8,),0)</f>
        <v>0</v>
      </c>
      <c r="O36" s="107"/>
      <c r="P36" s="12"/>
      <c r="R36" s="296">
        <f>IF(R8&gt;0,IF(Q3="k",R34/R8,),0)</f>
        <v>0</v>
      </c>
      <c r="S36" s="12"/>
      <c r="T36" s="108">
        <f t="shared" si="0"/>
        <v>97.835714285714289</v>
      </c>
      <c r="U36" s="94"/>
    </row>
    <row r="37" spans="1:23" x14ac:dyDescent="0.2">
      <c r="B37" s="6" t="s">
        <v>258</v>
      </c>
      <c r="E37" s="203">
        <v>0</v>
      </c>
      <c r="F37" s="234">
        <f>IF($E$3="k",((100%/(100%-E37))*F36)-F36,0)</f>
        <v>0</v>
      </c>
      <c r="G37" s="85"/>
      <c r="H37" s="10"/>
      <c r="I37" s="295">
        <f>E37</f>
        <v>0</v>
      </c>
      <c r="J37" s="234">
        <f>IF(I3="k",((100%/(100%-I37))*J36)-J36,0)</f>
        <v>0</v>
      </c>
      <c r="K37" s="85"/>
      <c r="L37" s="10"/>
      <c r="M37" s="295">
        <f>I37</f>
        <v>0</v>
      </c>
      <c r="N37" s="234">
        <f>IF(M3="k",((100%/(100%-M37))*N36)-N36,0)</f>
        <v>0</v>
      </c>
      <c r="O37" s="85"/>
      <c r="P37" s="10"/>
      <c r="Q37" s="295">
        <f>M37</f>
        <v>0</v>
      </c>
      <c r="R37" s="234">
        <f>IF(Q3="k",((100%/(100%-Q37))*R36)-R36,0)</f>
        <v>0</v>
      </c>
      <c r="S37" s="10"/>
      <c r="T37" s="216">
        <f t="shared" si="0"/>
        <v>0</v>
      </c>
      <c r="U37" s="36"/>
    </row>
    <row r="38" spans="1:23" ht="13.5" thickBot="1" x14ac:dyDescent="0.25">
      <c r="B38" s="160" t="s">
        <v>259</v>
      </c>
      <c r="C38" s="196">
        <v>0.2</v>
      </c>
      <c r="D38" s="197">
        <v>20</v>
      </c>
      <c r="F38" s="297">
        <f>IF(E$3="k",IF(C38&gt;0,C38*D38,F8*D38),0)</f>
        <v>4</v>
      </c>
      <c r="G38" s="208" t="str">
        <f>IF(AND(C38=0,D38&gt;0),"! !","")</f>
        <v/>
      </c>
      <c r="H38" s="196">
        <f>C38</f>
        <v>0.2</v>
      </c>
      <c r="I38" s="233">
        <v>0</v>
      </c>
      <c r="J38" s="297">
        <f>IF(I$3="k",IF(H38&gt;0,H38*I38,J8*I38),0)</f>
        <v>0</v>
      </c>
      <c r="K38" s="208" t="str">
        <f>IF(AND(H38=0,I38&gt;0),"! !","")</f>
        <v/>
      </c>
      <c r="L38" s="196">
        <f>C38</f>
        <v>0.2</v>
      </c>
      <c r="M38" s="233">
        <v>0</v>
      </c>
      <c r="N38" s="297">
        <f>IF(M$3="k",IF(L38&gt;0,L38*M38,N8*M38),0)</f>
        <v>0</v>
      </c>
      <c r="O38" s="208" t="str">
        <f>IF(AND(L38=0,M38&gt;0),"! !","")</f>
        <v/>
      </c>
      <c r="P38" s="196">
        <f>C38</f>
        <v>0.2</v>
      </c>
      <c r="Q38" s="233">
        <v>0</v>
      </c>
      <c r="R38" s="297">
        <f>IF(Q$3="k",IF(P38&gt;0,P38*Q38,R8*Q38),0)</f>
        <v>0</v>
      </c>
      <c r="S38" s="278" t="str">
        <f>IF(AND(P38=0,Q38&gt;0),"! !","")</f>
        <v/>
      </c>
      <c r="T38" s="217">
        <f>IF($E$3="k",F38)+IF($I$3="k",J38)+IF($M$3="k",N38)+IF($Q$3="k",R38)</f>
        <v>4</v>
      </c>
      <c r="U38" s="352"/>
    </row>
    <row r="39" spans="1:23" x14ac:dyDescent="0.2">
      <c r="B39" s="116" t="s">
        <v>134</v>
      </c>
      <c r="C39" s="115"/>
      <c r="D39" s="115"/>
      <c r="E39" s="115"/>
      <c r="F39" s="235">
        <f>SUM(F36:F38)</f>
        <v>64.440476190476204</v>
      </c>
      <c r="G39" s="85"/>
      <c r="H39" s="10"/>
      <c r="J39" s="235">
        <f>SUM(J36:J38)</f>
        <v>37.395238095238099</v>
      </c>
      <c r="K39" s="85"/>
      <c r="L39" s="10"/>
      <c r="N39" s="235">
        <f>SUM(N36:N38)</f>
        <v>0</v>
      </c>
      <c r="O39" s="85"/>
      <c r="P39" s="10"/>
      <c r="R39" s="235">
        <f>SUM(R36:R38)</f>
        <v>0</v>
      </c>
      <c r="S39" s="10"/>
      <c r="T39" s="207">
        <f>SUM(F39,J39,N39,R39)</f>
        <v>101.8357142857143</v>
      </c>
      <c r="U39" s="94"/>
    </row>
    <row r="40" spans="1:23" ht="13.5" thickBot="1" x14ac:dyDescent="0.25">
      <c r="B40" s="119" t="s">
        <v>135</v>
      </c>
      <c r="E40" s="592">
        <v>0.255</v>
      </c>
      <c r="F40" s="234">
        <f>E40*F39</f>
        <v>16.432321428571431</v>
      </c>
      <c r="G40" s="111"/>
      <c r="H40" s="10"/>
      <c r="I40" s="593">
        <f>$E$40</f>
        <v>0.255</v>
      </c>
      <c r="J40" s="234">
        <f>I40*J39</f>
        <v>9.5357857142857156</v>
      </c>
      <c r="K40" s="85"/>
      <c r="L40" s="10"/>
      <c r="M40" s="593">
        <f>$E$40</f>
        <v>0.255</v>
      </c>
      <c r="N40" s="234">
        <f>M40*N39</f>
        <v>0</v>
      </c>
      <c r="O40" s="85"/>
      <c r="P40" s="10"/>
      <c r="Q40" s="593">
        <f>$E$40</f>
        <v>0.255</v>
      </c>
      <c r="R40" s="234">
        <f>Q40*R39</f>
        <v>0</v>
      </c>
      <c r="S40" s="10"/>
      <c r="T40" s="216">
        <f>SUM(F40,J40,N40,R40)</f>
        <v>25.968107142857146</v>
      </c>
      <c r="U40" s="36"/>
    </row>
    <row r="41" spans="1:23" ht="13.5" thickBot="1" x14ac:dyDescent="0.25">
      <c r="B41" s="121" t="s">
        <v>136</v>
      </c>
      <c r="C41" s="114"/>
      <c r="D41" s="114"/>
      <c r="E41" s="6"/>
      <c r="F41" s="293">
        <f>IF(E3="k",SUM(F39:F40),0)</f>
        <v>80.872797619047631</v>
      </c>
      <c r="G41" s="112"/>
      <c r="H41" s="113"/>
      <c r="I41" s="114"/>
      <c r="J41" s="293">
        <f>IF(I3="k",SUM(J39:J40),0)</f>
        <v>46.931023809523815</v>
      </c>
      <c r="K41" s="112"/>
      <c r="L41" s="113"/>
      <c r="M41" s="114"/>
      <c r="N41" s="293">
        <f>IF(M3="k",SUM(N39:N40),0)</f>
        <v>0</v>
      </c>
      <c r="O41" s="112"/>
      <c r="P41" s="113"/>
      <c r="Q41" s="114"/>
      <c r="R41" s="293">
        <f>IF(Q3="k",SUM(R39:R40),0)</f>
        <v>0</v>
      </c>
      <c r="S41" s="113"/>
      <c r="T41" s="108">
        <f t="shared" si="0"/>
        <v>127.80382142857144</v>
      </c>
      <c r="U41" s="94"/>
    </row>
    <row r="42" spans="1:23" x14ac:dyDescent="0.2">
      <c r="E42" s="346" t="s">
        <v>244</v>
      </c>
      <c r="F42" s="343">
        <f>IF(F5&gt;0,F39/F5,0)</f>
        <v>2.0137648809523814</v>
      </c>
      <c r="J42" s="343">
        <f>IF(J5&gt;0,J39/J5,0)</f>
        <v>1.1686011904761906</v>
      </c>
      <c r="N42" s="343">
        <f>IF(N5&gt;0,N39/N5,0)</f>
        <v>0</v>
      </c>
      <c r="R42" s="343">
        <f>IF(R5&gt;0,R39/R5,0)</f>
        <v>0</v>
      </c>
    </row>
    <row r="43" spans="1:23" ht="13.5" thickBot="1" x14ac:dyDescent="0.25">
      <c r="C43" s="219" t="s">
        <v>260</v>
      </c>
      <c r="D43" s="345">
        <f>F54</f>
        <v>65</v>
      </c>
      <c r="E43" s="219" t="s">
        <v>261</v>
      </c>
      <c r="F43" s="347">
        <f>IF(F42&gt;0,(F42/10)/$D$43,0)</f>
        <v>3.0980998168498174E-3</v>
      </c>
      <c r="J43" s="347">
        <f>IF(J42&gt;0,(J42/10)/$D$43,0)</f>
        <v>1.7978479853479855E-3</v>
      </c>
      <c r="N43" s="347">
        <f>IF(N42&gt;0,(N42/10)/$D$43,0)</f>
        <v>0</v>
      </c>
      <c r="R43" s="347">
        <f>IF(R42&gt;0,(R42/10)/$D$43,0)</f>
        <v>0</v>
      </c>
    </row>
    <row r="44" spans="1:23" ht="15.75" thickBot="1" x14ac:dyDescent="0.25">
      <c r="C44" s="1080" t="s">
        <v>262</v>
      </c>
      <c r="D44" s="1081"/>
      <c r="E44" s="1082"/>
      <c r="F44" s="1083">
        <f>T39</f>
        <v>101.8357142857143</v>
      </c>
      <c r="G44" s="1084"/>
      <c r="H44" s="1084"/>
      <c r="I44" s="1084"/>
      <c r="J44" s="1084"/>
      <c r="K44" s="1084"/>
      <c r="L44" s="1085"/>
      <c r="M44" s="359"/>
      <c r="N44" s="359"/>
      <c r="O44" s="359"/>
      <c r="P44" s="359"/>
      <c r="Q44" s="359"/>
      <c r="R44" s="371"/>
    </row>
    <row r="45" spans="1:23" ht="15.75" thickBot="1" x14ac:dyDescent="0.3">
      <c r="C45" s="1091" t="s">
        <v>263</v>
      </c>
      <c r="D45" s="1092"/>
      <c r="E45" s="1092"/>
      <c r="F45" s="361">
        <f>IF(H45&gt;0,H45,F90)</f>
        <v>6</v>
      </c>
      <c r="G45" s="360" t="s">
        <v>264</v>
      </c>
      <c r="H45" s="318">
        <v>0</v>
      </c>
      <c r="I45" s="362" t="s">
        <v>265</v>
      </c>
      <c r="J45" s="363" t="s">
        <v>266</v>
      </c>
      <c r="K45" s="1093">
        <f>F44*F45</f>
        <v>611.01428571428585</v>
      </c>
      <c r="L45" s="1093"/>
      <c r="M45" s="1094" t="s">
        <v>267</v>
      </c>
      <c r="N45" s="1096">
        <f>K45+K46</f>
        <v>659.93214285714305</v>
      </c>
      <c r="O45" s="379"/>
      <c r="P45" s="373"/>
      <c r="Q45" s="373"/>
      <c r="R45" s="376"/>
    </row>
    <row r="46" spans="1:23" ht="30.75" customHeight="1" thickBot="1" x14ac:dyDescent="0.3">
      <c r="C46" s="1080" t="s">
        <v>268</v>
      </c>
      <c r="D46" s="1081"/>
      <c r="E46" s="1081"/>
      <c r="F46" s="364">
        <f>IF(H46&gt;0,H46,E92)</f>
        <v>1</v>
      </c>
      <c r="G46" s="365" t="s">
        <v>264</v>
      </c>
      <c r="H46" s="366">
        <v>0</v>
      </c>
      <c r="I46" s="367" t="s">
        <v>265</v>
      </c>
      <c r="J46" s="368" t="s">
        <v>269</v>
      </c>
      <c r="K46" s="1098">
        <f>((T34-T27-T28)/T8)*F46</f>
        <v>48.917857142857152</v>
      </c>
      <c r="L46" s="1098"/>
      <c r="M46" s="1095"/>
      <c r="N46" s="1097"/>
      <c r="O46" s="379"/>
      <c r="P46" s="373"/>
      <c r="Q46" s="373"/>
      <c r="R46" s="376"/>
    </row>
    <row r="47" spans="1:23" ht="15.75" thickBot="1" x14ac:dyDescent="0.3">
      <c r="C47" s="1080" t="s">
        <v>270</v>
      </c>
      <c r="D47" s="1081"/>
      <c r="E47" s="1081"/>
      <c r="F47" s="1088">
        <f>N45/O47</f>
        <v>3.1727506868131874E-2</v>
      </c>
      <c r="G47" s="1088"/>
      <c r="H47" s="1088"/>
      <c r="I47" s="1088"/>
      <c r="J47" s="1088"/>
      <c r="K47" s="1088"/>
      <c r="L47" s="1088"/>
      <c r="M47" s="378" t="s">
        <v>271</v>
      </c>
      <c r="N47" s="380"/>
      <c r="O47" s="372">
        <f>F5*10*D43</f>
        <v>20800</v>
      </c>
      <c r="P47" s="378" t="s">
        <v>40</v>
      </c>
      <c r="Q47" s="375"/>
      <c r="R47" s="377"/>
      <c r="V47" s="160"/>
      <c r="W47" s="321"/>
    </row>
    <row r="48" spans="1:23" ht="15.75" thickBot="1" x14ac:dyDescent="0.3">
      <c r="C48" s="1080" t="s">
        <v>272</v>
      </c>
      <c r="D48" s="1081"/>
      <c r="E48" s="1081"/>
      <c r="F48" s="1089">
        <f>F47*1000</f>
        <v>31.727506868131876</v>
      </c>
      <c r="G48" s="1089"/>
      <c r="H48" s="1089"/>
      <c r="I48" s="1089"/>
      <c r="J48" s="1089"/>
      <c r="K48" s="1089"/>
      <c r="L48" s="1089"/>
      <c r="M48" s="370"/>
      <c r="N48" s="369"/>
      <c r="O48" s="369"/>
      <c r="P48" s="369"/>
      <c r="Q48" s="369"/>
      <c r="R48" s="374"/>
      <c r="V48" s="160"/>
      <c r="W48" s="160"/>
    </row>
    <row r="49" spans="2:23" ht="15.75" thickBot="1" x14ac:dyDescent="0.3">
      <c r="C49" s="236"/>
      <c r="D49" s="236"/>
      <c r="E49" s="236"/>
      <c r="F49" s="348"/>
      <c r="G49" s="348"/>
      <c r="H49" s="348"/>
      <c r="I49" s="348"/>
      <c r="J49" s="348"/>
      <c r="K49" s="348"/>
      <c r="L49" s="237"/>
      <c r="M49" s="237"/>
      <c r="N49" s="237"/>
      <c r="O49" s="237"/>
      <c r="P49" s="237"/>
      <c r="Q49" s="237"/>
      <c r="R49" s="237"/>
      <c r="V49" s="160"/>
      <c r="W49" s="160"/>
    </row>
    <row r="50" spans="2:23" ht="15.75" x14ac:dyDescent="0.25">
      <c r="B50" s="238" t="s">
        <v>273</v>
      </c>
      <c r="C50" s="72"/>
      <c r="D50" s="72"/>
      <c r="E50" s="72"/>
      <c r="F50" s="72"/>
      <c r="G50" s="72"/>
      <c r="H50" s="72"/>
      <c r="I50" s="71"/>
      <c r="J50" s="247" t="s">
        <v>274</v>
      </c>
      <c r="K50" s="72"/>
      <c r="L50" s="72"/>
      <c r="M50" s="72"/>
      <c r="N50" s="72"/>
      <c r="O50" s="71"/>
    </row>
    <row r="51" spans="2:23" ht="17.25" x14ac:dyDescent="0.25">
      <c r="B51" s="239" t="s">
        <v>275</v>
      </c>
      <c r="G51" s="171" t="s">
        <v>264</v>
      </c>
      <c r="H51" s="6" t="s">
        <v>34</v>
      </c>
      <c r="I51" s="73"/>
      <c r="J51" s="119"/>
      <c r="K51" s="160" t="s">
        <v>276</v>
      </c>
      <c r="M51" s="160" t="str">
        <f>"+ Rahtikuivaus"</f>
        <v>+ Rahtikuivaus</v>
      </c>
      <c r="O51" s="248" t="s">
        <v>34</v>
      </c>
    </row>
    <row r="52" spans="2:23" x14ac:dyDescent="0.2">
      <c r="B52" s="240" t="s">
        <v>277</v>
      </c>
      <c r="F52" s="176">
        <v>10</v>
      </c>
      <c r="H52" s="160" t="s">
        <v>58</v>
      </c>
      <c r="I52" s="73"/>
      <c r="J52" s="119"/>
      <c r="M52" s="160" t="s">
        <v>264</v>
      </c>
      <c r="O52" s="73"/>
    </row>
    <row r="53" spans="2:23" x14ac:dyDescent="0.2">
      <c r="B53" s="240" t="s">
        <v>278</v>
      </c>
      <c r="F53" s="656">
        <v>4000</v>
      </c>
      <c r="H53" s="160" t="s">
        <v>222</v>
      </c>
      <c r="I53" s="73"/>
      <c r="J53" s="119"/>
      <c r="O53" s="73"/>
    </row>
    <row r="54" spans="2:23" x14ac:dyDescent="0.2">
      <c r="B54" s="240" t="s">
        <v>279</v>
      </c>
      <c r="F54" s="177">
        <v>65</v>
      </c>
      <c r="H54" s="160" t="s">
        <v>280</v>
      </c>
      <c r="I54" s="73"/>
      <c r="J54" s="119"/>
      <c r="O54" s="73"/>
    </row>
    <row r="55" spans="2:23" ht="14.25" x14ac:dyDescent="0.2">
      <c r="B55" s="240" t="s">
        <v>281</v>
      </c>
      <c r="F55" s="82">
        <f>F54*10</f>
        <v>650</v>
      </c>
      <c r="H55" s="160" t="s">
        <v>282</v>
      </c>
      <c r="I55" s="73"/>
      <c r="J55" s="119"/>
      <c r="O55" s="73"/>
    </row>
    <row r="56" spans="2:23" x14ac:dyDescent="0.2">
      <c r="B56" s="240" t="s">
        <v>283</v>
      </c>
      <c r="F56" s="231">
        <f>IF(G56&gt;0,G56,F52*F53)</f>
        <v>40000</v>
      </c>
      <c r="G56" s="657">
        <v>0</v>
      </c>
      <c r="H56" s="160" t="s">
        <v>40</v>
      </c>
      <c r="I56" s="73"/>
      <c r="J56" s="240" t="s">
        <v>284</v>
      </c>
      <c r="K56" s="162">
        <f>IF(M56&gt;0,M56,F56)</f>
        <v>40000</v>
      </c>
      <c r="M56" s="1090">
        <v>0</v>
      </c>
      <c r="N56" s="1090"/>
      <c r="O56" s="249" t="s">
        <v>285</v>
      </c>
    </row>
    <row r="57" spans="2:23" ht="15.75" x14ac:dyDescent="0.25">
      <c r="B57" s="240"/>
      <c r="D57" s="658"/>
      <c r="E57" s="160"/>
      <c r="F57" s="257">
        <f>F56/F54</f>
        <v>615.38461538461536</v>
      </c>
      <c r="H57" s="160" t="s">
        <v>245</v>
      </c>
      <c r="I57" s="73"/>
      <c r="J57" s="240" t="s">
        <v>286</v>
      </c>
      <c r="K57" s="82"/>
      <c r="M57" s="1086">
        <v>0</v>
      </c>
      <c r="N57" s="1086"/>
      <c r="O57" s="249" t="s">
        <v>285</v>
      </c>
    </row>
    <row r="58" spans="2:23" x14ac:dyDescent="0.2">
      <c r="B58" s="119"/>
      <c r="F58" s="178">
        <f>F57*100</f>
        <v>61538.461538461539</v>
      </c>
      <c r="H58" s="160" t="s">
        <v>287</v>
      </c>
      <c r="I58" s="73"/>
      <c r="J58" s="240" t="s">
        <v>288</v>
      </c>
      <c r="K58" s="162">
        <f>IF(M58&gt;0,M58,SUM(K56,M57))</f>
        <v>40000</v>
      </c>
      <c r="M58" s="1086">
        <v>0</v>
      </c>
      <c r="N58" s="1086"/>
      <c r="O58" s="249" t="s">
        <v>285</v>
      </c>
    </row>
    <row r="59" spans="2:23" ht="15.75" x14ac:dyDescent="0.25">
      <c r="B59" s="119"/>
      <c r="F59" s="257">
        <f>F56/F55</f>
        <v>61.53846153846154</v>
      </c>
      <c r="H59" s="160" t="s">
        <v>67</v>
      </c>
      <c r="I59" s="73"/>
      <c r="J59" s="240" t="s">
        <v>289</v>
      </c>
      <c r="K59" s="234">
        <f>IF(M59&gt;0,M59,F80)</f>
        <v>23</v>
      </c>
      <c r="M59" s="659">
        <v>0</v>
      </c>
      <c r="O59" s="249" t="s">
        <v>158</v>
      </c>
    </row>
    <row r="60" spans="2:23" x14ac:dyDescent="0.2">
      <c r="B60" s="240" t="s">
        <v>290</v>
      </c>
      <c r="F60" s="176">
        <v>1</v>
      </c>
      <c r="H60" s="160" t="s">
        <v>291</v>
      </c>
      <c r="I60" s="73"/>
      <c r="J60" s="250" t="s">
        <v>292</v>
      </c>
      <c r="K60" s="234">
        <f>IF(M60&gt;0,M60,F81)</f>
        <v>14</v>
      </c>
      <c r="M60" s="648"/>
      <c r="O60" s="249" t="s">
        <v>158</v>
      </c>
    </row>
    <row r="61" spans="2:23" x14ac:dyDescent="0.2">
      <c r="B61" s="240" t="s">
        <v>293</v>
      </c>
      <c r="F61" s="176">
        <v>7</v>
      </c>
      <c r="H61" s="160" t="s">
        <v>99</v>
      </c>
      <c r="I61" s="73"/>
      <c r="J61" s="251" t="s">
        <v>294</v>
      </c>
      <c r="K61" s="184">
        <f>(K59-K60)/(100-K59)*K58</f>
        <v>4675.3246753246749</v>
      </c>
      <c r="O61" s="249" t="s">
        <v>285</v>
      </c>
    </row>
    <row r="62" spans="2:23" x14ac:dyDescent="0.2">
      <c r="B62" s="240" t="s">
        <v>295</v>
      </c>
      <c r="F62" s="231">
        <f>F60*F61*F63</f>
        <v>28000</v>
      </c>
      <c r="H62" s="160" t="s">
        <v>296</v>
      </c>
      <c r="I62" s="73"/>
      <c r="J62" s="250" t="s">
        <v>297</v>
      </c>
      <c r="K62" s="234">
        <f>IF(M62&gt;0,M62,F86)</f>
        <v>1.5</v>
      </c>
      <c r="M62" s="181">
        <v>0</v>
      </c>
      <c r="O62" s="249" t="s">
        <v>298</v>
      </c>
    </row>
    <row r="63" spans="2:23" x14ac:dyDescent="0.2">
      <c r="B63" s="240" t="s">
        <v>278</v>
      </c>
      <c r="F63" s="231">
        <f>IF(G63&gt;0,G63,IF(AND(F52&gt;0,G56&gt;0),F56/F52,F53))</f>
        <v>4000</v>
      </c>
      <c r="G63" s="657">
        <v>0</v>
      </c>
      <c r="H63" s="160" t="s">
        <v>299</v>
      </c>
      <c r="I63" s="241" t="str">
        <f>IF(F63&gt;10000,"Onko sato todellinen? Tarkista ettei ole ristiriitaa syötetiedoissa","")</f>
        <v/>
      </c>
      <c r="J63" s="240" t="s">
        <v>300</v>
      </c>
      <c r="K63" s="234">
        <f>(K59-K60)/K62</f>
        <v>6</v>
      </c>
      <c r="O63" s="249" t="s">
        <v>99</v>
      </c>
    </row>
    <row r="64" spans="2:23" x14ac:dyDescent="0.2">
      <c r="B64" s="240" t="s">
        <v>301</v>
      </c>
      <c r="F64" s="231">
        <f>F62</f>
        <v>28000</v>
      </c>
      <c r="H64" s="160" t="s">
        <v>302</v>
      </c>
      <c r="I64" s="73"/>
      <c r="J64" s="240" t="s">
        <v>303</v>
      </c>
      <c r="K64" s="252">
        <f>IF(M64&gt;0,M64,F54)</f>
        <v>65</v>
      </c>
      <c r="M64" s="181">
        <v>0</v>
      </c>
      <c r="O64" s="249" t="s">
        <v>40</v>
      </c>
    </row>
    <row r="65" spans="2:15" ht="14.25" x14ac:dyDescent="0.2">
      <c r="B65" s="240" t="s">
        <v>304</v>
      </c>
      <c r="F65" s="176">
        <v>2</v>
      </c>
      <c r="H65" s="160" t="s">
        <v>305</v>
      </c>
      <c r="I65" s="73"/>
      <c r="J65" s="240" t="s">
        <v>281</v>
      </c>
      <c r="K65" s="82">
        <f>K64*10</f>
        <v>650</v>
      </c>
      <c r="O65" s="249" t="s">
        <v>40</v>
      </c>
    </row>
    <row r="66" spans="2:15" x14ac:dyDescent="0.2">
      <c r="B66" s="119"/>
      <c r="F66" s="231">
        <f>F64/F65</f>
        <v>14000</v>
      </c>
      <c r="H66" s="160" t="s">
        <v>306</v>
      </c>
      <c r="I66" s="73"/>
      <c r="J66" s="251" t="s">
        <v>307</v>
      </c>
      <c r="K66" s="162">
        <f>K58/K64</f>
        <v>615.38461538461536</v>
      </c>
      <c r="O66" s="249" t="s">
        <v>245</v>
      </c>
    </row>
    <row r="67" spans="2:15" ht="14.25" x14ac:dyDescent="0.2">
      <c r="B67" s="119"/>
      <c r="F67" s="201">
        <f>F66/F54</f>
        <v>215.38461538461539</v>
      </c>
      <c r="H67" s="160" t="s">
        <v>308</v>
      </c>
      <c r="I67" s="73"/>
      <c r="J67" s="251" t="s">
        <v>309</v>
      </c>
      <c r="K67" s="162">
        <f>K66/10</f>
        <v>61.538461538461533</v>
      </c>
      <c r="O67" s="249" t="s">
        <v>67</v>
      </c>
    </row>
    <row r="68" spans="2:15" ht="16.5" thickBot="1" x14ac:dyDescent="0.3">
      <c r="B68" s="119"/>
      <c r="F68" s="660">
        <f>F67*100</f>
        <v>21538.461538461539</v>
      </c>
      <c r="H68" s="160" t="s">
        <v>310</v>
      </c>
      <c r="I68" s="73"/>
      <c r="J68" s="240" t="s">
        <v>311</v>
      </c>
      <c r="K68" s="253">
        <f>IF(M68&gt;0,M68,F69)</f>
        <v>21.53846153846154</v>
      </c>
      <c r="M68" s="204">
        <v>0</v>
      </c>
      <c r="O68" s="249" t="s">
        <v>67</v>
      </c>
    </row>
    <row r="69" spans="2:15" ht="24.75" customHeight="1" thickBot="1" x14ac:dyDescent="0.6">
      <c r="B69" s="285" t="s">
        <v>312</v>
      </c>
      <c r="C69" s="256"/>
      <c r="D69" s="256"/>
      <c r="E69" s="256"/>
      <c r="F69" s="337">
        <f>F68/1000</f>
        <v>21.53846153846154</v>
      </c>
      <c r="H69" s="160" t="s">
        <v>313</v>
      </c>
      <c r="I69" s="73"/>
      <c r="J69" s="240" t="s">
        <v>314</v>
      </c>
      <c r="K69" s="254">
        <f>K68*10</f>
        <v>215.38461538461542</v>
      </c>
      <c r="O69" s="249" t="s">
        <v>245</v>
      </c>
    </row>
    <row r="70" spans="2:15" x14ac:dyDescent="0.2">
      <c r="B70" s="240" t="s">
        <v>315</v>
      </c>
      <c r="F70" s="661">
        <f>F52/F60</f>
        <v>10</v>
      </c>
      <c r="H70" s="160" t="s">
        <v>228</v>
      </c>
      <c r="I70" s="73"/>
      <c r="J70" s="240"/>
      <c r="K70" s="252"/>
      <c r="O70" s="249"/>
    </row>
    <row r="71" spans="2:15" ht="13.5" thickBot="1" x14ac:dyDescent="0.25">
      <c r="B71" s="242" t="s">
        <v>316</v>
      </c>
      <c r="D71" s="160" t="s">
        <v>317</v>
      </c>
      <c r="E71" s="205">
        <v>20</v>
      </c>
      <c r="F71" s="652">
        <f>(F52/(F61*F60))</f>
        <v>1.4285714285714286</v>
      </c>
      <c r="G71" s="243" t="str">
        <f>IF(F71&gt;E71,"Aika loppuu","")</f>
        <v/>
      </c>
      <c r="H71" s="160" t="s">
        <v>318</v>
      </c>
      <c r="I71" s="73"/>
      <c r="J71" s="251" t="s">
        <v>319</v>
      </c>
      <c r="K71" s="281">
        <f>K66/K69</f>
        <v>2.8571428571428568</v>
      </c>
      <c r="O71" s="249" t="s">
        <v>73</v>
      </c>
    </row>
    <row r="72" spans="2:15" ht="21" thickBot="1" x14ac:dyDescent="0.6">
      <c r="B72" s="242" t="s">
        <v>320</v>
      </c>
      <c r="E72" s="160"/>
      <c r="F72" s="160"/>
      <c r="G72" s="160"/>
      <c r="I72" s="73"/>
      <c r="J72" s="283" t="s">
        <v>321</v>
      </c>
      <c r="K72" s="284">
        <f>K71*K63</f>
        <v>17.142857142857139</v>
      </c>
      <c r="M72" s="321"/>
      <c r="O72" s="249" t="s">
        <v>99</v>
      </c>
    </row>
    <row r="73" spans="2:15" ht="14.25" x14ac:dyDescent="0.2">
      <c r="B73" s="240" t="s">
        <v>322</v>
      </c>
      <c r="F73" s="176">
        <v>15</v>
      </c>
      <c r="H73" s="160" t="s">
        <v>323</v>
      </c>
      <c r="I73" s="73"/>
      <c r="J73" s="240" t="s">
        <v>324</v>
      </c>
      <c r="K73" s="282">
        <f>K72/M73</f>
        <v>1.4285714285714282</v>
      </c>
      <c r="M73" s="181">
        <v>12</v>
      </c>
      <c r="N73" s="160" t="s">
        <v>325</v>
      </c>
      <c r="O73" s="249" t="s">
        <v>318</v>
      </c>
    </row>
    <row r="74" spans="2:15" ht="15.75" x14ac:dyDescent="0.25">
      <c r="B74" s="240" t="s">
        <v>326</v>
      </c>
      <c r="F74" s="202">
        <f>ROUNDUP(F69*F65/F73,0)</f>
        <v>3</v>
      </c>
      <c r="H74" s="160" t="s">
        <v>327</v>
      </c>
      <c r="I74" s="73"/>
      <c r="J74" s="240" t="s">
        <v>328</v>
      </c>
      <c r="K74" s="255">
        <f>$K$72/($K$58/1000)</f>
        <v>0.42857142857142849</v>
      </c>
      <c r="O74" s="249" t="s">
        <v>329</v>
      </c>
    </row>
    <row r="75" spans="2:15" ht="16.5" thickBot="1" x14ac:dyDescent="0.3">
      <c r="B75" s="240" t="s">
        <v>330</v>
      </c>
      <c r="F75" s="202">
        <f>ROUNDUP(IF(F59/F73&lt;1,1,F59/F73),0)</f>
        <v>5</v>
      </c>
      <c r="H75" s="160" t="s">
        <v>331</v>
      </c>
      <c r="I75" s="73"/>
      <c r="J75" s="240" t="s">
        <v>332</v>
      </c>
      <c r="K75" s="255">
        <f>($K$58/1000)/$K$72</f>
        <v>2.3333333333333339</v>
      </c>
      <c r="O75" s="249" t="s">
        <v>333</v>
      </c>
    </row>
    <row r="76" spans="2:15" ht="13.5" thickBot="1" x14ac:dyDescent="0.25">
      <c r="B76" s="244"/>
      <c r="C76" s="245"/>
      <c r="D76" s="245"/>
      <c r="E76" s="245"/>
      <c r="F76" s="245"/>
      <c r="G76" s="245"/>
      <c r="H76" s="256"/>
      <c r="I76" s="246"/>
      <c r="J76" s="244"/>
      <c r="K76" s="245"/>
      <c r="L76" s="245"/>
      <c r="M76" s="245"/>
      <c r="N76" s="245"/>
      <c r="O76" s="246"/>
    </row>
    <row r="77" spans="2:15" ht="15.75" x14ac:dyDescent="0.25">
      <c r="B77" s="258" t="s">
        <v>334</v>
      </c>
      <c r="C77" s="14"/>
      <c r="D77" s="14"/>
      <c r="E77" s="14"/>
      <c r="F77" s="72"/>
      <c r="G77" s="72"/>
      <c r="H77" s="72"/>
      <c r="I77" s="71"/>
      <c r="J77" s="258" t="s">
        <v>335</v>
      </c>
      <c r="K77" s="72"/>
      <c r="L77" s="72"/>
      <c r="M77" s="72"/>
      <c r="N77" s="72"/>
      <c r="O77" s="71"/>
    </row>
    <row r="78" spans="2:15" ht="26.25" x14ac:dyDescent="0.25">
      <c r="B78" s="259"/>
      <c r="F78"/>
      <c r="G78" t="s">
        <v>264</v>
      </c>
      <c r="I78" s="73"/>
      <c r="J78" s="119"/>
      <c r="M78" s="271" t="s">
        <v>336</v>
      </c>
      <c r="N78" s="271" t="s">
        <v>337</v>
      </c>
      <c r="O78" s="73"/>
    </row>
    <row r="79" spans="2:15" x14ac:dyDescent="0.2">
      <c r="B79" s="251" t="s">
        <v>338</v>
      </c>
      <c r="F79" s="200">
        <f>IF(G79&gt;0,G79,F52)</f>
        <v>10</v>
      </c>
      <c r="G79" s="149">
        <v>0</v>
      </c>
      <c r="H79"/>
      <c r="I79" s="73"/>
      <c r="J79" s="240" t="s">
        <v>339</v>
      </c>
      <c r="K79" s="263">
        <f>F100</f>
        <v>550.03819709702054</v>
      </c>
      <c r="L79" s="265" t="s">
        <v>287</v>
      </c>
      <c r="M79" s="268">
        <v>11.805999999999999</v>
      </c>
      <c r="N79" s="266">
        <f>K79/1000*M79</f>
        <v>6.4937509549274237</v>
      </c>
      <c r="O79" s="73"/>
    </row>
    <row r="80" spans="2:15" x14ac:dyDescent="0.2">
      <c r="B80" s="251" t="s">
        <v>340</v>
      </c>
      <c r="F80" s="181">
        <v>23</v>
      </c>
      <c r="G80" s="182"/>
      <c r="H80" s="1" t="s">
        <v>58</v>
      </c>
      <c r="I80" s="73"/>
      <c r="J80" s="242" t="s">
        <v>341</v>
      </c>
      <c r="O80" s="73"/>
    </row>
    <row r="81" spans="2:15" ht="14.25" x14ac:dyDescent="0.2">
      <c r="B81" s="251" t="s">
        <v>342</v>
      </c>
      <c r="F81" s="181">
        <v>14</v>
      </c>
      <c r="G81" s="182"/>
      <c r="H81" s="1" t="s">
        <v>158</v>
      </c>
      <c r="I81" s="73"/>
      <c r="J81" s="240" t="s">
        <v>343</v>
      </c>
      <c r="M81" s="268">
        <v>0.8</v>
      </c>
      <c r="O81" s="73"/>
    </row>
    <row r="82" spans="2:15" x14ac:dyDescent="0.2">
      <c r="B82" s="251" t="s">
        <v>344</v>
      </c>
      <c r="F82" s="339">
        <f>IF(G82&gt;0,G82,F63)</f>
        <v>4000</v>
      </c>
      <c r="G82" s="183">
        <v>0</v>
      </c>
      <c r="H82" s="1" t="s">
        <v>158</v>
      </c>
      <c r="I82" s="73"/>
      <c r="J82" s="272" t="s">
        <v>345</v>
      </c>
      <c r="K82" s="662">
        <v>0.7</v>
      </c>
      <c r="O82" s="73"/>
    </row>
    <row r="83" spans="2:15" ht="16.5" x14ac:dyDescent="0.35">
      <c r="B83" s="251" t="s">
        <v>283</v>
      </c>
      <c r="C83" s="160" t="s">
        <v>40</v>
      </c>
      <c r="F83" s="340">
        <f>IF(G83&gt;0,G83,F82*F79)</f>
        <v>40000</v>
      </c>
      <c r="G83" s="185">
        <v>0</v>
      </c>
      <c r="H83" s="1" t="s">
        <v>40</v>
      </c>
      <c r="I83" s="73"/>
      <c r="J83" s="272" t="s">
        <v>346</v>
      </c>
      <c r="K83" s="267">
        <f>$N$79/K82/M81</f>
        <v>11.595983848084686</v>
      </c>
      <c r="L83" s="265" t="s">
        <v>70</v>
      </c>
      <c r="M83" s="10" t="s">
        <v>347</v>
      </c>
      <c r="O83" s="73"/>
    </row>
    <row r="84" spans="2:15" x14ac:dyDescent="0.2">
      <c r="B84" s="250" t="s">
        <v>348</v>
      </c>
      <c r="C84" s="160" t="s">
        <v>245</v>
      </c>
      <c r="D84" s="260" t="s">
        <v>349</v>
      </c>
      <c r="E84" s="177">
        <f>F54</f>
        <v>65</v>
      </c>
      <c r="F84" s="340">
        <f>IF(E84&gt;0,F83/E84,F83/F54)</f>
        <v>615.38461538461536</v>
      </c>
      <c r="G84" s="186"/>
      <c r="H84" s="141" t="s">
        <v>245</v>
      </c>
      <c r="I84" s="73"/>
      <c r="J84" s="119"/>
      <c r="O84" s="73"/>
    </row>
    <row r="85" spans="2:15" x14ac:dyDescent="0.2">
      <c r="B85" s="251" t="s">
        <v>294</v>
      </c>
      <c r="F85" s="340">
        <f>(F80-F81)/(100-F80)*F83</f>
        <v>4675.3246753246749</v>
      </c>
      <c r="G85" s="186"/>
      <c r="H85" t="s">
        <v>40</v>
      </c>
      <c r="I85" s="73"/>
      <c r="J85" s="160" t="s">
        <v>350</v>
      </c>
      <c r="K85" s="252">
        <f>F91</f>
        <v>17.142857142857142</v>
      </c>
      <c r="L85" s="265" t="s">
        <v>351</v>
      </c>
      <c r="O85" s="73"/>
    </row>
    <row r="86" spans="2:15" ht="14.25" x14ac:dyDescent="0.2">
      <c r="B86" s="250" t="s">
        <v>297</v>
      </c>
      <c r="F86" s="187">
        <v>1.5</v>
      </c>
      <c r="G86" s="186"/>
      <c r="H86" s="192" t="s">
        <v>352</v>
      </c>
      <c r="I86" s="73"/>
      <c r="J86" s="160" t="s">
        <v>353</v>
      </c>
      <c r="K86" s="264">
        <f>K83/K85</f>
        <v>0.67643239113827336</v>
      </c>
      <c r="L86" s="275" t="s">
        <v>354</v>
      </c>
      <c r="O86" s="73"/>
    </row>
    <row r="87" spans="2:15" x14ac:dyDescent="0.2">
      <c r="B87" s="251" t="s">
        <v>355</v>
      </c>
      <c r="F87" s="187">
        <v>0.85</v>
      </c>
      <c r="G87" s="186"/>
      <c r="H87" s="192" t="s">
        <v>356</v>
      </c>
      <c r="I87" s="73"/>
      <c r="O87" s="73"/>
    </row>
    <row r="88" spans="2:15" x14ac:dyDescent="0.2">
      <c r="B88" s="251" t="s">
        <v>357</v>
      </c>
      <c r="F88" s="188">
        <v>100</v>
      </c>
      <c r="G88" s="186"/>
      <c r="H88" s="1" t="s">
        <v>358</v>
      </c>
      <c r="I88" s="73"/>
      <c r="O88" s="73"/>
    </row>
    <row r="89" spans="2:15" x14ac:dyDescent="0.2">
      <c r="B89" s="251" t="s">
        <v>319</v>
      </c>
      <c r="F89" s="193">
        <f>IF(G89&gt;0,G89,IF((F83/F54)/F67&lt;1,1,(F83/F54)/F67))</f>
        <v>2.8571428571428572</v>
      </c>
      <c r="G89" s="183">
        <v>0</v>
      </c>
      <c r="H89" s="1" t="s">
        <v>359</v>
      </c>
      <c r="I89" s="73"/>
      <c r="J89" s="273" t="s">
        <v>360</v>
      </c>
      <c r="K89" s="1087" t="s">
        <v>361</v>
      </c>
      <c r="L89" s="1087"/>
      <c r="M89" s="1087"/>
      <c r="O89" s="73"/>
    </row>
    <row r="90" spans="2:15" ht="15.75" x14ac:dyDescent="0.25">
      <c r="B90" s="242" t="s">
        <v>362</v>
      </c>
      <c r="F90" s="323">
        <f>(F80-F81)/F86</f>
        <v>6</v>
      </c>
      <c r="G90" s="191"/>
      <c r="H90" s="135" t="s">
        <v>363</v>
      </c>
      <c r="I90" s="73"/>
      <c r="J90" s="240" t="str">
        <f>K89&amp;"n energiasisältö "&amp;N90</f>
        <v>Maakaasu tmsn energiasisältö MWh/tonni</v>
      </c>
      <c r="M90" s="268">
        <v>12.861000000000001</v>
      </c>
      <c r="N90" s="270" t="s">
        <v>364</v>
      </c>
      <c r="O90" s="73"/>
    </row>
    <row r="91" spans="2:15" ht="15.75" x14ac:dyDescent="0.25">
      <c r="B91" s="250" t="s">
        <v>365</v>
      </c>
      <c r="F91" s="323">
        <f>F89*F90*G91</f>
        <v>17.142857142857142</v>
      </c>
      <c r="G91" s="123">
        <v>1</v>
      </c>
      <c r="H91" s="160" t="s">
        <v>366</v>
      </c>
      <c r="I91" s="73"/>
      <c r="J91" s="272" t="s">
        <v>367</v>
      </c>
      <c r="K91" s="662">
        <v>0.95</v>
      </c>
      <c r="O91" s="73"/>
    </row>
    <row r="92" spans="2:15" ht="15" x14ac:dyDescent="0.35">
      <c r="B92" s="250" t="s">
        <v>368</v>
      </c>
      <c r="E92" s="663">
        <v>1</v>
      </c>
      <c r="F92" s="193">
        <f>F89*E92</f>
        <v>2.8571428571428572</v>
      </c>
      <c r="G92" s="191"/>
      <c r="H92" s="160" t="s">
        <v>366</v>
      </c>
      <c r="J92" s="322" t="str">
        <f>"Tarvitaan "&amp;K89</f>
        <v>Tarvitaan Maakaasu tms</v>
      </c>
      <c r="K92" s="274">
        <f>$N$79/K91/M90</f>
        <v>0.53149267716166981</v>
      </c>
      <c r="L92" s="269" t="s">
        <v>369</v>
      </c>
      <c r="M92" s="10" t="s">
        <v>370</v>
      </c>
      <c r="O92" s="73"/>
    </row>
    <row r="93" spans="2:15" ht="15.75" x14ac:dyDescent="0.25">
      <c r="B93" s="242" t="s">
        <v>371</v>
      </c>
      <c r="F93" s="323">
        <f>F90+E92</f>
        <v>7</v>
      </c>
      <c r="G93" s="191"/>
      <c r="H93" s="135" t="s">
        <v>363</v>
      </c>
      <c r="J93" s="320" t="s">
        <v>372</v>
      </c>
      <c r="K93" s="264">
        <f>K92/K85</f>
        <v>3.1003739501097406E-2</v>
      </c>
      <c r="L93" s="277" t="s">
        <v>373</v>
      </c>
      <c r="O93" s="73"/>
    </row>
    <row r="94" spans="2:15" x14ac:dyDescent="0.2">
      <c r="B94" s="250" t="s">
        <v>374</v>
      </c>
      <c r="F94" s="341">
        <f>SUM(F91:F92)</f>
        <v>20</v>
      </c>
      <c r="G94" s="191"/>
      <c r="H94" s="160" t="s">
        <v>366</v>
      </c>
      <c r="I94" s="73"/>
      <c r="J94" s="119"/>
      <c r="K94" s="276">
        <f>K93*1000</f>
        <v>31.003739501097407</v>
      </c>
      <c r="L94" s="269" t="s">
        <v>375</v>
      </c>
      <c r="O94" s="73"/>
    </row>
    <row r="95" spans="2:15" x14ac:dyDescent="0.2">
      <c r="B95" s="250" t="s">
        <v>376</v>
      </c>
      <c r="F95" s="331">
        <v>13</v>
      </c>
      <c r="G95" s="191"/>
      <c r="H95" s="160" t="s">
        <v>377</v>
      </c>
      <c r="I95" s="73"/>
      <c r="J95" s="119"/>
      <c r="O95" s="73"/>
    </row>
    <row r="96" spans="2:15" ht="13.5" thickBot="1" x14ac:dyDescent="0.25">
      <c r="B96" s="250" t="s">
        <v>378</v>
      </c>
      <c r="F96" s="341">
        <f>IF(G96&gt;0,G96,F94)</f>
        <v>20</v>
      </c>
      <c r="G96" s="351">
        <v>0</v>
      </c>
      <c r="H96" s="160" t="s">
        <v>366</v>
      </c>
      <c r="I96" s="73"/>
      <c r="J96" s="119"/>
      <c r="O96" s="73"/>
    </row>
    <row r="97" spans="2:15" ht="16.5" thickBot="1" x14ac:dyDescent="0.3">
      <c r="B97" s="250" t="s">
        <v>379</v>
      </c>
      <c r="F97" s="336">
        <f>IF(G97&gt;0,G97,F95*F94)</f>
        <v>260</v>
      </c>
      <c r="G97" s="351">
        <v>0</v>
      </c>
      <c r="H97" s="160" t="s">
        <v>380</v>
      </c>
      <c r="I97" s="73"/>
      <c r="J97" s="119"/>
      <c r="O97" s="73"/>
    </row>
    <row r="98" spans="2:15" x14ac:dyDescent="0.2">
      <c r="B98" s="250" t="s">
        <v>381</v>
      </c>
      <c r="F98" s="342">
        <f>((F88/1000)*F85)/F89/F87</f>
        <v>192.51336898395721</v>
      </c>
      <c r="G98" s="189"/>
      <c r="H98" s="160" t="s">
        <v>382</v>
      </c>
      <c r="I98" s="73"/>
      <c r="J98" s="119"/>
      <c r="O98" s="73"/>
    </row>
    <row r="99" spans="2:15" x14ac:dyDescent="0.2">
      <c r="B99" s="250" t="s">
        <v>383</v>
      </c>
      <c r="F99" s="335">
        <f>((F85*F88)/1000)*(F88/100)</f>
        <v>467.53246753246748</v>
      </c>
      <c r="G99" s="189"/>
      <c r="H99" s="192" t="s">
        <v>384</v>
      </c>
      <c r="I99" s="73"/>
      <c r="J99" s="119"/>
      <c r="O99" s="73"/>
    </row>
    <row r="100" spans="2:15" x14ac:dyDescent="0.2">
      <c r="B100" s="250" t="s">
        <v>385</v>
      </c>
      <c r="F100" s="335">
        <f>F99/F87</f>
        <v>550.03819709702054</v>
      </c>
      <c r="G100" s="189"/>
      <c r="H100" s="192" t="s">
        <v>386</v>
      </c>
      <c r="J100" s="119"/>
      <c r="O100" s="73"/>
    </row>
    <row r="101" spans="2:15" x14ac:dyDescent="0.2">
      <c r="B101" s="251" t="s">
        <v>387</v>
      </c>
      <c r="F101" s="190">
        <f>IF(F79&gt;0,F100/F79,0)</f>
        <v>55.003819709702057</v>
      </c>
      <c r="G101" s="186"/>
      <c r="H101" s="1" t="s">
        <v>388</v>
      </c>
      <c r="J101" s="119"/>
      <c r="O101" s="73"/>
    </row>
    <row r="102" spans="2:15" ht="13.5" thickBot="1" x14ac:dyDescent="0.25">
      <c r="B102" s="251" t="s">
        <v>389</v>
      </c>
      <c r="F102" s="286">
        <f>F101/F82</f>
        <v>1.3750954927425514E-2</v>
      </c>
      <c r="G102" s="191"/>
      <c r="H102" s="1" t="s">
        <v>390</v>
      </c>
      <c r="I102" s="73"/>
      <c r="J102" s="119"/>
      <c r="O102" s="73"/>
    </row>
    <row r="103" spans="2:15" ht="16.5" thickBot="1" x14ac:dyDescent="0.3">
      <c r="B103" s="287" t="s">
        <v>391</v>
      </c>
      <c r="C103" s="256"/>
      <c r="D103" s="256"/>
      <c r="E103" s="256"/>
      <c r="F103" s="336">
        <f>IF(F91&gt;0,IF(F100&gt;0,F100/F91,0),0)</f>
        <v>32.085561497326196</v>
      </c>
      <c r="G103" s="324" t="str">
        <f>IF(G91&lt;1%,"Rivin G89 %-arvo pieni?","")</f>
        <v/>
      </c>
      <c r="H103" s="135" t="s">
        <v>392</v>
      </c>
      <c r="I103" s="73"/>
      <c r="J103" s="119"/>
      <c r="O103" s="73"/>
    </row>
    <row r="104" spans="2:15" ht="13.5" thickBot="1" x14ac:dyDescent="0.25">
      <c r="B104" s="244"/>
      <c r="C104" s="245"/>
      <c r="D104" s="245"/>
      <c r="E104" s="245"/>
      <c r="F104" s="245"/>
      <c r="G104" s="245"/>
      <c r="H104" s="245"/>
      <c r="I104" s="246"/>
      <c r="J104" s="244"/>
      <c r="K104" s="245"/>
      <c r="L104" s="245"/>
      <c r="M104" s="245"/>
      <c r="N104" s="245"/>
      <c r="O104" s="246"/>
    </row>
    <row r="106" spans="2:15" x14ac:dyDescent="0.2">
      <c r="B106" s="160" t="s">
        <v>393</v>
      </c>
      <c r="C106" s="150" t="s">
        <v>394</v>
      </c>
    </row>
    <row r="108" spans="2:15" x14ac:dyDescent="0.2">
      <c r="B108" s="4" t="s">
        <v>139</v>
      </c>
      <c r="C108" s="334" t="str">
        <f>Ohjeet!C2</f>
        <v>2024.12</v>
      </c>
    </row>
    <row r="110" spans="2:15" ht="29.25" x14ac:dyDescent="0.2">
      <c r="K110" s="179"/>
    </row>
    <row r="111" spans="2:15" ht="29.25" x14ac:dyDescent="0.2">
      <c r="K111" s="179"/>
    </row>
    <row r="112" spans="2:15" ht="33" x14ac:dyDescent="0.2">
      <c r="K112" s="180"/>
    </row>
    <row r="113" spans="11:11" ht="29.25" x14ac:dyDescent="0.2">
      <c r="K113" s="179"/>
    </row>
    <row r="114" spans="11:11" ht="29.25" x14ac:dyDescent="0.2">
      <c r="K114" s="179"/>
    </row>
    <row r="115" spans="11:11" ht="29.25" x14ac:dyDescent="0.2">
      <c r="K115" s="179"/>
    </row>
    <row r="116" spans="11:11" ht="29.25" x14ac:dyDescent="0.2">
      <c r="K116" s="179"/>
    </row>
    <row r="117" spans="11:11" ht="29.25" x14ac:dyDescent="0.2">
      <c r="K117" s="179"/>
    </row>
    <row r="118" spans="11:11" ht="29.25" x14ac:dyDescent="0.2">
      <c r="K118" s="179"/>
    </row>
    <row r="139" spans="2:2" x14ac:dyDescent="0.2">
      <c r="B139" s="160"/>
    </row>
    <row r="140" spans="2:2" x14ac:dyDescent="0.2">
      <c r="B140" s="160"/>
    </row>
    <row r="141" spans="2:2" x14ac:dyDescent="0.2">
      <c r="B141" s="160"/>
    </row>
  </sheetData>
  <sheetProtection algorithmName="SHA-512" hashValue="GTkT7tXJXN2tpsiFhaZboyQ7614QPtnTLp6NMx3QQSm5HOpxg3+uZzO6wJOla7rzFlQMobes1VOD00qBxagu4g==" saltValue="GRO/7DquCyCcVlE3HPljhg==" spinCount="100000" sheet="1" formatCells="0" formatColumns="0" formatRows="0"/>
  <mergeCells count="30">
    <mergeCell ref="C44:E44"/>
    <mergeCell ref="F44:L44"/>
    <mergeCell ref="M58:N58"/>
    <mergeCell ref="K89:M89"/>
    <mergeCell ref="C47:E47"/>
    <mergeCell ref="F47:L47"/>
    <mergeCell ref="C48:E48"/>
    <mergeCell ref="F48:L48"/>
    <mergeCell ref="M56:N56"/>
    <mergeCell ref="M57:N57"/>
    <mergeCell ref="C45:E45"/>
    <mergeCell ref="K45:L45"/>
    <mergeCell ref="M45:M46"/>
    <mergeCell ref="N45:N46"/>
    <mergeCell ref="C46:E46"/>
    <mergeCell ref="K46:L46"/>
    <mergeCell ref="E4:F4"/>
    <mergeCell ref="I4:J4"/>
    <mergeCell ref="M4:N4"/>
    <mergeCell ref="Q4:R4"/>
    <mergeCell ref="C30:E30"/>
    <mergeCell ref="P2:R2"/>
    <mergeCell ref="A3:B3"/>
    <mergeCell ref="E3:F3"/>
    <mergeCell ref="I3:J3"/>
    <mergeCell ref="M3:N3"/>
    <mergeCell ref="Q3:R3"/>
    <mergeCell ref="E2:G2"/>
    <mergeCell ref="H2:J2"/>
    <mergeCell ref="L2:N2"/>
  </mergeCells>
  <conditionalFormatting sqref="F71">
    <cfRule type="cellIs" dxfId="16" priority="3" operator="greaterThan">
      <formula>$E$71</formula>
    </cfRule>
  </conditionalFormatting>
  <conditionalFormatting sqref="G56">
    <cfRule type="cellIs" dxfId="15" priority="11" operator="greaterThan">
      <formula>0</formula>
    </cfRule>
  </conditionalFormatting>
  <conditionalFormatting sqref="G63">
    <cfRule type="cellIs" dxfId="14" priority="10" operator="greaterThan">
      <formula>0</formula>
    </cfRule>
  </conditionalFormatting>
  <conditionalFormatting sqref="G79 G82:G83 G89">
    <cfRule type="cellIs" dxfId="13" priority="9" operator="greaterThan">
      <formula>0</formula>
    </cfRule>
  </conditionalFormatting>
  <conditionalFormatting sqref="G96:G97">
    <cfRule type="cellIs" dxfId="12" priority="1" operator="greaterThan">
      <formula>0</formula>
    </cfRule>
  </conditionalFormatting>
  <conditionalFormatting sqref="M56:M57">
    <cfRule type="cellIs" dxfId="11" priority="8" operator="greaterThan">
      <formula>0</formula>
    </cfRule>
  </conditionalFormatting>
  <conditionalFormatting sqref="M59:M60">
    <cfRule type="cellIs" dxfId="10" priority="7" operator="greaterThan">
      <formula>0</formula>
    </cfRule>
  </conditionalFormatting>
  <conditionalFormatting sqref="M62">
    <cfRule type="cellIs" dxfId="9" priority="4" operator="greaterThan">
      <formula>0</formula>
    </cfRule>
  </conditionalFormatting>
  <conditionalFormatting sqref="M64">
    <cfRule type="cellIs" dxfId="8" priority="5" operator="greaterThan">
      <formula>0</formula>
    </cfRule>
  </conditionalFormatting>
  <conditionalFormatting sqref="M68">
    <cfRule type="cellIs" dxfId="7" priority="6" operator="greaterThan">
      <formula>0</formula>
    </cfRule>
  </conditionalFormatting>
  <conditionalFormatting sqref="V29">
    <cfRule type="cellIs" dxfId="6" priority="2" operator="greaterThan">
      <formula>1</formula>
    </cfRule>
  </conditionalFormatting>
  <dataValidations count="1">
    <dataValidation type="decimal" errorStyle="warning" operator="lessThan" allowBlank="1" showErrorMessage="1" errorTitle="Mahdollinen virhe!" error="Työmäärän tuntilukeman ollessa 1 tai suurempi tarkoittaa, että jokaista kuivurin kuivaustuntia on  ihmistyötä. Onko näin? Oletus on, että lukema olisi alle 1 h/kuivuritunti eli esim. 0,1 h/kuivurin tunti" sqref="C38" xr:uid="{00000000-0002-0000-0600-000000000000}">
      <formula1>0.9</formula1>
    </dataValidation>
  </dataValidations>
  <hyperlinks>
    <hyperlink ref="C106" r:id="rId1" xr:uid="{00000000-0004-0000-0600-000000000000}"/>
    <hyperlink ref="C30:E30" location="Sähkömoottorin_teho_kW" display="Katso sähköenergiaslaskuri" xr:uid="{00000000-0004-0000-0600-000001000000}"/>
    <hyperlink ref="C5" location="Kokolaskuri" display="Laske kokolaskurilla" xr:uid="{00000000-0004-0000-0600-000002000000}"/>
    <hyperlink ref="C8" location="Ajankäyttölaskurille" display="Laske Ajankäyttölaskurilla" xr:uid="{00000000-0004-0000-0600-000003000000}"/>
    <hyperlink ref="E27" location="Litraa_kuivaustunti" display="Katso laskuri" xr:uid="{00000000-0004-0000-0600-000004000000}"/>
    <hyperlink ref="C45:E45" location="Aikaa_kuivaamiseen_kuluu_h___kuivauserä" display="Erän kuivaus kestää h" xr:uid="{00000000-0004-0000-0600-000005000000}"/>
  </hyperlinks>
  <printOptions verticalCentered="1"/>
  <pageMargins left="3.937007874015748E-2" right="3.937007874015748E-2" top="0.74803149606299213" bottom="0.74803149606299213" header="0.31496062992125984" footer="0.31496062992125984"/>
  <pageSetup paperSize="9" scale="55" firstPageNumber="0" orientation="landscape" horizontalDpi="300" verticalDpi="300" r:id="rId2"/>
  <headerFooter alignWithMargins="0">
    <oddHeader>&amp;C&amp;D&amp;R&amp;P</oddHeader>
  </headerFooter>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Ohjeet!$A$63:$A$68</xm:f>
          </x14:formula1>
          <xm:sqref>W27:W28</xm:sqref>
        </x14:dataValidation>
        <x14:dataValidation type="list" allowBlank="1" showInputMessage="1" showErrorMessage="1" xr:uid="{00000000-0002-0000-0600-000002000000}">
          <x14:formula1>
            <xm:f>Laskentayksikot!$E$2:$E$3</xm:f>
          </x14:formula1>
          <xm:sqref>E3:F3 I3:J3 M3:N3 Q3:R3</xm:sqref>
        </x14:dataValidation>
        <x14:dataValidation type="list" allowBlank="1" showInputMessage="1" showErrorMessage="1" xr:uid="{8641CB55-2A79-496E-AFF6-FA4281B250F8}">
          <x14:formula1>
            <xm:f>Laskentayksikot!$E$7:$E$8</xm:f>
          </x14:formula1>
          <xm:sqref>D3</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9">
    <pageSetUpPr fitToPage="1"/>
  </sheetPr>
  <dimension ref="A1:AC50"/>
  <sheetViews>
    <sheetView zoomScale="85" zoomScaleNormal="85" workbookViewId="0">
      <selection activeCell="A22" sqref="A22"/>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3.28515625" style="4" customWidth="1"/>
    <col min="6" max="6" width="21.42578125" style="4" customWidth="1"/>
    <col min="7" max="7" width="12.5703125" style="4" customWidth="1"/>
    <col min="8" max="8" width="10.28515625" style="4" customWidth="1"/>
    <col min="9" max="9" width="10.5703125" style="4" customWidth="1"/>
    <col min="10" max="10" width="15.28515625" style="4" customWidth="1"/>
    <col min="11" max="11" width="11" style="4" customWidth="1"/>
    <col min="12" max="12" width="6.28515625" style="4" hidden="1" customWidth="1"/>
    <col min="13" max="13" width="10.140625" style="4" hidden="1" customWidth="1"/>
    <col min="14" max="14" width="13.85546875" style="4" hidden="1" customWidth="1"/>
    <col min="15" max="15" width="12.42578125" style="4" hidden="1" customWidth="1"/>
    <col min="16" max="16" width="6.28515625" style="4" hidden="1" customWidth="1"/>
    <col min="17" max="17" width="0" style="4" hidden="1" customWidth="1"/>
    <col min="18" max="18" width="13.85546875" style="4" hidden="1" customWidth="1"/>
    <col min="19" max="19" width="11" style="4" hidden="1"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7" t="s">
        <v>210</v>
      </c>
      <c r="F1" s="917"/>
      <c r="G1" s="917"/>
      <c r="H1" s="918" t="s">
        <v>81</v>
      </c>
      <c r="I1" s="918"/>
      <c r="J1" s="918"/>
      <c r="L1" s="918" t="str">
        <f>H1</f>
        <v>Kytke traktoriin: K/E</v>
      </c>
      <c r="M1" s="918"/>
      <c r="N1" s="918"/>
      <c r="P1" s="918" t="str">
        <f>L1</f>
        <v>Kytke traktoriin: K/E</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429</v>
      </c>
      <c r="B2" s="912"/>
      <c r="C2" s="4" t="s">
        <v>90</v>
      </c>
      <c r="D2" s="70" t="s">
        <v>69</v>
      </c>
      <c r="E2" s="913" t="s">
        <v>60</v>
      </c>
      <c r="F2" s="914"/>
      <c r="G2" s="71"/>
      <c r="H2" s="72"/>
      <c r="I2" s="913" t="s">
        <v>62</v>
      </c>
      <c r="J2" s="914"/>
      <c r="K2" s="71"/>
      <c r="L2" s="72"/>
      <c r="M2" s="913" t="s">
        <v>62</v>
      </c>
      <c r="N2" s="914"/>
      <c r="O2" s="71"/>
      <c r="P2" s="72"/>
      <c r="Q2" s="913" t="s">
        <v>62</v>
      </c>
      <c r="R2" s="914"/>
      <c r="S2" s="71"/>
    </row>
    <row r="3" spans="1:29" ht="13.5" thickBot="1" x14ac:dyDescent="0.25">
      <c r="C3" s="10" t="s">
        <v>91</v>
      </c>
      <c r="E3" s="921" t="s">
        <v>430</v>
      </c>
      <c r="F3" s="1099"/>
      <c r="G3" s="73"/>
      <c r="H3" s="74"/>
      <c r="I3" s="915" t="s">
        <v>92</v>
      </c>
      <c r="J3" s="916"/>
      <c r="K3" s="73"/>
      <c r="L3" s="74"/>
      <c r="M3" s="915" t="s">
        <v>93</v>
      </c>
      <c r="N3" s="916"/>
      <c r="O3" s="73"/>
      <c r="P3" s="74"/>
      <c r="Q3" s="915" t="s">
        <v>94</v>
      </c>
      <c r="R3" s="916"/>
      <c r="S3" s="73"/>
      <c r="T3" s="6" t="str">
        <f>"Kytketty koneet: "&amp;IF(E2="k",E3&amp;" ","")&amp;IF(I2="k",I3&amp;" ","")&amp;IF(M2="k",M3&amp;" ","")&amp;(IF(Q2="k",Q3&amp;" ",""))</f>
        <v xml:space="preserve">Kytketty koneet: Ponsse </v>
      </c>
    </row>
    <row r="4" spans="1:29" ht="13.5" thickBot="1" x14ac:dyDescent="0.25">
      <c r="A4" s="4" t="s">
        <v>95</v>
      </c>
      <c r="E4" s="4" t="s">
        <v>96</v>
      </c>
      <c r="F4" s="796">
        <v>5</v>
      </c>
      <c r="G4" s="73"/>
      <c r="I4" s="4" t="s">
        <v>96</v>
      </c>
      <c r="J4" s="797">
        <v>1</v>
      </c>
      <c r="K4" s="73"/>
      <c r="M4" s="4" t="s">
        <v>96</v>
      </c>
      <c r="N4" s="797">
        <v>1</v>
      </c>
      <c r="O4" s="73"/>
      <c r="Q4" s="4" t="s">
        <v>96</v>
      </c>
      <c r="R4" s="797">
        <v>1</v>
      </c>
      <c r="S4" s="73"/>
      <c r="T4" s="160" t="s">
        <v>97</v>
      </c>
    </row>
    <row r="5" spans="1:29" ht="13.5" thickBot="1" x14ac:dyDescent="0.25">
      <c r="A5" s="4" t="s">
        <v>98</v>
      </c>
      <c r="E5" s="4" t="s">
        <v>99</v>
      </c>
      <c r="F5" s="392">
        <v>2500</v>
      </c>
      <c r="G5" s="793"/>
      <c r="I5" s="4" t="s">
        <v>99</v>
      </c>
      <c r="J5" s="640">
        <v>1</v>
      </c>
      <c r="K5" s="73"/>
      <c r="M5" s="4" t="s">
        <v>99</v>
      </c>
      <c r="N5" s="640">
        <v>1</v>
      </c>
      <c r="O5" s="73"/>
      <c r="Q5" s="4" t="s">
        <v>99</v>
      </c>
      <c r="R5" s="640">
        <v>1</v>
      </c>
      <c r="S5" s="73"/>
      <c r="T5" s="641">
        <f>IF($E$2="k",(F5),0)+IF($I$2="k",(J5),0)+IF($M$2="k",(N5),0)+IF($Q$2="k",(R5),0)</f>
        <v>2500</v>
      </c>
    </row>
    <row r="6" spans="1:29" ht="13.5" thickBot="1" x14ac:dyDescent="0.25">
      <c r="A6" s="160" t="s">
        <v>544</v>
      </c>
      <c r="E6" s="795">
        <v>0.85</v>
      </c>
      <c r="F6" s="794">
        <f>E6*F5</f>
        <v>2125</v>
      </c>
      <c r="G6" s="793"/>
      <c r="I6" s="795">
        <f>E6</f>
        <v>0.85</v>
      </c>
      <c r="J6" s="794">
        <f>I6*J5</f>
        <v>0.85</v>
      </c>
      <c r="K6" s="73"/>
      <c r="M6" s="795">
        <f>I6</f>
        <v>0.85</v>
      </c>
      <c r="N6" s="794">
        <f>M6*N5</f>
        <v>0.85</v>
      </c>
      <c r="O6" s="73"/>
      <c r="Q6" s="795">
        <f>M6</f>
        <v>0.85</v>
      </c>
      <c r="R6" s="794">
        <f>Q6*R5</f>
        <v>0.85</v>
      </c>
      <c r="S6" s="73"/>
      <c r="T6" s="641">
        <f>IF($E$2="k",(F6),0)+IF($I$2="k",(J6),0)+IF($M$2="k",(N6),0)+IF($Q$2="k",(R6),0)</f>
        <v>2125</v>
      </c>
    </row>
    <row r="7" spans="1:29" ht="13.5" thickBot="1" x14ac:dyDescent="0.25">
      <c r="A7" s="4" t="s">
        <v>100</v>
      </c>
      <c r="F7" s="391">
        <v>500000</v>
      </c>
      <c r="G7" s="73"/>
      <c r="J7" s="77">
        <v>0</v>
      </c>
      <c r="K7" s="73"/>
      <c r="N7" s="77">
        <v>0</v>
      </c>
      <c r="O7" s="73"/>
      <c r="R7" s="77">
        <v>0</v>
      </c>
      <c r="S7" s="73"/>
    </row>
    <row r="8" spans="1:29" x14ac:dyDescent="0.2">
      <c r="A8" s="4" t="s">
        <v>101</v>
      </c>
      <c r="E8" s="596">
        <v>0.255</v>
      </c>
      <c r="F8" s="390">
        <f>F7/(100%+E8)*E8</f>
        <v>101593.62549800798</v>
      </c>
      <c r="G8" s="79"/>
      <c r="H8" s="7"/>
      <c r="I8" s="596">
        <v>0</v>
      </c>
      <c r="J8" s="222">
        <f>J7/(100%+I8)*I8</f>
        <v>0</v>
      </c>
      <c r="K8" s="79"/>
      <c r="L8" s="7"/>
      <c r="M8" s="596">
        <v>0</v>
      </c>
      <c r="N8" s="222">
        <f>N7/(100%+M8)*M8</f>
        <v>0</v>
      </c>
      <c r="O8" s="79"/>
      <c r="P8" s="7"/>
      <c r="Q8" s="596">
        <v>0</v>
      </c>
      <c r="R8" s="222">
        <f>R7/(100%+Q8)*Q8</f>
        <v>0</v>
      </c>
      <c r="S8" s="79"/>
    </row>
    <row r="9" spans="1:29" x14ac:dyDescent="0.2">
      <c r="A9" s="4" t="s">
        <v>102</v>
      </c>
      <c r="F9" s="80">
        <f>F7-F8</f>
        <v>398406.37450199202</v>
      </c>
      <c r="G9" s="73"/>
      <c r="J9" s="80">
        <f>J7-J8</f>
        <v>0</v>
      </c>
      <c r="K9" s="73"/>
      <c r="N9" s="80">
        <f>N7-N8</f>
        <v>0</v>
      </c>
      <c r="O9" s="73"/>
      <c r="R9" s="80">
        <f>R7-R8</f>
        <v>0</v>
      </c>
      <c r="S9" s="73"/>
    </row>
    <row r="10" spans="1:29" x14ac:dyDescent="0.2">
      <c r="A10" s="4" t="s">
        <v>103</v>
      </c>
      <c r="E10" s="225">
        <v>0.35</v>
      </c>
      <c r="F10" s="222">
        <f>E10*F9</f>
        <v>139442.2310756972</v>
      </c>
      <c r="G10" s="73"/>
      <c r="I10" s="225">
        <v>0</v>
      </c>
      <c r="J10" s="222">
        <f>I10*J9</f>
        <v>0</v>
      </c>
      <c r="K10" s="73"/>
      <c r="M10" s="225">
        <v>0</v>
      </c>
      <c r="N10" s="222">
        <f>M10*N9</f>
        <v>0</v>
      </c>
      <c r="O10" s="73"/>
      <c r="Q10" s="20">
        <v>0</v>
      </c>
      <c r="R10" s="78">
        <f>Q10*R9</f>
        <v>0</v>
      </c>
      <c r="S10" s="73"/>
    </row>
    <row r="11" spans="1:29" x14ac:dyDescent="0.2">
      <c r="A11" s="4" t="s">
        <v>104</v>
      </c>
      <c r="F11" s="81">
        <f>F9-F10</f>
        <v>258964.14342629482</v>
      </c>
      <c r="G11" s="73"/>
      <c r="J11" s="81">
        <f>J9-J10</f>
        <v>0</v>
      </c>
      <c r="K11" s="73"/>
      <c r="N11" s="81">
        <f>N9-N10</f>
        <v>0</v>
      </c>
      <c r="O11" s="73"/>
      <c r="Q11" s="82"/>
      <c r="R11" s="223">
        <f>R9-R10</f>
        <v>0</v>
      </c>
      <c r="S11" s="73"/>
    </row>
    <row r="12" spans="1:29" ht="13.5" thickBot="1" x14ac:dyDescent="0.25">
      <c r="A12" s="24" t="s">
        <v>105</v>
      </c>
      <c r="F12" s="82"/>
      <c r="G12" s="73"/>
      <c r="J12" s="82"/>
      <c r="K12" s="73"/>
      <c r="N12" s="82"/>
      <c r="O12" s="73"/>
      <c r="R12" s="82"/>
      <c r="S12" s="73"/>
      <c r="T12" s="6" t="s">
        <v>106</v>
      </c>
    </row>
    <row r="13" spans="1:29" x14ac:dyDescent="0.2">
      <c r="A13" s="9"/>
      <c r="B13" s="25" t="s">
        <v>107</v>
      </c>
      <c r="C13" s="26"/>
      <c r="D13" s="27" t="s">
        <v>108</v>
      </c>
      <c r="E13" s="226">
        <v>0.05</v>
      </c>
      <c r="F13" s="222">
        <f>IF(E2="k",IF(D2="A",ABS(PMT(E13,F4,-F9,E10*F9,0)),SUM(F14:F15)),0)</f>
        <v>61752.988047808765</v>
      </c>
      <c r="G13" s="73"/>
      <c r="I13" s="226">
        <v>0.05</v>
      </c>
      <c r="J13" s="222">
        <f>IF(I2="k",IF($D$2="A",ABS(PMT(I13,J4,-J9,I10*J9,0)),SUM(J14:J15)),0)</f>
        <v>0</v>
      </c>
      <c r="K13" s="73"/>
      <c r="M13" s="226">
        <v>0.05</v>
      </c>
      <c r="N13" s="222">
        <f>IF(M2="k",IF($D$2="A",ABS(PMT(M13,N4,-N9,M10*N9,0)),SUM(N14:N15)),0)</f>
        <v>0</v>
      </c>
      <c r="O13" s="73"/>
      <c r="Q13" s="226">
        <v>0.05</v>
      </c>
      <c r="R13" s="222">
        <f>IF(Q2="k",IF($D$2="A",ABS(PMT(Q13,R4,-R9,Q10*R9,0)),SUM(R14:R15)),0)</f>
        <v>0</v>
      </c>
      <c r="S13" s="73"/>
      <c r="T13" s="36">
        <f>SUM(F13,J13,N13,R13)</f>
        <v>61752.988047808765</v>
      </c>
    </row>
    <row r="14" spans="1:29" x14ac:dyDescent="0.2">
      <c r="B14" s="30" t="s">
        <v>109</v>
      </c>
      <c r="F14" s="84">
        <f>IF(E2="k",IF(D2="A",E13*F9,F9/2*E13),0)</f>
        <v>9960.1593625498008</v>
      </c>
      <c r="G14" s="85"/>
      <c r="H14" s="10"/>
      <c r="J14" s="84">
        <f>IF(I2="k",IF($D$2="A",I13*J9,J9/2*I13),0)</f>
        <v>0</v>
      </c>
      <c r="K14" s="85"/>
      <c r="L14" s="10"/>
      <c r="N14" s="84">
        <f>IF(M2="k",IF($D$2="A",M13*N9,N9/2*M13),0)</f>
        <v>0</v>
      </c>
      <c r="O14" s="85"/>
      <c r="P14" s="10"/>
      <c r="R14" s="84">
        <f>IF(Q2="k",IF($D$2="A",Q13*R9,R9/2*Q13),0)</f>
        <v>0</v>
      </c>
      <c r="S14" s="85"/>
      <c r="T14" s="36">
        <f t="shared" ref="T14:T38" si="0">SUM(F14,J14,N14,R14)</f>
        <v>9960.1593625498008</v>
      </c>
    </row>
    <row r="15" spans="1:29" ht="13.5" thickBot="1" x14ac:dyDescent="0.25">
      <c r="B15" s="32" t="s">
        <v>110</v>
      </c>
      <c r="C15" s="33"/>
      <c r="D15" s="33"/>
      <c r="E15" s="33"/>
      <c r="F15" s="86">
        <f>IF(E2="k",IF(D2="A",F13-F14,F11/F4),0)</f>
        <v>51792.828685258966</v>
      </c>
      <c r="G15" s="73"/>
      <c r="J15" s="86">
        <f>IF(I2="k",IF($D$2="A",J13-J14,J11/J4),0)</f>
        <v>0</v>
      </c>
      <c r="K15" s="73"/>
      <c r="N15" s="86">
        <f>IF(M2="k",IF($D$2="A",N13-N14,N11/N4),0)</f>
        <v>0</v>
      </c>
      <c r="O15" s="73"/>
      <c r="R15" s="86">
        <f>IF(Q2="k",IF($D$2="A",R13-R14,R11/R4),0)</f>
        <v>0</v>
      </c>
      <c r="S15" s="73"/>
      <c r="T15" s="36">
        <f t="shared" si="0"/>
        <v>51792.828685258966</v>
      </c>
    </row>
    <row r="16" spans="1:29" ht="18" customHeight="1" x14ac:dyDescent="0.2">
      <c r="B16" s="35"/>
      <c r="F16" s="86"/>
      <c r="G16" s="73"/>
      <c r="J16" s="86"/>
      <c r="K16" s="73"/>
      <c r="N16" s="86"/>
      <c r="O16" s="73"/>
      <c r="R16" s="86"/>
      <c r="S16" s="73"/>
    </row>
    <row r="17" spans="1:29" x14ac:dyDescent="0.2">
      <c r="B17" s="35" t="s">
        <v>405</v>
      </c>
      <c r="C17" s="37"/>
      <c r="D17" s="37"/>
      <c r="E17" s="87"/>
      <c r="F17" s="88">
        <v>100</v>
      </c>
      <c r="G17" s="85"/>
      <c r="H17" s="10"/>
      <c r="I17" s="44"/>
      <c r="J17" s="77">
        <v>0</v>
      </c>
      <c r="K17" s="85"/>
      <c r="L17" s="10"/>
      <c r="M17" s="44"/>
      <c r="N17" s="77">
        <v>0</v>
      </c>
      <c r="O17" s="85"/>
      <c r="P17" s="10"/>
      <c r="Q17" s="44"/>
      <c r="R17" s="77">
        <v>0</v>
      </c>
      <c r="S17" s="85"/>
      <c r="T17" s="8">
        <f>IF($E$2="k",F17)+IF($I$2="k",J17)+IF($M$2="k",N17)+IF($Q$2="k",R17)</f>
        <v>100</v>
      </c>
    </row>
    <row r="18" spans="1:29" x14ac:dyDescent="0.2">
      <c r="B18" s="35" t="s">
        <v>112</v>
      </c>
      <c r="D18" s="44"/>
      <c r="E18" s="89"/>
      <c r="F18" s="88">
        <v>1000</v>
      </c>
      <c r="G18" s="85"/>
      <c r="H18" s="10"/>
      <c r="J18" s="77">
        <v>0</v>
      </c>
      <c r="K18" s="85"/>
      <c r="L18" s="10"/>
      <c r="N18" s="77">
        <v>0</v>
      </c>
      <c r="O18" s="85"/>
      <c r="P18" s="10"/>
      <c r="R18" s="77">
        <v>0</v>
      </c>
      <c r="S18" s="85"/>
      <c r="T18" s="8">
        <f>IF($E$2="k",F18)+IF($I$2="k",J18)+IF($M$2="k",N18)+IF($Q$2="k",R18)</f>
        <v>1000</v>
      </c>
    </row>
    <row r="19" spans="1:29" x14ac:dyDescent="0.2">
      <c r="B19" s="986" t="s">
        <v>543</v>
      </c>
      <c r="C19" s="986"/>
      <c r="D19" s="986"/>
      <c r="F19" s="77">
        <v>20000</v>
      </c>
      <c r="G19" s="85"/>
      <c r="H19" s="10"/>
      <c r="J19" s="77"/>
      <c r="K19" s="85"/>
      <c r="L19" s="10"/>
      <c r="N19" s="77"/>
      <c r="O19" s="85"/>
      <c r="P19" s="10"/>
      <c r="R19" s="77"/>
      <c r="S19" s="85"/>
      <c r="T19" s="8">
        <f>IF($E$2="k",F19)+IF($I$2="k",J19)+IF($M$2="k",N19)+IF($Q$2="k",R19)</f>
        <v>20000</v>
      </c>
    </row>
    <row r="20" spans="1:29" x14ac:dyDescent="0.2">
      <c r="B20" s="11"/>
      <c r="C20" s="45"/>
      <c r="D20" s="10"/>
      <c r="E20" s="10"/>
      <c r="F20" s="90"/>
      <c r="G20" s="85"/>
      <c r="H20" s="10"/>
      <c r="I20" s="10"/>
      <c r="J20" s="90"/>
      <c r="K20" s="85"/>
      <c r="L20" s="10"/>
      <c r="M20" s="10"/>
      <c r="N20" s="90"/>
      <c r="O20" s="85"/>
      <c r="P20" s="10"/>
      <c r="Q20" s="10"/>
      <c r="R20" s="90"/>
      <c r="S20" s="85"/>
    </row>
    <row r="21" spans="1:29" x14ac:dyDescent="0.2">
      <c r="B21" s="35" t="s">
        <v>114</v>
      </c>
      <c r="C21" s="10"/>
      <c r="D21" s="10"/>
      <c r="E21" s="226">
        <v>3.0000000000000001E-3</v>
      </c>
      <c r="F21" s="290">
        <f>IF(E2="k",E21*F9,0)</f>
        <v>1195.2191235059761</v>
      </c>
      <c r="G21" s="85"/>
      <c r="H21" s="10"/>
      <c r="I21" s="226">
        <v>3.0000000000000001E-3</v>
      </c>
      <c r="J21" s="290">
        <f>IF(I2="k",I21*J9,0)</f>
        <v>0</v>
      </c>
      <c r="K21" s="85"/>
      <c r="L21" s="10"/>
      <c r="M21" s="226">
        <v>3.0000000000000001E-3</v>
      </c>
      <c r="N21" s="290">
        <f>IF(M2="k",M21*N9,0)</f>
        <v>0</v>
      </c>
      <c r="O21" s="85"/>
      <c r="P21" s="10"/>
      <c r="Q21" s="226">
        <v>3.0000000000000001E-3</v>
      </c>
      <c r="R21" s="19">
        <f>IF(Q2="k",Q21*R9,0)</f>
        <v>0</v>
      </c>
      <c r="S21" s="85"/>
      <c r="T21" s="36">
        <f t="shared" si="0"/>
        <v>1195.2191235059761</v>
      </c>
    </row>
    <row r="22" spans="1:29" ht="13.5" thickBot="1" x14ac:dyDescent="0.25">
      <c r="B22" s="50" t="s">
        <v>115</v>
      </c>
      <c r="C22" s="51"/>
      <c r="D22" s="51"/>
      <c r="E22" s="52"/>
      <c r="F22" s="91">
        <f>IF(E2="k",SUM(F14:F21),0)</f>
        <v>84048.207171314731</v>
      </c>
      <c r="G22" s="92">
        <f>F22/F6</f>
        <v>39.552097492383403</v>
      </c>
      <c r="H22" s="54"/>
      <c r="J22" s="91">
        <f>IF(I2="k",SUM(J14:J21),0)</f>
        <v>0</v>
      </c>
      <c r="K22" s="92">
        <f>J22/J6</f>
        <v>0</v>
      </c>
      <c r="L22" s="54"/>
      <c r="N22" s="91">
        <f>IF(M2="k",SUM(N14:N21),0)</f>
        <v>0</v>
      </c>
      <c r="O22" s="92">
        <f>N22/N6</f>
        <v>0</v>
      </c>
      <c r="P22" s="54"/>
      <c r="R22" s="93">
        <f>IF(Q2="k",SUM(R14:R21),0)</f>
        <v>0</v>
      </c>
      <c r="S22" s="92">
        <f>R22/R6</f>
        <v>0</v>
      </c>
      <c r="T22" s="94">
        <f>SUM(F22,J22,N22,R22)</f>
        <v>84048.207171314731</v>
      </c>
      <c r="U22" s="95">
        <f>SUM(G22,K22,O22,S22)</f>
        <v>39.552097492383403</v>
      </c>
      <c r="W22" s="94"/>
      <c r="X22" s="94"/>
    </row>
    <row r="23" spans="1:29" x14ac:dyDescent="0.2">
      <c r="A23" s="24" t="s">
        <v>116</v>
      </c>
      <c r="B23" s="6"/>
      <c r="F23" s="96"/>
      <c r="G23" s="97"/>
      <c r="H23" s="55"/>
      <c r="J23" s="98"/>
      <c r="K23" s="97"/>
      <c r="L23" s="55"/>
      <c r="N23" s="98"/>
      <c r="O23" s="97"/>
      <c r="P23" s="55"/>
      <c r="R23" s="98"/>
      <c r="S23" s="97"/>
    </row>
    <row r="24" spans="1:29" x14ac:dyDescent="0.2">
      <c r="B24" s="11" t="s">
        <v>117</v>
      </c>
      <c r="C24" s="22"/>
      <c r="D24" s="10"/>
      <c r="F24" s="77">
        <v>15000</v>
      </c>
      <c r="G24" s="99"/>
      <c r="H24" s="47"/>
      <c r="J24" s="77">
        <v>0</v>
      </c>
      <c r="K24" s="99"/>
      <c r="L24" s="47"/>
      <c r="N24" s="77">
        <v>0</v>
      </c>
      <c r="O24" s="99"/>
      <c r="P24" s="47"/>
      <c r="R24" s="77">
        <v>0</v>
      </c>
      <c r="S24" s="99"/>
      <c r="T24" s="8">
        <f>IF($E$2="k",F24)+IF($I$2="k",J24)+IF($M$2="k",N24)+IF($Q$2="k",R24)</f>
        <v>15000</v>
      </c>
    </row>
    <row r="25" spans="1:29" ht="15.75" x14ac:dyDescent="0.2">
      <c r="B25" s="11" t="s">
        <v>118</v>
      </c>
      <c r="C25" s="196">
        <v>20</v>
      </c>
      <c r="D25" s="197">
        <v>1.1000000000000001</v>
      </c>
      <c r="E25" s="289"/>
      <c r="F25" s="100">
        <f>IF(E2="k",C25*D25*F5,0)</f>
        <v>55000</v>
      </c>
      <c r="G25" s="101"/>
      <c r="H25" s="196">
        <v>5</v>
      </c>
      <c r="I25" s="102">
        <f>$D$25</f>
        <v>1.1000000000000001</v>
      </c>
      <c r="J25" s="100">
        <f>IF(I2="k",H25*I25*J5,0)</f>
        <v>0</v>
      </c>
      <c r="K25" s="101"/>
      <c r="L25" s="196">
        <f>H25</f>
        <v>5</v>
      </c>
      <c r="M25" s="102">
        <f>$D$25</f>
        <v>1.1000000000000001</v>
      </c>
      <c r="N25" s="100">
        <f>IF(M2="k",L25*M25*N5,0)</f>
        <v>0</v>
      </c>
      <c r="O25" s="101"/>
      <c r="P25" s="196">
        <v>50</v>
      </c>
      <c r="Q25" s="102">
        <f>$D$25</f>
        <v>1.1000000000000001</v>
      </c>
      <c r="R25" s="100">
        <f>IF(Q2="k",P25*Q25*R5,0)</f>
        <v>0</v>
      </c>
      <c r="S25" s="101"/>
      <c r="T25" s="36">
        <f t="shared" si="0"/>
        <v>55000</v>
      </c>
      <c r="V25" s="165" t="s">
        <v>37</v>
      </c>
      <c r="W25" s="642">
        <f>IF($E$2="k",(C25*F5),0)+IF($I$2="k",(H25*J5),0)+IF($M$2="k",(L25*N5),0)+IF($Q$2="k",(P25*R5),0)</f>
        <v>50000</v>
      </c>
      <c r="X25" s="642">
        <f>W25/159</f>
        <v>314.46540880503147</v>
      </c>
      <c r="Y25" s="161">
        <f>VLOOKUP(V25,Ohjeet!A63:F68,6,FALSE)</f>
        <v>2.66</v>
      </c>
      <c r="Z25" s="163">
        <f>W25*Y25</f>
        <v>133000</v>
      </c>
      <c r="AA25" s="164">
        <f>Z25/1000</f>
        <v>133</v>
      </c>
      <c r="AB25" s="162">
        <f>Z25*0.27</f>
        <v>35910</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53.2</v>
      </c>
    </row>
    <row r="27" spans="1:29" x14ac:dyDescent="0.2">
      <c r="B27" s="195" t="s">
        <v>124</v>
      </c>
      <c r="C27" s="393">
        <v>7.0000000000000007E-2</v>
      </c>
      <c r="D27" s="643">
        <f>C25*F5*C27</f>
        <v>3500.0000000000005</v>
      </c>
      <c r="E27" s="644">
        <v>1</v>
      </c>
      <c r="F27" s="397">
        <f>IF(E2="K",IF(G27&gt;0,G27,D27*E27),0)</f>
        <v>3500.0000000000005</v>
      </c>
      <c r="G27" s="645">
        <v>0</v>
      </c>
      <c r="H27" s="411"/>
      <c r="I27" s="400">
        <f>H25*$C$27</f>
        <v>0.35000000000000003</v>
      </c>
      <c r="J27" s="397">
        <f>IF(I2="K",IF(K27&gt;0,K27,I27*$E$27),0)</f>
        <v>0</v>
      </c>
      <c r="K27" s="646">
        <v>0</v>
      </c>
      <c r="L27" s="411"/>
      <c r="M27" s="400">
        <f>L25*$C$27</f>
        <v>0.35000000000000003</v>
      </c>
      <c r="N27" s="397">
        <f>IF(M2="K",IF(O27&gt;0,O27,M27*$E$27),0)</f>
        <v>0</v>
      </c>
      <c r="O27" s="646">
        <v>0</v>
      </c>
      <c r="P27" s="411"/>
      <c r="Q27" s="400">
        <f>P25*$C$27</f>
        <v>3.5000000000000004</v>
      </c>
      <c r="R27" s="397">
        <f>IF(Q2="K",IF(S27&gt;0,S27,Q27*$E$27),0)</f>
        <v>0</v>
      </c>
      <c r="S27" s="646">
        <v>0</v>
      </c>
      <c r="T27" s="8">
        <f>IF($E$2="k",F27)+IF($I$2="k",J27)+IF($M$2="k",N27)+IF($Q$2="k",R27)</f>
        <v>3500.0000000000005</v>
      </c>
    </row>
    <row r="28" spans="1:29" ht="12.75" customHeight="1" x14ac:dyDescent="0.2">
      <c r="B28" s="396" t="s">
        <v>125</v>
      </c>
      <c r="C28" s="919" t="s">
        <v>431</v>
      </c>
      <c r="D28" s="920"/>
      <c r="E28" s="920"/>
      <c r="F28" s="77">
        <v>7500</v>
      </c>
      <c r="G28" s="39"/>
      <c r="H28" s="411"/>
      <c r="I28" s="412" t="str">
        <f>$B$28</f>
        <v>Muut:</v>
      </c>
      <c r="J28" s="77"/>
      <c r="K28" s="101"/>
      <c r="L28" s="411"/>
      <c r="M28" s="412" t="str">
        <f>$B$28</f>
        <v>Muut:</v>
      </c>
      <c r="N28" s="77">
        <v>1</v>
      </c>
      <c r="O28" s="101"/>
      <c r="P28" s="411"/>
      <c r="Q28" s="412" t="str">
        <f>$B$28</f>
        <v>Muut:</v>
      </c>
      <c r="R28" s="77">
        <v>1</v>
      </c>
      <c r="S28" s="101"/>
      <c r="T28" s="8">
        <f>IF($E$2="k",F28)+IF($I$2="k",J28)+IF($M$2="k",N28)+IF($Q$2="k",R28)</f>
        <v>7500</v>
      </c>
    </row>
    <row r="29" spans="1:29" ht="13.5" thickBot="1" x14ac:dyDescent="0.25">
      <c r="B29" s="396" t="s">
        <v>125</v>
      </c>
      <c r="C29" s="919"/>
      <c r="D29" s="920"/>
      <c r="E29" s="920"/>
      <c r="F29" s="77"/>
      <c r="G29" s="39"/>
      <c r="H29" s="411"/>
      <c r="I29" s="412" t="str">
        <f>$B$29</f>
        <v>Muut:</v>
      </c>
      <c r="J29" s="77"/>
      <c r="K29" s="101"/>
      <c r="L29" s="411"/>
      <c r="M29" s="412" t="str">
        <f>$B$29</f>
        <v>Muut:</v>
      </c>
      <c r="N29" s="77">
        <v>1</v>
      </c>
      <c r="O29" s="101"/>
      <c r="P29" s="411"/>
      <c r="Q29" s="412" t="str">
        <f>$B$29</f>
        <v>Muut:</v>
      </c>
      <c r="R29" s="77">
        <v>1</v>
      </c>
      <c r="S29" s="101"/>
      <c r="T29" s="8">
        <f>IF($E$2="k",F29)+IF($I$2="k",J29)+IF($M$2="k",N29)+IF($Q$2="k",R29)</f>
        <v>0</v>
      </c>
    </row>
    <row r="30" spans="1:29" ht="13.5" thickBot="1" x14ac:dyDescent="0.25">
      <c r="B30" s="194" t="s">
        <v>127</v>
      </c>
      <c r="C30" s="51"/>
      <c r="D30" s="51"/>
      <c r="E30" s="51"/>
      <c r="F30" s="55">
        <f>IF(E2="k",SUM(F24:F29),0)</f>
        <v>81000</v>
      </c>
      <c r="G30" s="103">
        <f>F30/F6</f>
        <v>38.117647058823529</v>
      </c>
      <c r="H30" s="104"/>
      <c r="J30" s="55">
        <f>IF(I2="k",SUM(J24:J29),0)</f>
        <v>0</v>
      </c>
      <c r="K30" s="103">
        <f>J30/J6</f>
        <v>0</v>
      </c>
      <c r="L30" s="104"/>
      <c r="N30" s="55">
        <f>IF(M2="k",SUM(N24:N29),0)</f>
        <v>0</v>
      </c>
      <c r="O30" s="103">
        <f>N30/N6</f>
        <v>0</v>
      </c>
      <c r="P30" s="104"/>
      <c r="R30" s="55">
        <f>IF(Q2="k",SUM(R24:R29),0)</f>
        <v>0</v>
      </c>
      <c r="S30" s="103">
        <f>R30/R6</f>
        <v>0</v>
      </c>
      <c r="T30" s="94">
        <f t="shared" si="0"/>
        <v>81000</v>
      </c>
      <c r="U30" s="105">
        <f>SUM(G30,K30,O30,S30)</f>
        <v>38.117647058823529</v>
      </c>
    </row>
    <row r="31" spans="1:29" ht="13.5" thickBot="1" x14ac:dyDescent="0.25">
      <c r="A31" s="6" t="s">
        <v>128</v>
      </c>
      <c r="F31" s="106">
        <f>F22+F30</f>
        <v>165048.20717131475</v>
      </c>
      <c r="G31" s="107"/>
      <c r="H31" s="12"/>
      <c r="J31" s="55">
        <f>IF(I2="k",J22+J30,0)</f>
        <v>0</v>
      </c>
      <c r="K31" s="107"/>
      <c r="L31" s="12"/>
      <c r="N31" s="55">
        <f>IF(M2="k",N22+N30,0)</f>
        <v>0</v>
      </c>
      <c r="O31" s="107"/>
      <c r="P31" s="12"/>
      <c r="R31" s="55">
        <f>IF(Q2="k",R22+R30,0)</f>
        <v>0</v>
      </c>
      <c r="S31" s="107"/>
      <c r="T31" s="94">
        <f t="shared" si="0"/>
        <v>165048.20717131475</v>
      </c>
    </row>
    <row r="32" spans="1:29" ht="13.5" thickBot="1" x14ac:dyDescent="0.25">
      <c r="F32" s="7"/>
      <c r="G32" s="73"/>
      <c r="J32" s="7"/>
      <c r="K32" s="73"/>
      <c r="N32" s="7"/>
      <c r="O32" s="73"/>
      <c r="R32" s="7"/>
      <c r="S32" s="73"/>
    </row>
    <row r="33" spans="1:20" ht="13.5" thickBot="1" x14ac:dyDescent="0.25">
      <c r="A33" s="6" t="s">
        <v>129</v>
      </c>
      <c r="F33" s="235">
        <f>IF(E2="k",F31/F6,)</f>
        <v>77.669744551206932</v>
      </c>
      <c r="G33" s="107"/>
      <c r="H33" s="12"/>
      <c r="J33" s="235">
        <f>IF(I2="k",J31/J6,0)</f>
        <v>0</v>
      </c>
      <c r="K33" s="107"/>
      <c r="L33" s="12"/>
      <c r="N33" s="235">
        <f>IF(M2="k",N31/N6,0)</f>
        <v>0</v>
      </c>
      <c r="O33" s="107"/>
      <c r="P33" s="12"/>
      <c r="R33" s="235">
        <f>IF(Q2="k",R31/R6,0)</f>
        <v>0</v>
      </c>
      <c r="S33" s="12"/>
      <c r="T33" s="108">
        <f t="shared" si="0"/>
        <v>77.669744551206932</v>
      </c>
    </row>
    <row r="34" spans="1:20" x14ac:dyDescent="0.2">
      <c r="B34" s="6" t="s">
        <v>130</v>
      </c>
      <c r="E34" s="203">
        <v>0.2</v>
      </c>
      <c r="F34" s="234">
        <f>IF(E2="k",((100%/(100%-E34))*F33)-F33,0)</f>
        <v>19.41743613780173</v>
      </c>
      <c r="G34" s="85"/>
      <c r="H34" s="10"/>
      <c r="I34" s="203">
        <f>E34</f>
        <v>0.2</v>
      </c>
      <c r="J34" s="234">
        <f>IF(I2="k",((100%/(100%-I34))*J33)-J33,0)</f>
        <v>0</v>
      </c>
      <c r="K34" s="85"/>
      <c r="L34" s="10"/>
      <c r="M34" s="203">
        <f>I34</f>
        <v>0.2</v>
      </c>
      <c r="N34" s="234">
        <f>IF(M2="k",((100%/(100%-M34))*N33)-N33,0)</f>
        <v>0</v>
      </c>
      <c r="O34" s="85"/>
      <c r="P34" s="10"/>
      <c r="Q34" s="203">
        <f>M34</f>
        <v>0.2</v>
      </c>
      <c r="R34" s="234">
        <f>IF(Q2="k",((100%/(100%-Q34))*R33)-R33,0)</f>
        <v>0</v>
      </c>
      <c r="S34" s="85"/>
      <c r="T34" s="36">
        <f t="shared" si="0"/>
        <v>19.41743613780173</v>
      </c>
    </row>
    <row r="35" spans="1:20" ht="13.5" thickBot="1" x14ac:dyDescent="0.25">
      <c r="B35" s="160" t="s">
        <v>432</v>
      </c>
      <c r="C35" s="160" t="s">
        <v>132</v>
      </c>
      <c r="F35" s="609">
        <v>25</v>
      </c>
      <c r="G35" s="85"/>
      <c r="H35" s="10"/>
      <c r="I35" s="109"/>
      <c r="J35" s="609">
        <v>0</v>
      </c>
      <c r="K35" s="85"/>
      <c r="L35" s="10"/>
      <c r="M35" s="109"/>
      <c r="N35" s="292">
        <v>0</v>
      </c>
      <c r="O35" s="85"/>
      <c r="P35" s="10"/>
      <c r="Q35" s="109"/>
      <c r="R35" s="292">
        <v>0</v>
      </c>
      <c r="S35" s="85"/>
      <c r="T35" s="8">
        <f>IF($E$2="k",F35)+IF($I$2="k",J35)+IF($M$2="k",N35)+IF($Q$2="k",R35)</f>
        <v>25</v>
      </c>
    </row>
    <row r="36" spans="1:20" x14ac:dyDescent="0.2">
      <c r="B36" s="116" t="s">
        <v>134</v>
      </c>
      <c r="C36" s="115"/>
      <c r="D36" s="115"/>
      <c r="E36" s="115"/>
      <c r="F36" s="117">
        <f>SUM(F33:F35)</f>
        <v>122.08718068900866</v>
      </c>
      <c r="G36" s="85"/>
      <c r="H36" s="10"/>
      <c r="J36" s="117">
        <f>SUM(J33:J35)</f>
        <v>0</v>
      </c>
      <c r="K36" s="85"/>
      <c r="L36" s="10"/>
      <c r="N36" s="117">
        <f>SUM(N33:N35)</f>
        <v>0</v>
      </c>
      <c r="O36" s="85"/>
      <c r="P36" s="10"/>
      <c r="R36" s="117">
        <f>SUM(R33:R35)</f>
        <v>0</v>
      </c>
      <c r="S36" s="10"/>
      <c r="T36" s="118">
        <f>SUM(F36,J36,N36,R36)</f>
        <v>122.08718068900866</v>
      </c>
    </row>
    <row r="37" spans="1:20" ht="13.5" thickBot="1" x14ac:dyDescent="0.25">
      <c r="B37" s="119" t="s">
        <v>135</v>
      </c>
      <c r="E37" s="669">
        <v>0.255</v>
      </c>
      <c r="F37" s="611">
        <f>E37*F36</f>
        <v>31.132231075697209</v>
      </c>
      <c r="G37" s="111"/>
      <c r="H37" s="10"/>
      <c r="I37" s="670">
        <f>$E$37</f>
        <v>0.255</v>
      </c>
      <c r="J37" s="611">
        <f>I37*J36</f>
        <v>0</v>
      </c>
      <c r="K37" s="85"/>
      <c r="L37" s="10"/>
      <c r="M37" s="670">
        <f>$E$37</f>
        <v>0.255</v>
      </c>
      <c r="N37" s="611">
        <f>M37*N36</f>
        <v>0</v>
      </c>
      <c r="O37" s="85"/>
      <c r="P37" s="10"/>
      <c r="Q37" s="670">
        <f>$E$37</f>
        <v>0.255</v>
      </c>
      <c r="R37" s="611">
        <f>Q37*R36</f>
        <v>0</v>
      </c>
      <c r="S37" s="85"/>
      <c r="T37" s="120">
        <f>SUM(F37,J37,N37,R37)</f>
        <v>31.132231075697209</v>
      </c>
    </row>
    <row r="38" spans="1:20" ht="13.5" thickBot="1" x14ac:dyDescent="0.25">
      <c r="B38" s="121" t="s">
        <v>136</v>
      </c>
      <c r="C38" s="114"/>
      <c r="D38" s="114"/>
      <c r="E38" s="114"/>
      <c r="F38" s="110">
        <f>IF(E2="k",SUM(F36:F37),0)</f>
        <v>153.21941176470588</v>
      </c>
      <c r="G38" s="112"/>
      <c r="H38" s="113"/>
      <c r="I38" s="114"/>
      <c r="J38" s="610">
        <f>IF(I2="k",SUM(J36:J37),0)</f>
        <v>0</v>
      </c>
      <c r="K38" s="112"/>
      <c r="L38" s="113"/>
      <c r="M38" s="114"/>
      <c r="N38" s="110">
        <f>IF(M2="k",SUM(N36:N37),0)</f>
        <v>0</v>
      </c>
      <c r="O38" s="112"/>
      <c r="P38" s="113"/>
      <c r="Q38" s="114"/>
      <c r="R38" s="110">
        <f>IF(Q2="k",SUM(R36:R37),0)</f>
        <v>0</v>
      </c>
      <c r="S38" s="113"/>
      <c r="T38" s="108">
        <f t="shared" si="0"/>
        <v>153.21941176470588</v>
      </c>
    </row>
    <row r="40" spans="1:20" ht="20.25" x14ac:dyDescent="0.3">
      <c r="B40" s="798" t="s">
        <v>552</v>
      </c>
    </row>
    <row r="41" spans="1:20" x14ac:dyDescent="0.2">
      <c r="B41" s="4" t="s">
        <v>139</v>
      </c>
      <c r="C41" s="398" t="str">
        <f>Ohjeet!C2</f>
        <v>2024.12</v>
      </c>
    </row>
    <row r="42" spans="1:20" x14ac:dyDescent="0.2">
      <c r="F42" s="1101" t="s">
        <v>433</v>
      </c>
      <c r="G42" s="1102"/>
      <c r="H42" s="1102"/>
      <c r="I42" s="1103"/>
    </row>
    <row r="43" spans="1:20" x14ac:dyDescent="0.2">
      <c r="B43" s="387" t="s">
        <v>434</v>
      </c>
      <c r="F43" s="386">
        <v>5</v>
      </c>
      <c r="G43" s="230" t="s">
        <v>435</v>
      </c>
      <c r="H43" s="1100">
        <v>26</v>
      </c>
      <c r="I43" s="1100"/>
      <c r="J43" s="160" t="s">
        <v>75</v>
      </c>
    </row>
    <row r="44" spans="1:20" x14ac:dyDescent="0.2">
      <c r="B44" s="160" t="s">
        <v>436</v>
      </c>
      <c r="F44" s="318">
        <v>8</v>
      </c>
      <c r="G44" s="230" t="s">
        <v>435</v>
      </c>
      <c r="H44" s="1106">
        <v>8</v>
      </c>
      <c r="I44" s="1106"/>
      <c r="J44" s="160" t="s">
        <v>99</v>
      </c>
    </row>
    <row r="45" spans="1:20" x14ac:dyDescent="0.2">
      <c r="B45" s="160" t="s">
        <v>437</v>
      </c>
      <c r="F45" s="385">
        <v>200</v>
      </c>
      <c r="G45" s="230" t="s">
        <v>435</v>
      </c>
      <c r="H45" s="1107">
        <v>200</v>
      </c>
      <c r="I45" s="1108"/>
      <c r="J45" s="160" t="s">
        <v>219</v>
      </c>
    </row>
    <row r="46" spans="1:20" x14ac:dyDescent="0.2">
      <c r="B46" s="160" t="s">
        <v>438</v>
      </c>
      <c r="F46" s="231">
        <f>F43*F$44*F45</f>
        <v>8000</v>
      </c>
      <c r="G46" s="230" t="s">
        <v>435</v>
      </c>
      <c r="H46" s="1109">
        <f>H43*H44*H45</f>
        <v>41600</v>
      </c>
      <c r="I46" s="1109"/>
      <c r="J46" s="160" t="s">
        <v>244</v>
      </c>
    </row>
    <row r="47" spans="1:20" x14ac:dyDescent="0.2">
      <c r="B47" s="160" t="s">
        <v>439</v>
      </c>
      <c r="F47" s="231">
        <f>F43*F44</f>
        <v>40</v>
      </c>
      <c r="G47" s="230" t="s">
        <v>435</v>
      </c>
      <c r="H47" s="1104">
        <f>H43*H44</f>
        <v>208</v>
      </c>
      <c r="I47" s="1104"/>
      <c r="J47" s="160" t="s">
        <v>244</v>
      </c>
    </row>
    <row r="48" spans="1:20" x14ac:dyDescent="0.2">
      <c r="B48" s="160" t="s">
        <v>440</v>
      </c>
      <c r="F48" s="652">
        <f>F$45*F$44</f>
        <v>1600</v>
      </c>
      <c r="G48" s="230" t="s">
        <v>435</v>
      </c>
      <c r="H48" s="1104">
        <f>H44*H45</f>
        <v>1600</v>
      </c>
      <c r="I48" s="1104"/>
      <c r="J48" s="160" t="s">
        <v>228</v>
      </c>
    </row>
    <row r="49" spans="2:10" x14ac:dyDescent="0.2">
      <c r="B49" s="6" t="s">
        <v>441</v>
      </c>
      <c r="F49" s="229">
        <f>T36/F43</f>
        <v>24.417436137801733</v>
      </c>
      <c r="G49" s="230" t="s">
        <v>435</v>
      </c>
      <c r="H49" s="1105">
        <f>T36/H43</f>
        <v>4.6956607957311025</v>
      </c>
      <c r="I49" s="1105"/>
      <c r="J49" s="6" t="s">
        <v>442</v>
      </c>
    </row>
    <row r="50" spans="2:10" x14ac:dyDescent="0.2">
      <c r="F50" s="229">
        <f>T38/F43</f>
        <v>30.643882352941176</v>
      </c>
      <c r="G50" s="230" t="s">
        <v>435</v>
      </c>
      <c r="H50" s="1105">
        <f>T38/H43</f>
        <v>5.8930542986425341</v>
      </c>
      <c r="I50" s="1105"/>
      <c r="J50" s="6" t="s">
        <v>443</v>
      </c>
    </row>
  </sheetData>
  <sheetProtection algorithmName="SHA-512" hashValue="JXk/YKglbJwyKAF7yFsuDElmBNSei8rT0325ysNszcl2hkxDOfLWTePjqxaKr6gDmeV+DZI/x0GCqMhLnbs6ig==" saltValue="c0xc8dJpf2TEHVhs0AXq2A==" spinCount="100000" sheet="1" formatCells="0" formatColumns="0" formatRows="0"/>
  <mergeCells count="25">
    <mergeCell ref="H47:I47"/>
    <mergeCell ref="H48:I48"/>
    <mergeCell ref="H49:I49"/>
    <mergeCell ref="H50:I50"/>
    <mergeCell ref="H44:I44"/>
    <mergeCell ref="H45:I45"/>
    <mergeCell ref="H46:I46"/>
    <mergeCell ref="E3:F3"/>
    <mergeCell ref="I3:J3"/>
    <mergeCell ref="M3:N3"/>
    <mergeCell ref="Q3:R3"/>
    <mergeCell ref="H43:I43"/>
    <mergeCell ref="F42:I42"/>
    <mergeCell ref="C28:E28"/>
    <mergeCell ref="C29:E29"/>
    <mergeCell ref="B19:D19"/>
    <mergeCell ref="E1:G1"/>
    <mergeCell ref="H1:J1"/>
    <mergeCell ref="L1:N1"/>
    <mergeCell ref="P1:R1"/>
    <mergeCell ref="A2:B2"/>
    <mergeCell ref="E2:F2"/>
    <mergeCell ref="I2:J2"/>
    <mergeCell ref="M2:N2"/>
    <mergeCell ref="Q2:R2"/>
  </mergeCells>
  <hyperlinks>
    <hyperlink ref="B40" location="'Metsäkoneketjujen ketjutus '!A1" display="Siirry metsäkoneketjujen ketjutuksen tekoon ja urakkahinnan määrittelyyn" xr:uid="{5BF1E130-32FC-4635-863B-843D7A465BF7}"/>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Ohjeet!$A$63:$A$68</xm:f>
          </x14:formula1>
          <xm:sqref>V25</xm:sqref>
        </x14:dataValidation>
        <x14:dataValidation type="list" allowBlank="1" showInputMessage="1" showErrorMessage="1" xr:uid="{00000000-0002-0000-0900-000001000000}">
          <x14:formula1>
            <xm:f>Laskentayksikot!$E$2:$E$3</xm:f>
          </x14:formula1>
          <xm:sqref>E2:F2 I2:J2 M2:N2 Q2:R2</xm:sqref>
        </x14:dataValidation>
        <x14:dataValidation type="list" allowBlank="1" showInputMessage="1" showErrorMessage="1" xr:uid="{5694A50F-1433-4B65-892E-9CBD4D6D916E}">
          <x14:formula1>
            <xm:f>Laskentayksikot!$E$7:$E$8</xm:f>
          </x14:formula1>
          <xm:sqref>D2</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10">
    <pageSetUpPr fitToPage="1"/>
  </sheetPr>
  <dimension ref="A1:AC50"/>
  <sheetViews>
    <sheetView zoomScale="85" zoomScaleNormal="85" workbookViewId="0">
      <selection activeCell="A22" sqref="A22"/>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10.28515625" style="4" customWidth="1"/>
    <col min="9" max="9" width="10.5703125" style="4" customWidth="1"/>
    <col min="10" max="10" width="15.28515625" style="4" customWidth="1"/>
    <col min="11" max="11" width="11" style="4" customWidth="1"/>
    <col min="12" max="12" width="6.28515625" style="4" hidden="1" customWidth="1"/>
    <col min="13" max="13" width="10.140625" style="4" hidden="1" customWidth="1"/>
    <col min="14" max="14" width="13.85546875" style="4" hidden="1" customWidth="1"/>
    <col min="15" max="15" width="12.42578125" style="4" hidden="1" customWidth="1"/>
    <col min="16" max="16" width="6.28515625" style="4" hidden="1" customWidth="1"/>
    <col min="17" max="17" width="0" style="4" hidden="1" customWidth="1"/>
    <col min="18" max="18" width="13.85546875" style="4" hidden="1" customWidth="1"/>
    <col min="19" max="19" width="11" style="4" hidden="1"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7" t="s">
        <v>210</v>
      </c>
      <c r="F1" s="917"/>
      <c r="G1" s="917"/>
      <c r="H1" s="918" t="s">
        <v>81</v>
      </c>
      <c r="I1" s="918"/>
      <c r="J1" s="918"/>
      <c r="L1" s="918" t="str">
        <f>H1</f>
        <v>Kytke traktoriin: K/E</v>
      </c>
      <c r="M1" s="918"/>
      <c r="N1" s="918"/>
      <c r="P1" s="918" t="str">
        <f>L1</f>
        <v>Kytke traktoriin: K/E</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444</v>
      </c>
      <c r="B2" s="912"/>
      <c r="C2" s="4" t="s">
        <v>90</v>
      </c>
      <c r="D2" s="70" t="s">
        <v>69</v>
      </c>
      <c r="E2" s="913" t="s">
        <v>60</v>
      </c>
      <c r="F2" s="914"/>
      <c r="G2" s="71"/>
      <c r="H2" s="72"/>
      <c r="I2" s="913" t="s">
        <v>62</v>
      </c>
      <c r="J2" s="914"/>
      <c r="K2" s="71"/>
      <c r="L2" s="72"/>
      <c r="M2" s="913" t="s">
        <v>62</v>
      </c>
      <c r="N2" s="914"/>
      <c r="O2" s="71"/>
      <c r="P2" s="72"/>
      <c r="Q2" s="913" t="s">
        <v>62</v>
      </c>
      <c r="R2" s="914"/>
      <c r="S2" s="71"/>
    </row>
    <row r="3" spans="1:29" ht="13.5" thickBot="1" x14ac:dyDescent="0.25">
      <c r="C3" s="10" t="s">
        <v>91</v>
      </c>
      <c r="E3" s="921" t="s">
        <v>430</v>
      </c>
      <c r="F3" s="1099"/>
      <c r="G3" s="73"/>
      <c r="H3" s="74"/>
      <c r="I3" s="915" t="s">
        <v>92</v>
      </c>
      <c r="J3" s="916"/>
      <c r="K3" s="73"/>
      <c r="L3" s="74"/>
      <c r="M3" s="915" t="s">
        <v>93</v>
      </c>
      <c r="N3" s="916"/>
      <c r="O3" s="73"/>
      <c r="P3" s="74"/>
      <c r="Q3" s="915" t="s">
        <v>94</v>
      </c>
      <c r="R3" s="916"/>
      <c r="S3" s="73"/>
      <c r="T3" s="6" t="str">
        <f>"Kytketty koneet: "&amp;IF(E2="k",E3&amp;" ","")&amp;IF(I2="k",I3&amp;" ","")&amp;IF(M2="k",M3&amp;" ","")&amp;(IF(Q2="k",Q3&amp;" ",""))</f>
        <v xml:space="preserve">Kytketty koneet: Ponsse </v>
      </c>
    </row>
    <row r="4" spans="1:29" ht="13.5" thickBot="1" x14ac:dyDescent="0.25">
      <c r="A4" s="4" t="s">
        <v>95</v>
      </c>
      <c r="E4" s="4" t="s">
        <v>96</v>
      </c>
      <c r="F4" s="796">
        <v>6</v>
      </c>
      <c r="G4" s="73"/>
      <c r="I4" s="4" t="s">
        <v>96</v>
      </c>
      <c r="J4" s="797">
        <v>1</v>
      </c>
      <c r="K4" s="73"/>
      <c r="M4" s="4" t="s">
        <v>96</v>
      </c>
      <c r="N4" s="797">
        <v>1</v>
      </c>
      <c r="O4" s="73"/>
      <c r="Q4" s="4" t="s">
        <v>96</v>
      </c>
      <c r="R4" s="797">
        <v>1</v>
      </c>
      <c r="S4" s="73"/>
      <c r="T4" s="160" t="s">
        <v>97</v>
      </c>
    </row>
    <row r="5" spans="1:29" ht="13.5" thickBot="1" x14ac:dyDescent="0.25">
      <c r="A5" s="4" t="s">
        <v>98</v>
      </c>
      <c r="E5" s="4" t="s">
        <v>99</v>
      </c>
      <c r="F5" s="392">
        <v>2500</v>
      </c>
      <c r="G5" s="73"/>
      <c r="I5" s="4" t="s">
        <v>99</v>
      </c>
      <c r="J5" s="640">
        <v>1</v>
      </c>
      <c r="K5" s="73"/>
      <c r="M5" s="4" t="s">
        <v>99</v>
      </c>
      <c r="N5" s="640">
        <v>1</v>
      </c>
      <c r="O5" s="73"/>
      <c r="Q5" s="4" t="s">
        <v>99</v>
      </c>
      <c r="R5" s="640">
        <v>1</v>
      </c>
      <c r="S5" s="73"/>
      <c r="T5" s="641">
        <f>IF($E$2="k",(F5),0)+IF($I$2="k",(J5),0)+IF($M$2="k",(N5),0)+IF($Q$2="k",(R5),0)</f>
        <v>2500</v>
      </c>
    </row>
    <row r="6" spans="1:29" ht="13.5" thickBot="1" x14ac:dyDescent="0.25">
      <c r="A6" s="160" t="s">
        <v>544</v>
      </c>
      <c r="E6" s="795">
        <v>0.9</v>
      </c>
      <c r="F6" s="794">
        <f>E6*F5</f>
        <v>2250</v>
      </c>
      <c r="G6" s="793"/>
      <c r="I6" s="795">
        <f>E6</f>
        <v>0.9</v>
      </c>
      <c r="J6" s="794">
        <f>I6*J5</f>
        <v>0.9</v>
      </c>
      <c r="K6" s="73"/>
      <c r="M6" s="795">
        <f>I6</f>
        <v>0.9</v>
      </c>
      <c r="N6" s="794">
        <f>M6*N5</f>
        <v>0.9</v>
      </c>
      <c r="O6" s="73"/>
      <c r="Q6" s="795">
        <f>M6</f>
        <v>0.9</v>
      </c>
      <c r="R6" s="794">
        <f>Q6*R5</f>
        <v>0.9</v>
      </c>
      <c r="S6" s="73"/>
      <c r="T6" s="641">
        <f>IF($E$2="k",(F6),0)+IF($I$2="k",(J6),0)+IF($M$2="k",(N6),0)+IF($Q$2="k",(R6),0)</f>
        <v>2250</v>
      </c>
    </row>
    <row r="7" spans="1:29" x14ac:dyDescent="0.2">
      <c r="A7" s="4" t="s">
        <v>100</v>
      </c>
      <c r="F7" s="389">
        <v>300000</v>
      </c>
      <c r="G7" s="73"/>
      <c r="J7" s="77">
        <v>0</v>
      </c>
      <c r="K7" s="73"/>
      <c r="N7" s="77">
        <v>0</v>
      </c>
      <c r="O7" s="73"/>
      <c r="R7" s="77">
        <v>0</v>
      </c>
      <c r="S7" s="73"/>
    </row>
    <row r="8" spans="1:29" x14ac:dyDescent="0.2">
      <c r="A8" s="4" t="s">
        <v>101</v>
      </c>
      <c r="E8" s="596">
        <v>0.255</v>
      </c>
      <c r="F8" s="222">
        <f>F7/(100%+E8)*E8</f>
        <v>60956.175298804788</v>
      </c>
      <c r="G8" s="79"/>
      <c r="H8" s="7"/>
      <c r="I8" s="596">
        <v>0</v>
      </c>
      <c r="J8" s="222">
        <f>J7/(100%+I8)*I8</f>
        <v>0</v>
      </c>
      <c r="K8" s="79"/>
      <c r="L8" s="7"/>
      <c r="M8" s="596">
        <v>0</v>
      </c>
      <c r="N8" s="222">
        <f>N7/(100%+M8)*M8</f>
        <v>0</v>
      </c>
      <c r="O8" s="79"/>
      <c r="P8" s="7"/>
      <c r="Q8" s="596">
        <v>0.255</v>
      </c>
      <c r="R8" s="222">
        <f>R7/(100%+Q8)*Q8</f>
        <v>0</v>
      </c>
      <c r="S8" s="79"/>
    </row>
    <row r="9" spans="1:29" x14ac:dyDescent="0.2">
      <c r="A9" s="4" t="s">
        <v>102</v>
      </c>
      <c r="F9" s="80">
        <f>F7-F8</f>
        <v>239043.8247011952</v>
      </c>
      <c r="G9" s="73"/>
      <c r="J9" s="80">
        <f>J7-J8</f>
        <v>0</v>
      </c>
      <c r="K9" s="73"/>
      <c r="N9" s="80">
        <f>N7-N8</f>
        <v>0</v>
      </c>
      <c r="O9" s="73"/>
      <c r="R9" s="80">
        <f>R7-R8</f>
        <v>0</v>
      </c>
      <c r="S9" s="73"/>
    </row>
    <row r="10" spans="1:29" x14ac:dyDescent="0.2">
      <c r="A10" s="4" t="s">
        <v>103</v>
      </c>
      <c r="E10" s="225">
        <v>0.35</v>
      </c>
      <c r="F10" s="222">
        <f>E10*F9</f>
        <v>83665.33864541832</v>
      </c>
      <c r="G10" s="73"/>
      <c r="I10" s="225">
        <v>0</v>
      </c>
      <c r="J10" s="222">
        <f>I10*J9</f>
        <v>0</v>
      </c>
      <c r="K10" s="73"/>
      <c r="M10" s="225">
        <v>0</v>
      </c>
      <c r="N10" s="222">
        <f>M10*N9</f>
        <v>0</v>
      </c>
      <c r="O10" s="73"/>
      <c r="Q10" s="225">
        <v>0</v>
      </c>
      <c r="R10" s="222">
        <f>Q10*R9</f>
        <v>0</v>
      </c>
      <c r="S10" s="73"/>
    </row>
    <row r="11" spans="1:29" x14ac:dyDescent="0.2">
      <c r="A11" s="4" t="s">
        <v>104</v>
      </c>
      <c r="F11" s="81">
        <f>F9-F10</f>
        <v>155378.48605577688</v>
      </c>
      <c r="G11" s="73"/>
      <c r="J11" s="81">
        <f>J9-J10</f>
        <v>0</v>
      </c>
      <c r="K11" s="73"/>
      <c r="N11" s="81">
        <f>N9-N10</f>
        <v>0</v>
      </c>
      <c r="O11" s="73"/>
      <c r="R11" s="81">
        <f>R9-R10</f>
        <v>0</v>
      </c>
      <c r="S11" s="73"/>
    </row>
    <row r="12" spans="1:29" ht="13.5" thickBot="1" x14ac:dyDescent="0.25">
      <c r="A12" s="24" t="s">
        <v>105</v>
      </c>
      <c r="F12" s="82"/>
      <c r="G12" s="73"/>
      <c r="J12" s="82"/>
      <c r="K12" s="73"/>
      <c r="N12" s="82"/>
      <c r="O12" s="73"/>
      <c r="R12" s="82"/>
      <c r="S12" s="73"/>
      <c r="T12" s="6" t="s">
        <v>106</v>
      </c>
    </row>
    <row r="13" spans="1:29" x14ac:dyDescent="0.2">
      <c r="A13" s="9"/>
      <c r="B13" s="25" t="s">
        <v>107</v>
      </c>
      <c r="C13" s="26"/>
      <c r="D13" s="27" t="s">
        <v>108</v>
      </c>
      <c r="E13" s="226">
        <v>0.05</v>
      </c>
      <c r="F13" s="222">
        <f>IF(E2="k",IF(D2="A",ABS(PMT(E13,F4,-F9,E10*F9,0)),SUM(F14:F15)),0)</f>
        <v>31872.509960159361</v>
      </c>
      <c r="G13" s="73"/>
      <c r="I13" s="226">
        <v>0.05</v>
      </c>
      <c r="J13" s="222">
        <f>IF(I2="k",IF($D$2="A",ABS(PMT(I13,J4,-J9,I10*J9,0)),SUM(J14:J15)),0)</f>
        <v>0</v>
      </c>
      <c r="K13" s="73"/>
      <c r="M13" s="226">
        <v>0.05</v>
      </c>
      <c r="N13" s="222">
        <f>IF(M2="k",IF($D$2="A",ABS(PMT(M13,N4,-N9,M10*N9,0)),SUM(N14:N15)),0)</f>
        <v>0</v>
      </c>
      <c r="O13" s="73"/>
      <c r="Q13" s="226">
        <v>0.05</v>
      </c>
      <c r="R13" s="222">
        <f>IF(Q2="k",IF($D$2="A",ABS(PMT(Q13,R4,-R9,Q10*R9,0)),SUM(R14:R15)),0)</f>
        <v>0</v>
      </c>
      <c r="S13" s="73"/>
      <c r="T13" s="36">
        <f>SUM(F13,J13,N13,R13)</f>
        <v>31872.509960159361</v>
      </c>
    </row>
    <row r="14" spans="1:29" x14ac:dyDescent="0.2">
      <c r="B14" s="30" t="s">
        <v>109</v>
      </c>
      <c r="F14" s="84">
        <f>IF(E2="k",IF(D2="A",E13*F9,F9/2*E13),0)</f>
        <v>5976.0956175298807</v>
      </c>
      <c r="G14" s="85"/>
      <c r="H14" s="10"/>
      <c r="J14" s="84">
        <f>IF(I2="k",IF($D$2="A",I13*J9,J9/2*I13),0)</f>
        <v>0</v>
      </c>
      <c r="K14" s="85"/>
      <c r="L14" s="10"/>
      <c r="N14" s="84">
        <f>IF(M2="k",IF($D$2="A",M13*N9,N9/2*M13),0)</f>
        <v>0</v>
      </c>
      <c r="O14" s="85"/>
      <c r="P14" s="10"/>
      <c r="R14" s="84">
        <f>IF(Q2="k",IF($D$2="A",Q13*R9,R9/2*Q13),0)</f>
        <v>0</v>
      </c>
      <c r="S14" s="85"/>
      <c r="T14" s="36">
        <f t="shared" ref="T14:T38" si="0">SUM(F14,J14,N14,R14)</f>
        <v>5976.0956175298807</v>
      </c>
    </row>
    <row r="15" spans="1:29" ht="13.5" thickBot="1" x14ac:dyDescent="0.25">
      <c r="B15" s="32" t="s">
        <v>110</v>
      </c>
      <c r="C15" s="33"/>
      <c r="D15" s="33"/>
      <c r="E15" s="33"/>
      <c r="F15" s="86">
        <f>IF(E2="k",IF(D2="A",F13-F14,F11/F4),0)</f>
        <v>25896.41434262948</v>
      </c>
      <c r="G15" s="73"/>
      <c r="J15" s="86">
        <f>IF(I2="k",IF($D$2="A",J13-J14,J11/J4),0)</f>
        <v>0</v>
      </c>
      <c r="K15" s="73"/>
      <c r="N15" s="86">
        <f>IF(M2="k",IF($D$2="A",N13-N14,N11/N4),0)</f>
        <v>0</v>
      </c>
      <c r="O15" s="73"/>
      <c r="R15" s="86">
        <f>IF(Q2="k",IF($D$2="A",R13-R14,R11/R4),0)</f>
        <v>0</v>
      </c>
      <c r="S15" s="73"/>
      <c r="T15" s="36">
        <f t="shared" si="0"/>
        <v>25896.41434262948</v>
      </c>
    </row>
    <row r="16" spans="1:29" ht="18" customHeight="1" x14ac:dyDescent="0.2">
      <c r="B16" s="35"/>
      <c r="F16" s="86"/>
      <c r="G16" s="73"/>
      <c r="J16" s="86"/>
      <c r="K16" s="73"/>
      <c r="N16" s="86"/>
      <c r="O16" s="73"/>
      <c r="R16" s="86"/>
      <c r="S16" s="73"/>
    </row>
    <row r="17" spans="1:29" x14ac:dyDescent="0.2">
      <c r="B17" s="35" t="s">
        <v>405</v>
      </c>
      <c r="C17" s="37"/>
      <c r="D17" s="37"/>
      <c r="E17" s="87"/>
      <c r="F17" s="88">
        <v>100</v>
      </c>
      <c r="G17" s="85"/>
      <c r="H17" s="10"/>
      <c r="I17" s="44"/>
      <c r="J17" s="77">
        <v>0</v>
      </c>
      <c r="K17" s="85"/>
      <c r="L17" s="10"/>
      <c r="M17" s="44"/>
      <c r="N17" s="77">
        <v>0</v>
      </c>
      <c r="O17" s="85"/>
      <c r="P17" s="10"/>
      <c r="Q17" s="44"/>
      <c r="R17" s="77">
        <v>0</v>
      </c>
      <c r="S17" s="85"/>
      <c r="T17" s="8">
        <f>IF($E$2="k",F17)+IF($I$2="k",J17)+IF($M$2="k",N17)+IF($Q$2="k",R17)</f>
        <v>100</v>
      </c>
    </row>
    <row r="18" spans="1:29" x14ac:dyDescent="0.2">
      <c r="B18" s="35" t="s">
        <v>112</v>
      </c>
      <c r="D18" s="44"/>
      <c r="E18" s="89"/>
      <c r="F18" s="88">
        <v>1000</v>
      </c>
      <c r="G18" s="85"/>
      <c r="H18" s="10"/>
      <c r="J18" s="77">
        <v>0</v>
      </c>
      <c r="K18" s="85"/>
      <c r="L18" s="10"/>
      <c r="N18" s="77">
        <v>0</v>
      </c>
      <c r="O18" s="85"/>
      <c r="P18" s="10"/>
      <c r="R18" s="77">
        <v>0</v>
      </c>
      <c r="S18" s="85"/>
      <c r="T18" s="8">
        <f>IF($E$2="k",F18)+IF($I$2="k",J18)+IF($M$2="k",N18)+IF($Q$2="k",R18)</f>
        <v>1000</v>
      </c>
    </row>
    <row r="19" spans="1:29" ht="12.75" customHeight="1" x14ac:dyDescent="0.2">
      <c r="B19" s="986" t="s">
        <v>543</v>
      </c>
      <c r="C19" s="986"/>
      <c r="D19" s="986"/>
      <c r="F19" s="77">
        <v>20000</v>
      </c>
      <c r="G19" s="85"/>
      <c r="H19" s="10"/>
      <c r="J19" s="77"/>
      <c r="K19" s="85"/>
      <c r="L19" s="10"/>
      <c r="N19" s="77"/>
      <c r="O19" s="85"/>
      <c r="P19" s="10"/>
      <c r="R19" s="77"/>
      <c r="S19" s="85"/>
      <c r="T19" s="8">
        <f>IF($E$2="k",F19)+IF($I$2="k",J19)+IF($M$2="k",N19)+IF($Q$2="k",R19)</f>
        <v>20000</v>
      </c>
    </row>
    <row r="20" spans="1:29" x14ac:dyDescent="0.2">
      <c r="B20" s="11"/>
      <c r="C20" s="45"/>
      <c r="D20" s="10"/>
      <c r="E20" s="10"/>
      <c r="F20" s="90"/>
      <c r="G20" s="85"/>
      <c r="H20" s="10"/>
      <c r="I20" s="10"/>
      <c r="J20" s="90"/>
      <c r="K20" s="85"/>
      <c r="L20" s="10"/>
      <c r="M20" s="10"/>
      <c r="N20" s="90"/>
      <c r="O20" s="85"/>
      <c r="P20" s="10"/>
      <c r="Q20" s="10"/>
      <c r="R20" s="90"/>
      <c r="S20" s="85"/>
    </row>
    <row r="21" spans="1:29" x14ac:dyDescent="0.2">
      <c r="B21" s="35" t="s">
        <v>114</v>
      </c>
      <c r="C21" s="10"/>
      <c r="D21" s="10"/>
      <c r="E21" s="226">
        <v>3.0000000000000001E-3</v>
      </c>
      <c r="F21" s="290">
        <f>IF(E2="k",E21*F9,0)</f>
        <v>717.13147410358567</v>
      </c>
      <c r="G21" s="85"/>
      <c r="H21" s="10"/>
      <c r="I21" s="226">
        <v>3.0000000000000001E-3</v>
      </c>
      <c r="J21" s="290">
        <f>IF(I2="k",I21*J9,0)</f>
        <v>0</v>
      </c>
      <c r="K21" s="85"/>
      <c r="L21" s="10"/>
      <c r="M21" s="226">
        <v>3.0000000000000001E-3</v>
      </c>
      <c r="N21" s="290">
        <f>IF(M2="k",M21*N9,0)</f>
        <v>0</v>
      </c>
      <c r="O21" s="85"/>
      <c r="P21" s="10"/>
      <c r="Q21" s="226">
        <v>3.0000000000000001E-3</v>
      </c>
      <c r="R21" s="19">
        <f>IF(Q2="k",Q21*R9,0)</f>
        <v>0</v>
      </c>
      <c r="S21" s="85"/>
      <c r="T21" s="36">
        <f t="shared" si="0"/>
        <v>717.13147410358567</v>
      </c>
    </row>
    <row r="22" spans="1:29" ht="13.5" thickBot="1" x14ac:dyDescent="0.25">
      <c r="B22" s="50" t="s">
        <v>115</v>
      </c>
      <c r="C22" s="51"/>
      <c r="D22" s="51"/>
      <c r="E22" s="52"/>
      <c r="F22" s="91">
        <f>IF(E2="k",SUM(F14:F21),0)</f>
        <v>53689.641434262943</v>
      </c>
      <c r="G22" s="92">
        <f>F22/F6</f>
        <v>23.86206285967242</v>
      </c>
      <c r="H22" s="54"/>
      <c r="J22" s="91">
        <f>IF(I2="k",SUM(J14:J21),0)</f>
        <v>0</v>
      </c>
      <c r="K22" s="92">
        <f>J22/J6</f>
        <v>0</v>
      </c>
      <c r="L22" s="54"/>
      <c r="N22" s="91">
        <f>IF(M2="k",SUM(N14:N21),0)</f>
        <v>0</v>
      </c>
      <c r="O22" s="92">
        <f>N22/N6</f>
        <v>0</v>
      </c>
      <c r="P22" s="54"/>
      <c r="R22" s="93">
        <f>IF(Q2="k",SUM(R14:R21),0)</f>
        <v>0</v>
      </c>
      <c r="S22" s="92">
        <f>R22/R6</f>
        <v>0</v>
      </c>
      <c r="T22" s="94">
        <f t="shared" si="0"/>
        <v>53689.641434262943</v>
      </c>
      <c r="U22" s="95">
        <f>SUM(G22,K22,O22,S22)</f>
        <v>23.86206285967242</v>
      </c>
      <c r="W22" s="94"/>
      <c r="X22" s="94"/>
    </row>
    <row r="23" spans="1:29" x14ac:dyDescent="0.2">
      <c r="A23" s="24" t="s">
        <v>116</v>
      </c>
      <c r="B23" s="6"/>
      <c r="F23" s="96"/>
      <c r="G23" s="97"/>
      <c r="H23" s="55"/>
      <c r="J23" s="98"/>
      <c r="K23" s="97"/>
      <c r="L23" s="55"/>
      <c r="N23" s="98"/>
      <c r="O23" s="97"/>
      <c r="P23" s="55"/>
      <c r="R23" s="98"/>
      <c r="S23" s="97"/>
    </row>
    <row r="24" spans="1:29" x14ac:dyDescent="0.2">
      <c r="B24" s="11" t="s">
        <v>117</v>
      </c>
      <c r="C24" s="22"/>
      <c r="D24" s="10"/>
      <c r="F24" s="77">
        <v>3000</v>
      </c>
      <c r="G24" s="99"/>
      <c r="H24" s="47"/>
      <c r="J24" s="77">
        <v>0</v>
      </c>
      <c r="K24" s="99"/>
      <c r="L24" s="47"/>
      <c r="N24" s="77">
        <v>0</v>
      </c>
      <c r="O24" s="99"/>
      <c r="P24" s="47"/>
      <c r="R24" s="77">
        <v>0</v>
      </c>
      <c r="S24" s="99"/>
      <c r="T24" s="8">
        <f>IF($E$2="k",F24)+IF($I$2="k",J24)+IF($M$2="k",N24)+IF($Q$2="k",R24)</f>
        <v>3000</v>
      </c>
    </row>
    <row r="25" spans="1:29" ht="15.75" x14ac:dyDescent="0.2">
      <c r="B25" s="11" t="s">
        <v>118</v>
      </c>
      <c r="C25" s="196">
        <v>15</v>
      </c>
      <c r="D25" s="197">
        <v>1.1000000000000001</v>
      </c>
      <c r="E25" s="289"/>
      <c r="F25" s="100">
        <f>IF(E2="k",C25*D25*F5,0)</f>
        <v>41250</v>
      </c>
      <c r="G25" s="101"/>
      <c r="H25" s="196">
        <v>3</v>
      </c>
      <c r="I25" s="102">
        <f>$D$25</f>
        <v>1.1000000000000001</v>
      </c>
      <c r="J25" s="100">
        <f>IF(I2="k",H25*I25*J5,0)</f>
        <v>0</v>
      </c>
      <c r="K25" s="101"/>
      <c r="L25" s="196">
        <f>H25</f>
        <v>3</v>
      </c>
      <c r="M25" s="102">
        <f>$D$25</f>
        <v>1.1000000000000001</v>
      </c>
      <c r="N25" s="100">
        <f>IF(M2="k",L25*M25*N5,0)</f>
        <v>0</v>
      </c>
      <c r="O25" s="101"/>
      <c r="P25" s="196">
        <v>50</v>
      </c>
      <c r="Q25" s="102">
        <f>$D$25</f>
        <v>1.1000000000000001</v>
      </c>
      <c r="R25" s="100">
        <f>IF(Q2="k",P25*Q25*R5,0)</f>
        <v>0</v>
      </c>
      <c r="S25" s="101"/>
      <c r="T25" s="36">
        <f t="shared" si="0"/>
        <v>41250</v>
      </c>
      <c r="V25" s="165" t="s">
        <v>37</v>
      </c>
      <c r="W25" s="642">
        <f>IF($E$2="k",(C25*F5),0)+IF($I$2="k",(H25*J5),0)+IF($M$2="k",(L25*N5),0)+IF($Q$2="k",(P25*R5),0)</f>
        <v>37500</v>
      </c>
      <c r="X25" s="642">
        <f>W25/159</f>
        <v>235.84905660377359</v>
      </c>
      <c r="Y25" s="161">
        <f>VLOOKUP(V25,Ohjeet!A63:F68,6,FALSE)</f>
        <v>2.66</v>
      </c>
      <c r="Z25" s="163">
        <f>W25*Y25</f>
        <v>99750</v>
      </c>
      <c r="AA25" s="164">
        <f>Z25/1000</f>
        <v>99.75</v>
      </c>
      <c r="AB25" s="162">
        <f>Z25*0.27</f>
        <v>26932.5</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39.9</v>
      </c>
    </row>
    <row r="27" spans="1:29" x14ac:dyDescent="0.2">
      <c r="B27" s="195" t="s">
        <v>445</v>
      </c>
      <c r="C27" s="393">
        <v>7.0000000000000007E-2</v>
      </c>
      <c r="D27" s="643">
        <f>C25*F5*C27</f>
        <v>2625.0000000000005</v>
      </c>
      <c r="E27" s="644">
        <v>1</v>
      </c>
      <c r="F27" s="397">
        <f>IF(E2="K",IF(G27&gt;0,G27,D27*E27),0)</f>
        <v>2625.0000000000005</v>
      </c>
      <c r="G27" s="645">
        <v>0</v>
      </c>
      <c r="H27" s="411"/>
      <c r="I27" s="400">
        <f>H25*$C$27</f>
        <v>0.21000000000000002</v>
      </c>
      <c r="J27" s="397">
        <f>IF(I2="K",IF(K27&gt;0,K27,I27*$E$27),0)</f>
        <v>0</v>
      </c>
      <c r="K27" s="646">
        <v>0</v>
      </c>
      <c r="L27" s="411"/>
      <c r="M27" s="400">
        <f>L25*$C$27</f>
        <v>0.21000000000000002</v>
      </c>
      <c r="N27" s="397">
        <f>IF(M2="K",IF(O27&gt;0,O27,M27*$E$27),0)</f>
        <v>0</v>
      </c>
      <c r="O27" s="646">
        <v>0</v>
      </c>
      <c r="P27" s="411"/>
      <c r="Q27" s="400">
        <f>P25*$C$27</f>
        <v>3.5000000000000004</v>
      </c>
      <c r="R27" s="397">
        <f>IF(Q2="K",IF(S27&gt;0,S27,Q27*$E$27),0)</f>
        <v>0</v>
      </c>
      <c r="S27" s="646">
        <v>0</v>
      </c>
      <c r="T27" s="8">
        <f>IF($E$2="k",F27)+IF($I$2="k",J27)+IF($M$2="k",N27)+IF($Q$2="k",R27)</f>
        <v>2625.0000000000005</v>
      </c>
    </row>
    <row r="28" spans="1:29" ht="12.75" customHeight="1" x14ac:dyDescent="0.2">
      <c r="B28" s="396" t="s">
        <v>125</v>
      </c>
      <c r="C28" s="919" t="s">
        <v>431</v>
      </c>
      <c r="D28" s="920"/>
      <c r="E28" s="920"/>
      <c r="F28" s="77">
        <v>7500</v>
      </c>
      <c r="G28" s="39"/>
      <c r="H28" s="411"/>
      <c r="I28" s="412" t="str">
        <f>$B$28</f>
        <v>Muut:</v>
      </c>
      <c r="J28" s="77"/>
      <c r="K28" s="101"/>
      <c r="L28" s="411"/>
      <c r="M28" s="412" t="str">
        <f>$B$28</f>
        <v>Muut:</v>
      </c>
      <c r="N28" s="77">
        <v>1</v>
      </c>
      <c r="O28" s="101"/>
      <c r="P28" s="411"/>
      <c r="Q28" s="412" t="str">
        <f>$B$28</f>
        <v>Muut:</v>
      </c>
      <c r="R28" s="77">
        <v>1</v>
      </c>
      <c r="S28" s="101"/>
      <c r="T28" s="8">
        <f>IF($E$2="k",F28)+IF($I$2="k",J28)+IF($M$2="k",N28)+IF($Q$2="k",R28)</f>
        <v>7500</v>
      </c>
    </row>
    <row r="29" spans="1:29" ht="13.5" thickBot="1" x14ac:dyDescent="0.25">
      <c r="B29" s="396" t="s">
        <v>125</v>
      </c>
      <c r="C29" s="919"/>
      <c r="D29" s="920"/>
      <c r="E29" s="920"/>
      <c r="F29" s="77"/>
      <c r="G29" s="39"/>
      <c r="H29" s="411"/>
      <c r="I29" s="412" t="str">
        <f>$B$29</f>
        <v>Muut:</v>
      </c>
      <c r="J29" s="77"/>
      <c r="K29" s="101"/>
      <c r="L29" s="411"/>
      <c r="M29" s="412" t="str">
        <f>$B$29</f>
        <v>Muut:</v>
      </c>
      <c r="N29" s="77">
        <v>1</v>
      </c>
      <c r="O29" s="101"/>
      <c r="P29" s="411"/>
      <c r="Q29" s="412" t="str">
        <f>$B$29</f>
        <v>Muut:</v>
      </c>
      <c r="R29" s="77">
        <v>1</v>
      </c>
      <c r="S29" s="101"/>
      <c r="T29" s="8">
        <f>IF($E$2="k",F29)+IF($I$2="k",J29)+IF($M$2="k",N29)+IF($Q$2="k",R29)</f>
        <v>0</v>
      </c>
    </row>
    <row r="30" spans="1:29" ht="13.5" thickBot="1" x14ac:dyDescent="0.25">
      <c r="B30" s="60" t="s">
        <v>127</v>
      </c>
      <c r="C30" s="51"/>
      <c r="D30" s="51"/>
      <c r="E30" s="51"/>
      <c r="F30" s="55">
        <f>IF(E2="k",SUM(F24:F29),0)</f>
        <v>54375</v>
      </c>
      <c r="G30" s="103">
        <f>F30/F6</f>
        <v>24.166666666666668</v>
      </c>
      <c r="H30" s="104"/>
      <c r="J30" s="55">
        <f>IF(I2="k",SUM(J24:J29),0)</f>
        <v>0</v>
      </c>
      <c r="K30" s="103">
        <f>J30/J6</f>
        <v>0</v>
      </c>
      <c r="L30" s="104"/>
      <c r="N30" s="55">
        <f>IF(M2="k",SUM(N24:N29),0)</f>
        <v>0</v>
      </c>
      <c r="O30" s="103">
        <f>N30/N6</f>
        <v>0</v>
      </c>
      <c r="P30" s="104"/>
      <c r="R30" s="55">
        <f>IF(Q2="k",SUM(R24:R29),0)</f>
        <v>0</v>
      </c>
      <c r="S30" s="103">
        <f>R30/R6</f>
        <v>0</v>
      </c>
      <c r="T30" s="94">
        <f t="shared" si="0"/>
        <v>54375</v>
      </c>
      <c r="U30" s="105">
        <f>SUM(G30,K30,O30,S30)</f>
        <v>24.166666666666668</v>
      </c>
    </row>
    <row r="31" spans="1:29" ht="13.5" thickBot="1" x14ac:dyDescent="0.25">
      <c r="A31" s="6" t="s">
        <v>128</v>
      </c>
      <c r="F31" s="106">
        <f>F22+F30</f>
        <v>108064.64143426294</v>
      </c>
      <c r="G31" s="107"/>
      <c r="H31" s="12"/>
      <c r="J31" s="55">
        <f>IF(I2="k",J22+J30,0)</f>
        <v>0</v>
      </c>
      <c r="K31" s="107"/>
      <c r="L31" s="12"/>
      <c r="N31" s="55">
        <f>IF(M2="k",N22+N30,0)</f>
        <v>0</v>
      </c>
      <c r="O31" s="107"/>
      <c r="P31" s="12"/>
      <c r="R31" s="55">
        <f>IF(Q2="k",R22+R30,0)</f>
        <v>0</v>
      </c>
      <c r="S31" s="107"/>
      <c r="T31" s="94">
        <f t="shared" si="0"/>
        <v>108064.64143426294</v>
      </c>
    </row>
    <row r="32" spans="1:29" ht="13.5" thickBot="1" x14ac:dyDescent="0.25">
      <c r="F32" s="7"/>
      <c r="G32" s="73"/>
      <c r="J32" s="7"/>
      <c r="K32" s="73"/>
      <c r="N32" s="7"/>
      <c r="O32" s="73"/>
      <c r="R32" s="7"/>
      <c r="S32" s="73"/>
    </row>
    <row r="33" spans="1:20" ht="13.5" thickBot="1" x14ac:dyDescent="0.25">
      <c r="A33" s="6" t="s">
        <v>129</v>
      </c>
      <c r="F33" s="235">
        <f>IF(E2="k",F31/F6,)</f>
        <v>48.028729526339085</v>
      </c>
      <c r="G33" s="107"/>
      <c r="H33" s="12"/>
      <c r="J33" s="13">
        <f>IF(I2="k",J31/J6,0)</f>
        <v>0</v>
      </c>
      <c r="K33" s="107"/>
      <c r="L33" s="12"/>
      <c r="N33" s="13">
        <f>IF(M2="k",N31/N6,0)</f>
        <v>0</v>
      </c>
      <c r="O33" s="107"/>
      <c r="P33" s="12"/>
      <c r="R33" s="13">
        <f>IF(Q2="k",R31/R6,0)</f>
        <v>0</v>
      </c>
      <c r="S33" s="12"/>
      <c r="T33" s="108">
        <f t="shared" si="0"/>
        <v>48.028729526339085</v>
      </c>
    </row>
    <row r="34" spans="1:20" x14ac:dyDescent="0.2">
      <c r="B34" s="6" t="s">
        <v>130</v>
      </c>
      <c r="E34" s="203">
        <v>0.2</v>
      </c>
      <c r="F34" s="234">
        <f>IF(E2="k",((100%/(100%-E34))*F33)-F33,0)</f>
        <v>12.007182381584769</v>
      </c>
      <c r="G34" s="85"/>
      <c r="H34" s="10"/>
      <c r="I34" s="203">
        <f>E34</f>
        <v>0.2</v>
      </c>
      <c r="J34" s="234">
        <f>IF(I2="k",((100%/(100%-I34))*J33)-J33,0)</f>
        <v>0</v>
      </c>
      <c r="K34" s="85"/>
      <c r="L34" s="10"/>
      <c r="M34" s="203">
        <f>I34</f>
        <v>0.2</v>
      </c>
      <c r="N34" s="234">
        <f>IF(M2="k",((100%/(100%-M34))*N33)-N33,0)</f>
        <v>0</v>
      </c>
      <c r="O34" s="85"/>
      <c r="P34" s="10"/>
      <c r="Q34" s="203">
        <f>M34</f>
        <v>0.2</v>
      </c>
      <c r="R34" s="234">
        <f>IF(Q2="k",((100%/(100%-Q34))*R33)-R33,0)</f>
        <v>0</v>
      </c>
      <c r="S34" s="85"/>
      <c r="T34" s="36">
        <f t="shared" si="0"/>
        <v>12.007182381584769</v>
      </c>
    </row>
    <row r="35" spans="1:20" ht="13.5" thickBot="1" x14ac:dyDescent="0.25">
      <c r="B35" s="4" t="s">
        <v>131</v>
      </c>
      <c r="C35" s="160" t="s">
        <v>132</v>
      </c>
      <c r="F35" s="294">
        <v>18</v>
      </c>
      <c r="G35" s="85"/>
      <c r="H35" s="10"/>
      <c r="I35" s="109"/>
      <c r="J35" s="292">
        <v>0</v>
      </c>
      <c r="K35" s="85"/>
      <c r="L35" s="10"/>
      <c r="M35" s="109"/>
      <c r="N35" s="292">
        <v>0</v>
      </c>
      <c r="O35" s="85"/>
      <c r="P35" s="10"/>
      <c r="Q35" s="109"/>
      <c r="R35" s="292">
        <v>0</v>
      </c>
      <c r="S35" s="85"/>
      <c r="T35" s="8">
        <f>IF($E$2="k",F35)+IF($I$2="k",J35)+IF($M$2="k",N35)+IF($Q$2="k",R35)</f>
        <v>18</v>
      </c>
    </row>
    <row r="36" spans="1:20" x14ac:dyDescent="0.2">
      <c r="B36" s="116" t="s">
        <v>134</v>
      </c>
      <c r="C36" s="115"/>
      <c r="D36" s="115"/>
      <c r="E36" s="115"/>
      <c r="F36" s="117">
        <f>SUM(F33:F35)</f>
        <v>78.035911907923861</v>
      </c>
      <c r="G36" s="85"/>
      <c r="H36" s="10"/>
      <c r="J36" s="117">
        <f>SUM(J33:J35)</f>
        <v>0</v>
      </c>
      <c r="K36" s="85"/>
      <c r="L36" s="10"/>
      <c r="N36" s="117">
        <f>SUM(N33:N35)</f>
        <v>0</v>
      </c>
      <c r="O36" s="85"/>
      <c r="P36" s="10"/>
      <c r="R36" s="117">
        <f>SUM(R33:R35)</f>
        <v>0</v>
      </c>
      <c r="S36" s="10"/>
      <c r="T36" s="118">
        <f>SUM(F36,J36,N36,R36)</f>
        <v>78.035911907923861</v>
      </c>
    </row>
    <row r="37" spans="1:20" ht="13.5" thickBot="1" x14ac:dyDescent="0.25">
      <c r="B37" s="119" t="s">
        <v>135</v>
      </c>
      <c r="E37" s="589">
        <v>0.255</v>
      </c>
      <c r="F37" s="291">
        <f>E37*F36</f>
        <v>19.899157536520583</v>
      </c>
      <c r="G37" s="111"/>
      <c r="H37" s="10"/>
      <c r="I37" s="590">
        <f>$E$37</f>
        <v>0.255</v>
      </c>
      <c r="J37" s="291">
        <f>I37*J36</f>
        <v>0</v>
      </c>
      <c r="K37" s="85"/>
      <c r="L37" s="10"/>
      <c r="M37" s="590">
        <f>$E$37</f>
        <v>0.255</v>
      </c>
      <c r="N37" s="291">
        <f>M37*N36</f>
        <v>0</v>
      </c>
      <c r="O37" s="85"/>
      <c r="P37" s="10"/>
      <c r="Q37" s="590">
        <f>$E$37</f>
        <v>0.255</v>
      </c>
      <c r="R37" s="291">
        <f>Q37*R36</f>
        <v>0</v>
      </c>
      <c r="S37" s="85"/>
      <c r="T37" s="120">
        <f>SUM(F37,J37,N37,R37)</f>
        <v>19.899157536520583</v>
      </c>
    </row>
    <row r="38" spans="1:20" ht="13.5" thickBot="1" x14ac:dyDescent="0.25">
      <c r="B38" s="121" t="s">
        <v>136</v>
      </c>
      <c r="C38" s="114"/>
      <c r="D38" s="114"/>
      <c r="E38" s="114"/>
      <c r="F38" s="110">
        <f>IF(E2="k",SUM(F36:F37),0)</f>
        <v>97.935069444444451</v>
      </c>
      <c r="G38" s="112"/>
      <c r="H38" s="113"/>
      <c r="I38" s="114"/>
      <c r="J38" s="110">
        <f>IF(I2="k",SUM(J36:J37),0)</f>
        <v>0</v>
      </c>
      <c r="K38" s="112"/>
      <c r="L38" s="113"/>
      <c r="M38" s="114"/>
      <c r="N38" s="110">
        <f>IF(M2="k",SUM(N36:N37),0)</f>
        <v>0</v>
      </c>
      <c r="O38" s="112"/>
      <c r="P38" s="113"/>
      <c r="Q38" s="114"/>
      <c r="R38" s="110">
        <f>IF(Q2="k",SUM(R36:R37),0)</f>
        <v>0</v>
      </c>
      <c r="S38" s="113"/>
      <c r="T38" s="108">
        <f t="shared" si="0"/>
        <v>97.935069444444451</v>
      </c>
    </row>
    <row r="40" spans="1:20" ht="20.25" x14ac:dyDescent="0.3">
      <c r="B40" s="798" t="s">
        <v>552</v>
      </c>
    </row>
    <row r="41" spans="1:20" x14ac:dyDescent="0.2">
      <c r="B41" s="4" t="s">
        <v>139</v>
      </c>
      <c r="C41" s="398" t="str">
        <f>Ohjeet!C2</f>
        <v>2024.12</v>
      </c>
    </row>
    <row r="42" spans="1:20" x14ac:dyDescent="0.2">
      <c r="F42" s="1101" t="s">
        <v>433</v>
      </c>
      <c r="G42" s="1110"/>
      <c r="H42" s="1110"/>
      <c r="I42" s="1111"/>
    </row>
    <row r="43" spans="1:20" x14ac:dyDescent="0.2">
      <c r="B43" s="160" t="s">
        <v>446</v>
      </c>
      <c r="F43" s="388">
        <v>8</v>
      </c>
      <c r="G43" s="230" t="s">
        <v>435</v>
      </c>
      <c r="H43" s="1100">
        <v>20</v>
      </c>
      <c r="I43" s="1100"/>
      <c r="J43" s="160" t="s">
        <v>75</v>
      </c>
    </row>
    <row r="44" spans="1:20" x14ac:dyDescent="0.2">
      <c r="B44" s="160" t="s">
        <v>447</v>
      </c>
      <c r="F44" s="176">
        <v>8</v>
      </c>
      <c r="G44" s="230" t="s">
        <v>435</v>
      </c>
      <c r="H44" s="1106">
        <v>20</v>
      </c>
      <c r="I44" s="1106"/>
      <c r="J44" s="160" t="s">
        <v>99</v>
      </c>
    </row>
    <row r="45" spans="1:20" x14ac:dyDescent="0.2">
      <c r="B45" s="160" t="s">
        <v>448</v>
      </c>
      <c r="F45" s="176">
        <v>200</v>
      </c>
      <c r="G45" s="230" t="s">
        <v>435</v>
      </c>
      <c r="H45" s="1107">
        <v>200</v>
      </c>
      <c r="I45" s="1108"/>
      <c r="J45" s="160" t="s">
        <v>219</v>
      </c>
    </row>
    <row r="46" spans="1:20" x14ac:dyDescent="0.2">
      <c r="B46" s="160" t="s">
        <v>449</v>
      </c>
      <c r="F46" s="231">
        <f>F43*F$44*F45</f>
        <v>12800</v>
      </c>
      <c r="G46" s="230" t="s">
        <v>435</v>
      </c>
      <c r="H46" s="1109">
        <f>H43*H44*H45</f>
        <v>80000</v>
      </c>
      <c r="I46" s="1109"/>
      <c r="J46" s="160" t="s">
        <v>244</v>
      </c>
    </row>
    <row r="47" spans="1:20" x14ac:dyDescent="0.2">
      <c r="B47" s="160" t="s">
        <v>450</v>
      </c>
      <c r="F47" s="231">
        <f>F43*F44</f>
        <v>64</v>
      </c>
      <c r="G47" s="230" t="s">
        <v>435</v>
      </c>
      <c r="H47" s="1104">
        <f>H43*H44</f>
        <v>400</v>
      </c>
      <c r="I47" s="1104"/>
      <c r="J47" s="160" t="s">
        <v>244</v>
      </c>
    </row>
    <row r="48" spans="1:20" x14ac:dyDescent="0.2">
      <c r="B48" s="160" t="s">
        <v>451</v>
      </c>
      <c r="F48" s="652">
        <f>F$45*F$44</f>
        <v>1600</v>
      </c>
      <c r="G48" s="230" t="s">
        <v>435</v>
      </c>
      <c r="H48" s="1104">
        <f>H44*H45</f>
        <v>4000</v>
      </c>
      <c r="I48" s="1104"/>
      <c r="J48" s="160" t="s">
        <v>228</v>
      </c>
    </row>
    <row r="49" spans="2:10" x14ac:dyDescent="0.2">
      <c r="B49" s="6" t="s">
        <v>441</v>
      </c>
      <c r="F49" s="229">
        <f>T36/F43</f>
        <v>9.7544889884904826</v>
      </c>
      <c r="G49" s="230" t="s">
        <v>435</v>
      </c>
      <c r="H49" s="1105">
        <f>T36/H43</f>
        <v>3.9017955953961931</v>
      </c>
      <c r="I49" s="1105"/>
      <c r="J49" s="6" t="s">
        <v>442</v>
      </c>
    </row>
    <row r="50" spans="2:10" x14ac:dyDescent="0.2">
      <c r="F50" s="229">
        <f>T38/F43</f>
        <v>12.241883680555556</v>
      </c>
      <c r="G50" s="230" t="s">
        <v>435</v>
      </c>
      <c r="H50" s="1105">
        <f>T38/H43</f>
        <v>4.8967534722222226</v>
      </c>
      <c r="I50" s="1105"/>
      <c r="J50" s="6" t="s">
        <v>443</v>
      </c>
    </row>
  </sheetData>
  <sheetProtection algorithmName="SHA-512" hashValue="vowNzWC/fYR/D1mbstVq7GtW1za8ycQL+/UIbnx1V7ZWcFVi5OQwPcR2WHF0ZplIxccfIUUe6V1ecajbduZ5bA==" saltValue="4KxGsTFgFY6QNIDZ+cYdww==" spinCount="100000" sheet="1" formatCells="0" formatColumns="0" formatRows="0"/>
  <mergeCells count="25">
    <mergeCell ref="H50:I50"/>
    <mergeCell ref="E3:F3"/>
    <mergeCell ref="I3:J3"/>
    <mergeCell ref="M3:N3"/>
    <mergeCell ref="Q3:R3"/>
    <mergeCell ref="H43:I43"/>
    <mergeCell ref="H44:I44"/>
    <mergeCell ref="H45:I45"/>
    <mergeCell ref="H46:I46"/>
    <mergeCell ref="H47:I47"/>
    <mergeCell ref="H48:I48"/>
    <mergeCell ref="H49:I49"/>
    <mergeCell ref="F42:I42"/>
    <mergeCell ref="C28:E28"/>
    <mergeCell ref="C29:E29"/>
    <mergeCell ref="B19:D19"/>
    <mergeCell ref="E1:G1"/>
    <mergeCell ref="H1:J1"/>
    <mergeCell ref="L1:N1"/>
    <mergeCell ref="P1:R1"/>
    <mergeCell ref="A2:B2"/>
    <mergeCell ref="E2:F2"/>
    <mergeCell ref="I2:J2"/>
    <mergeCell ref="M2:N2"/>
    <mergeCell ref="Q2:R2"/>
  </mergeCells>
  <hyperlinks>
    <hyperlink ref="B40" location="'Metsäkoneketjujen ketjutus '!A1" display="Siirry metsäkoneketjujen ketjutuksen tekoon ja urakkahinnan määrittelyyn" xr:uid="{89F17D41-02A9-414D-B048-43E5A1175701}"/>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Ohjeet!$A$63:$A$68</xm:f>
          </x14:formula1>
          <xm:sqref>V25</xm:sqref>
        </x14:dataValidation>
        <x14:dataValidation type="list" allowBlank="1" showInputMessage="1" showErrorMessage="1" xr:uid="{00000000-0002-0000-0A00-000001000000}">
          <x14:formula1>
            <xm:f>Laskentayksikot!$E$2:$E$3</xm:f>
          </x14:formula1>
          <xm:sqref>E2:F2 I2:J2 M2:N2 Q2:R2</xm:sqref>
        </x14:dataValidation>
        <x14:dataValidation type="list" allowBlank="1" showInputMessage="1" showErrorMessage="1" xr:uid="{86BAB242-5533-4CDB-8EA7-53DA63C5C71A}">
          <x14:formula1>
            <xm:f>Laskentayksikot!$E$7:$E$8</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G75"/>
  <sheetViews>
    <sheetView showGridLines="0" zoomScale="80" zoomScaleNormal="80" workbookViewId="0">
      <selection activeCell="A26" sqref="A26"/>
    </sheetView>
  </sheetViews>
  <sheetFormatPr defaultRowHeight="12.75" x14ac:dyDescent="0.2"/>
  <cols>
    <col min="1" max="1" width="14.5703125" customWidth="1"/>
    <col min="2" max="2" width="9.28515625" customWidth="1"/>
    <col min="3" max="3" width="18.5703125" customWidth="1"/>
    <col min="4" max="5" width="19.85546875" customWidth="1"/>
    <col min="6" max="6" width="15.140625" customWidth="1"/>
    <col min="8" max="8" width="12" customWidth="1"/>
    <col min="13" max="13" width="9.5703125" bestFit="1" customWidth="1"/>
    <col min="17" max="17" width="11.42578125" customWidth="1"/>
  </cols>
  <sheetData>
    <row r="1" spans="1:4" ht="18" x14ac:dyDescent="0.25">
      <c r="A1" s="381" t="s">
        <v>0</v>
      </c>
    </row>
    <row r="2" spans="1:4" x14ac:dyDescent="0.2">
      <c r="A2" s="154" t="s">
        <v>1</v>
      </c>
      <c r="B2" s="639" t="s">
        <v>2</v>
      </c>
      <c r="C2" s="157" t="s">
        <v>657</v>
      </c>
      <c r="D2" s="2" t="s">
        <v>3</v>
      </c>
    </row>
    <row r="4" spans="1:4" x14ac:dyDescent="0.2">
      <c r="A4" s="2" t="s">
        <v>4</v>
      </c>
    </row>
    <row r="6" spans="1:4" x14ac:dyDescent="0.2">
      <c r="A6" s="154" t="s">
        <v>5</v>
      </c>
    </row>
    <row r="7" spans="1:4" x14ac:dyDescent="0.2">
      <c r="A7" t="s">
        <v>6</v>
      </c>
    </row>
    <row r="8" spans="1:4" x14ac:dyDescent="0.2">
      <c r="A8" t="s">
        <v>7</v>
      </c>
    </row>
    <row r="9" spans="1:4" x14ac:dyDescent="0.2">
      <c r="A9" s="154" t="s">
        <v>8</v>
      </c>
    </row>
    <row r="10" spans="1:4" x14ac:dyDescent="0.2">
      <c r="A10" s="154" t="s">
        <v>9</v>
      </c>
    </row>
    <row r="11" spans="1:4" x14ac:dyDescent="0.2">
      <c r="A11" s="154" t="s">
        <v>10</v>
      </c>
    </row>
    <row r="12" spans="1:4" x14ac:dyDescent="0.2">
      <c r="A12" s="154"/>
    </row>
    <row r="13" spans="1:4" x14ac:dyDescent="0.2">
      <c r="A13" s="2" t="s">
        <v>11</v>
      </c>
    </row>
    <row r="15" spans="1:4" x14ac:dyDescent="0.2">
      <c r="A15" s="154" t="s">
        <v>12</v>
      </c>
    </row>
    <row r="16" spans="1:4" x14ac:dyDescent="0.2">
      <c r="A16" s="154" t="s">
        <v>13</v>
      </c>
    </row>
    <row r="17" spans="1:1" x14ac:dyDescent="0.2">
      <c r="A17" t="s">
        <v>14</v>
      </c>
    </row>
    <row r="18" spans="1:1" x14ac:dyDescent="0.2">
      <c r="A18" s="154" t="s">
        <v>15</v>
      </c>
    </row>
    <row r="19" spans="1:1" x14ac:dyDescent="0.2">
      <c r="A19" t="s">
        <v>16</v>
      </c>
    </row>
    <row r="21" spans="1:1" x14ac:dyDescent="0.2">
      <c r="A21" s="2" t="s">
        <v>17</v>
      </c>
    </row>
    <row r="22" spans="1:1" x14ac:dyDescent="0.2">
      <c r="A22" s="150" t="s">
        <v>18</v>
      </c>
    </row>
    <row r="23" spans="1:1" x14ac:dyDescent="0.2">
      <c r="A23" s="150" t="s">
        <v>19</v>
      </c>
    </row>
    <row r="24" spans="1:1" x14ac:dyDescent="0.2">
      <c r="A24" s="150" t="s">
        <v>20</v>
      </c>
    </row>
    <row r="25" spans="1:1" x14ac:dyDescent="0.2">
      <c r="A25" s="150" t="s">
        <v>21</v>
      </c>
    </row>
    <row r="26" spans="1:1" x14ac:dyDescent="0.2">
      <c r="A26" s="150" t="s">
        <v>22</v>
      </c>
    </row>
    <row r="27" spans="1:1" x14ac:dyDescent="0.2">
      <c r="A27" s="150" t="s">
        <v>23</v>
      </c>
    </row>
    <row r="28" spans="1:1" x14ac:dyDescent="0.2">
      <c r="A28" s="150" t="s">
        <v>24</v>
      </c>
    </row>
    <row r="29" spans="1:1" x14ac:dyDescent="0.2">
      <c r="A29" s="150"/>
    </row>
    <row r="30" spans="1:1" x14ac:dyDescent="0.2">
      <c r="A30" s="150" t="s">
        <v>25</v>
      </c>
    </row>
    <row r="31" spans="1:1" x14ac:dyDescent="0.2">
      <c r="A31" s="150"/>
    </row>
    <row r="32" spans="1:1" x14ac:dyDescent="0.2">
      <c r="A32" s="154"/>
    </row>
    <row r="33" spans="1:1" x14ac:dyDescent="0.2">
      <c r="A33" s="2" t="s">
        <v>26</v>
      </c>
    </row>
    <row r="34" spans="1:1" x14ac:dyDescent="0.2">
      <c r="A34" s="154" t="s">
        <v>27</v>
      </c>
    </row>
    <row r="35" spans="1:1" x14ac:dyDescent="0.2">
      <c r="A35" s="154" t="s">
        <v>28</v>
      </c>
    </row>
    <row r="36" spans="1:1" x14ac:dyDescent="0.2">
      <c r="A36" s="154"/>
    </row>
    <row r="37" spans="1:1" x14ac:dyDescent="0.2">
      <c r="A37" s="154" t="s">
        <v>29</v>
      </c>
    </row>
    <row r="38" spans="1:1" x14ac:dyDescent="0.2">
      <c r="A38" s="154"/>
    </row>
    <row r="39" spans="1:1" x14ac:dyDescent="0.2">
      <c r="A39" s="154" t="s">
        <v>30</v>
      </c>
    </row>
    <row r="40" spans="1:1" x14ac:dyDescent="0.2">
      <c r="A40" s="154" t="s">
        <v>31</v>
      </c>
    </row>
    <row r="41" spans="1:1" x14ac:dyDescent="0.2">
      <c r="A41" s="154"/>
    </row>
    <row r="42" spans="1:1" x14ac:dyDescent="0.2">
      <c r="A42" s="154"/>
    </row>
    <row r="43" spans="1:1" x14ac:dyDescent="0.2">
      <c r="A43" s="154"/>
    </row>
    <row r="44" spans="1:1" x14ac:dyDescent="0.2">
      <c r="A44" s="154"/>
    </row>
    <row r="45" spans="1:1" x14ac:dyDescent="0.2">
      <c r="A45" s="154"/>
    </row>
    <row r="46" spans="1:1" x14ac:dyDescent="0.2">
      <c r="A46" s="154"/>
    </row>
    <row r="47" spans="1:1" ht="327" customHeight="1" x14ac:dyDescent="0.2">
      <c r="A47" s="154"/>
    </row>
    <row r="48" spans="1:1" x14ac:dyDescent="0.2">
      <c r="A48" s="154"/>
    </row>
    <row r="49" spans="1:7" x14ac:dyDescent="0.2">
      <c r="A49" s="154"/>
    </row>
    <row r="50" spans="1:7" x14ac:dyDescent="0.2">
      <c r="A50" s="154"/>
    </row>
    <row r="51" spans="1:7" x14ac:dyDescent="0.2">
      <c r="A51" s="154"/>
    </row>
    <row r="52" spans="1:7" x14ac:dyDescent="0.2">
      <c r="A52" s="154"/>
    </row>
    <row r="53" spans="1:7" x14ac:dyDescent="0.2">
      <c r="A53" s="154"/>
    </row>
    <row r="54" spans="1:7" x14ac:dyDescent="0.2">
      <c r="A54" s="154"/>
    </row>
    <row r="55" spans="1:7" x14ac:dyDescent="0.2">
      <c r="A55" s="154"/>
    </row>
    <row r="56" spans="1:7" x14ac:dyDescent="0.2">
      <c r="A56" s="154"/>
    </row>
    <row r="57" spans="1:7" x14ac:dyDescent="0.2">
      <c r="A57" s="154"/>
    </row>
    <row r="58" spans="1:7" x14ac:dyDescent="0.2">
      <c r="A58" s="154"/>
    </row>
    <row r="61" spans="1:7" ht="223.5" customHeight="1" x14ac:dyDescent="0.2">
      <c r="A61" s="2" t="s">
        <v>32</v>
      </c>
    </row>
    <row r="62" spans="1:7" ht="24" customHeight="1" x14ac:dyDescent="0.2">
      <c r="A62" s="2" t="s">
        <v>33</v>
      </c>
      <c r="B62" s="2"/>
      <c r="C62" s="2" t="s">
        <v>34</v>
      </c>
      <c r="D62" s="382" t="s">
        <v>35</v>
      </c>
      <c r="E62" s="382"/>
      <c r="F62" s="2" t="s">
        <v>36</v>
      </c>
      <c r="G62" s="122" t="s">
        <v>34</v>
      </c>
    </row>
    <row r="63" spans="1:7" ht="15" x14ac:dyDescent="0.2">
      <c r="A63" s="155" t="s">
        <v>37</v>
      </c>
      <c r="B63" s="149">
        <v>1</v>
      </c>
      <c r="C63" s="156" t="s">
        <v>38</v>
      </c>
      <c r="D63" s="149">
        <v>2660</v>
      </c>
      <c r="E63" s="157" t="s">
        <v>39</v>
      </c>
      <c r="F63" s="383">
        <f>(B63*D63)/1000</f>
        <v>2.66</v>
      </c>
      <c r="G63" s="154" t="s">
        <v>40</v>
      </c>
    </row>
    <row r="64" spans="1:7" ht="15" x14ac:dyDescent="0.2">
      <c r="A64" s="155" t="s">
        <v>41</v>
      </c>
      <c r="B64" s="149">
        <v>1</v>
      </c>
      <c r="C64" s="156" t="s">
        <v>38</v>
      </c>
      <c r="D64" s="149">
        <v>2339</v>
      </c>
      <c r="E64" s="157" t="s">
        <v>42</v>
      </c>
      <c r="F64" s="383">
        <f>B64*D64/1000</f>
        <v>2.339</v>
      </c>
      <c r="G64" s="154" t="s">
        <v>40</v>
      </c>
    </row>
    <row r="65" spans="1:7" ht="15" x14ac:dyDescent="0.2">
      <c r="A65" s="155" t="s">
        <v>43</v>
      </c>
      <c r="B65" s="149">
        <v>1</v>
      </c>
      <c r="C65" s="156" t="s">
        <v>38</v>
      </c>
      <c r="D65" s="149">
        <v>2184</v>
      </c>
      <c r="E65" s="157" t="s">
        <v>42</v>
      </c>
      <c r="F65" s="383">
        <f>B65*D65/1000</f>
        <v>2.1840000000000002</v>
      </c>
      <c r="G65" s="154" t="s">
        <v>40</v>
      </c>
    </row>
    <row r="66" spans="1:7" ht="15" x14ac:dyDescent="0.2">
      <c r="A66" s="151" t="s">
        <v>44</v>
      </c>
      <c r="B66" s="149">
        <v>1</v>
      </c>
      <c r="C66" s="156" t="s">
        <v>40</v>
      </c>
      <c r="D66" s="149">
        <v>750.6</v>
      </c>
      <c r="E66" s="157" t="s">
        <v>45</v>
      </c>
      <c r="F66" s="383">
        <f t="shared" ref="F66:F68" si="0">B66*D66/1000</f>
        <v>0.75060000000000004</v>
      </c>
      <c r="G66" s="154" t="s">
        <v>40</v>
      </c>
    </row>
    <row r="67" spans="1:7" ht="15" x14ac:dyDescent="0.2">
      <c r="A67" s="155" t="s">
        <v>46</v>
      </c>
      <c r="B67" s="149">
        <v>1</v>
      </c>
      <c r="C67" s="156" t="s">
        <v>47</v>
      </c>
      <c r="D67" s="149">
        <v>0</v>
      </c>
      <c r="E67" s="157" t="s">
        <v>45</v>
      </c>
      <c r="F67" s="383">
        <f t="shared" si="0"/>
        <v>0</v>
      </c>
      <c r="G67" s="154" t="s">
        <v>40</v>
      </c>
    </row>
    <row r="68" spans="1:7" x14ac:dyDescent="0.2">
      <c r="A68" s="155" t="s">
        <v>48</v>
      </c>
      <c r="B68" s="149">
        <v>1</v>
      </c>
      <c r="C68" s="156"/>
      <c r="D68" s="149">
        <v>0</v>
      </c>
      <c r="E68" s="149"/>
      <c r="F68" s="383">
        <f t="shared" si="0"/>
        <v>0</v>
      </c>
      <c r="G68" s="154" t="s">
        <v>40</v>
      </c>
    </row>
    <row r="69" spans="1:7" x14ac:dyDescent="0.2">
      <c r="A69" s="383"/>
      <c r="B69" s="383"/>
      <c r="C69" s="383"/>
      <c r="D69" s="383"/>
      <c r="E69" s="383"/>
      <c r="F69" s="383"/>
      <c r="G69" s="154"/>
    </row>
    <row r="71" spans="1:7" x14ac:dyDescent="0.2">
      <c r="A71" s="154" t="s">
        <v>49</v>
      </c>
    </row>
    <row r="72" spans="1:7" x14ac:dyDescent="0.2">
      <c r="B72" s="384" t="s">
        <v>50</v>
      </c>
    </row>
    <row r="73" spans="1:7" x14ac:dyDescent="0.2">
      <c r="B73" s="384" t="s">
        <v>51</v>
      </c>
    </row>
    <row r="74" spans="1:7" x14ac:dyDescent="0.2">
      <c r="B74" s="384" t="s">
        <v>52</v>
      </c>
    </row>
    <row r="75" spans="1:7" x14ac:dyDescent="0.2">
      <c r="B75" s="384" t="s">
        <v>53</v>
      </c>
    </row>
  </sheetData>
  <sheetProtection algorithmName="SHA-512" hashValue="FbqbXisSJXcDiKOLhnkCy4NiI1tjlX6ys+3HFWQ5G2VbB5lnHDDE/81a9rjgBLvCiGFtBRRsDQDUEFGQ/QWSmQ==" saltValue="kqgdXKI42ej9Dh4VZV4BjQ==" spinCount="100000" sheet="1" objects="1" scenarios="1" formatCells="0" formatColumns="0" formatRows="0"/>
  <phoneticPr fontId="7" type="noConversion"/>
  <hyperlinks>
    <hyperlink ref="B72" r:id="rId1" xr:uid="{00000000-0004-0000-0000-000000000000}"/>
    <hyperlink ref="B73" r:id="rId2" xr:uid="{00000000-0004-0000-0000-000001000000}"/>
    <hyperlink ref="B74" r:id="rId3" xr:uid="{00000000-0004-0000-0000-000002000000}"/>
    <hyperlink ref="B75" r:id="rId4" xr:uid="{00000000-0004-0000-0000-000003000000}"/>
    <hyperlink ref="A22" location="'Traktorin tuntihinta ketju 1'!A1" display="Traktorin tuntihinta ketju 1 - 4 = Voit laskea traktorin + halutessasi laskea ja kytkeä työkoneita kiinni traktoriveturiin" xr:uid="{4627B7A4-58D0-4371-A132-C359C3B364EB}"/>
    <hyperlink ref="A23" location="'Koneketjujen ketjutus'!A1" display="Koneketjujen ketjutus = Voit ketjuttaa edellä olevat ketjut yhteen halumallasi suhteilla ja laskea urakkahinnan." xr:uid="{E157D7A2-09D5-4E14-BB34-956A2A7D468E}"/>
    <hyperlink ref="A24" location="Puimuri!A1" display="Puimurin tuntihinta (tuntihinta ja ha-hinta)" xr:uid="{E3B2D213-2E86-4FBC-A703-9BB403FF9A0B}"/>
    <hyperlink ref="A25" location="'Viljan kuivurilaskuri 1'!A1" display="Viljan kuivuri 1 = Voit laskea viljan kuivauksen hinnan. Voit myös laskea kuivurin kokotarvetta yms." xr:uid="{110909AC-5B38-4E48-8103-1A1001DE54FA}"/>
    <hyperlink ref="A26" location="Kaivuri!A1" display="Kaivuri" xr:uid="{ED1D4069-12F5-49AC-A3BB-59BD40682AEE}"/>
    <hyperlink ref="A27" location="Auto!A1" display="Auto, Soveltuu henkilö- tai kuorma-autolle. Liitä mukaan peräkärry tai kuormain." xr:uid="{BFA47469-B8A4-47B8-8945-21DCD3EBF6F4}"/>
    <hyperlink ref="A28" location="'Traktorin tuntihinta ketju 4'!A1" display="Kurottaja" xr:uid="{6741DEFB-4E2A-46EE-B04F-C93286A4CD7C}"/>
    <hyperlink ref="A30" location="Ajoleikkuri!A1" display="Pienkoneita" xr:uid="{745C5C3B-4F34-4560-816B-0D591FD79CAD}"/>
  </hyperlinks>
  <pageMargins left="0.7" right="0.7" top="0.75" bottom="0.75" header="0.3" footer="0.3"/>
  <pageSetup paperSize="9" orientation="portrait" horizontalDpi="300" verticalDpi="300" r:id="rId5"/>
  <drawing r:id="rId6"/>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1247-127C-40F4-9828-1419D4D6F02B}">
  <sheetPr>
    <pageSetUpPr fitToPage="1"/>
  </sheetPr>
  <dimension ref="A1:AC50"/>
  <sheetViews>
    <sheetView zoomScale="85" zoomScaleNormal="85" workbookViewId="0">
      <selection activeCell="A22" sqref="A22"/>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10.28515625" style="4" customWidth="1"/>
    <col min="9" max="9" width="10.5703125" style="4" customWidth="1"/>
    <col min="10" max="10" width="15.28515625" style="4" customWidth="1"/>
    <col min="11" max="11" width="11" style="4" customWidth="1"/>
    <col min="12" max="12" width="6.28515625" style="4" customWidth="1"/>
    <col min="13" max="13" width="10.140625" style="4" customWidth="1"/>
    <col min="14" max="14" width="13.85546875" style="4" customWidth="1"/>
    <col min="15" max="15" width="12.42578125" style="4" customWidth="1"/>
    <col min="16" max="16" width="6.28515625" style="4" customWidth="1"/>
    <col min="17" max="17" width="9.140625" style="4" customWidth="1"/>
    <col min="18" max="18" width="13.85546875" style="4" customWidth="1"/>
    <col min="19" max="19" width="11" style="4"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7" t="s">
        <v>210</v>
      </c>
      <c r="F1" s="917"/>
      <c r="G1" s="917"/>
      <c r="H1" s="918" t="s">
        <v>81</v>
      </c>
      <c r="I1" s="918"/>
      <c r="J1" s="918"/>
      <c r="L1" s="918" t="str">
        <f>H1</f>
        <v>Kytke traktoriin: K/E</v>
      </c>
      <c r="M1" s="918"/>
      <c r="N1" s="918"/>
      <c r="P1" s="918" t="str">
        <f>L1</f>
        <v>Kytke traktoriin: K/E</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452</v>
      </c>
      <c r="B2" s="912"/>
      <c r="C2" s="4" t="s">
        <v>90</v>
      </c>
      <c r="D2" s="70" t="s">
        <v>69</v>
      </c>
      <c r="E2" s="913" t="s">
        <v>60</v>
      </c>
      <c r="F2" s="914"/>
      <c r="G2" s="71"/>
      <c r="H2" s="72"/>
      <c r="I2" s="913" t="s">
        <v>62</v>
      </c>
      <c r="J2" s="914"/>
      <c r="K2" s="71"/>
      <c r="L2" s="72"/>
      <c r="M2" s="913" t="s">
        <v>62</v>
      </c>
      <c r="N2" s="914"/>
      <c r="O2" s="71"/>
      <c r="P2" s="72"/>
      <c r="Q2" s="913" t="s">
        <v>62</v>
      </c>
      <c r="R2" s="914"/>
      <c r="S2" s="71"/>
    </row>
    <row r="3" spans="1:29" ht="13.5" thickBot="1" x14ac:dyDescent="0.25">
      <c r="C3" s="10" t="s">
        <v>91</v>
      </c>
      <c r="E3" s="921" t="s">
        <v>453</v>
      </c>
      <c r="F3" s="1099"/>
      <c r="G3" s="73"/>
      <c r="H3" s="74"/>
      <c r="I3" s="915" t="s">
        <v>92</v>
      </c>
      <c r="J3" s="916"/>
      <c r="K3" s="73"/>
      <c r="L3" s="74"/>
      <c r="M3" s="915" t="s">
        <v>93</v>
      </c>
      <c r="N3" s="916"/>
      <c r="O3" s="73"/>
      <c r="P3" s="74"/>
      <c r="Q3" s="915" t="s">
        <v>94</v>
      </c>
      <c r="R3" s="916"/>
      <c r="S3" s="73"/>
      <c r="T3" s="6" t="str">
        <f>"Kytketty koneet: "&amp;IF(E2="k",E3&amp;" ","")&amp;IF(I2="k",I3&amp;" ","")&amp;IF(M2="k",M3&amp;" ","")&amp;(IF(Q2="k",Q3&amp;" ",""))</f>
        <v xml:space="preserve">Kytketty koneet: Ponsse 2 </v>
      </c>
    </row>
    <row r="4" spans="1:29" ht="13.5" thickBot="1" x14ac:dyDescent="0.25">
      <c r="A4" s="4" t="s">
        <v>95</v>
      </c>
      <c r="E4" s="4" t="s">
        <v>96</v>
      </c>
      <c r="F4" s="796">
        <v>5</v>
      </c>
      <c r="G4" s="73"/>
      <c r="I4" s="4" t="s">
        <v>96</v>
      </c>
      <c r="J4" s="797">
        <v>1</v>
      </c>
      <c r="K4" s="73"/>
      <c r="M4" s="4" t="s">
        <v>96</v>
      </c>
      <c r="N4" s="797">
        <v>1</v>
      </c>
      <c r="O4" s="73"/>
      <c r="Q4" s="4" t="s">
        <v>96</v>
      </c>
      <c r="R4" s="797">
        <v>1</v>
      </c>
      <c r="S4" s="73"/>
      <c r="T4" s="160" t="s">
        <v>97</v>
      </c>
    </row>
    <row r="5" spans="1:29" ht="13.5" thickBot="1" x14ac:dyDescent="0.25">
      <c r="A5" s="4" t="s">
        <v>98</v>
      </c>
      <c r="E5" s="4" t="s">
        <v>99</v>
      </c>
      <c r="F5" s="392">
        <v>1200</v>
      </c>
      <c r="G5" s="73"/>
      <c r="I5" s="4" t="s">
        <v>99</v>
      </c>
      <c r="J5" s="640">
        <v>1</v>
      </c>
      <c r="K5" s="73"/>
      <c r="M5" s="4" t="s">
        <v>99</v>
      </c>
      <c r="N5" s="640">
        <v>1</v>
      </c>
      <c r="O5" s="73"/>
      <c r="Q5" s="4" t="s">
        <v>99</v>
      </c>
      <c r="R5" s="640">
        <v>1</v>
      </c>
      <c r="S5" s="73"/>
      <c r="T5" s="641">
        <f>IF($E$2="k",(F5),0)+IF($I$2="k",(J5),0)+IF($M$2="k",(N5),0)+IF($Q$2="k",(R5),0)</f>
        <v>1200</v>
      </c>
    </row>
    <row r="6" spans="1:29" ht="13.5" thickBot="1" x14ac:dyDescent="0.25">
      <c r="A6" s="160" t="s">
        <v>544</v>
      </c>
      <c r="E6" s="795">
        <v>0.9</v>
      </c>
      <c r="F6" s="794">
        <f>E6*F5</f>
        <v>1080</v>
      </c>
      <c r="G6" s="793"/>
      <c r="I6" s="795">
        <f>E6</f>
        <v>0.9</v>
      </c>
      <c r="J6" s="794">
        <f>I6*J5</f>
        <v>0.9</v>
      </c>
      <c r="K6" s="73"/>
      <c r="M6" s="795">
        <f>I6</f>
        <v>0.9</v>
      </c>
      <c r="N6" s="794">
        <f>M6*N5</f>
        <v>0.9</v>
      </c>
      <c r="O6" s="73"/>
      <c r="Q6" s="795">
        <f>M6</f>
        <v>0.9</v>
      </c>
      <c r="R6" s="794">
        <f>Q6*R5</f>
        <v>0.9</v>
      </c>
      <c r="S6" s="73"/>
      <c r="T6" s="641">
        <f>IF($E$2="k",(F6),0)+IF($I$2="k",(J6),0)+IF($M$2="k",(N6),0)+IF($Q$2="k",(R6),0)</f>
        <v>1080</v>
      </c>
    </row>
    <row r="7" spans="1:29" x14ac:dyDescent="0.2">
      <c r="A7" s="4" t="s">
        <v>100</v>
      </c>
      <c r="F7" s="389">
        <v>100000</v>
      </c>
      <c r="G7" s="73"/>
      <c r="J7" s="77">
        <v>0</v>
      </c>
      <c r="K7" s="73"/>
      <c r="N7" s="77">
        <v>0</v>
      </c>
      <c r="O7" s="73"/>
      <c r="R7" s="77">
        <v>0</v>
      </c>
      <c r="S7" s="73"/>
    </row>
    <row r="8" spans="1:29" x14ac:dyDescent="0.2">
      <c r="A8" s="4" t="s">
        <v>101</v>
      </c>
      <c r="E8" s="596">
        <v>0.255</v>
      </c>
      <c r="F8" s="222">
        <f>F7/(100%+E8)*E8</f>
        <v>20318.725099601594</v>
      </c>
      <c r="G8" s="79"/>
      <c r="H8" s="7"/>
      <c r="I8" s="596">
        <v>0</v>
      </c>
      <c r="J8" s="222">
        <f>J7/(100%+I8)*I8</f>
        <v>0</v>
      </c>
      <c r="K8" s="79"/>
      <c r="L8" s="7"/>
      <c r="M8" s="596">
        <v>0</v>
      </c>
      <c r="N8" s="222">
        <f>N7/(100%+M8)*M8</f>
        <v>0</v>
      </c>
      <c r="O8" s="79"/>
      <c r="P8" s="7"/>
      <c r="Q8" s="596">
        <v>0</v>
      </c>
      <c r="R8" s="222">
        <f>R7/(100%+Q8)*Q8</f>
        <v>0</v>
      </c>
      <c r="S8" s="79"/>
    </row>
    <row r="9" spans="1:29" x14ac:dyDescent="0.2">
      <c r="A9" s="4" t="s">
        <v>102</v>
      </c>
      <c r="F9" s="80">
        <f>F7-F8</f>
        <v>79681.274900398406</v>
      </c>
      <c r="G9" s="73"/>
      <c r="J9" s="80">
        <f>J7-J8</f>
        <v>0</v>
      </c>
      <c r="K9" s="73"/>
      <c r="N9" s="80">
        <f>N7-N8</f>
        <v>0</v>
      </c>
      <c r="O9" s="73"/>
      <c r="R9" s="80">
        <f>R7-R8</f>
        <v>0</v>
      </c>
      <c r="S9" s="73"/>
    </row>
    <row r="10" spans="1:29" x14ac:dyDescent="0.2">
      <c r="A10" s="4" t="s">
        <v>103</v>
      </c>
      <c r="E10" s="225">
        <v>0.35</v>
      </c>
      <c r="F10" s="222">
        <f>E10*F9</f>
        <v>27888.44621513944</v>
      </c>
      <c r="G10" s="73"/>
      <c r="I10" s="225">
        <v>0</v>
      </c>
      <c r="J10" s="222">
        <f>I10*J9</f>
        <v>0</v>
      </c>
      <c r="K10" s="73"/>
      <c r="M10" s="225">
        <v>0</v>
      </c>
      <c r="N10" s="222">
        <f>M10*N9</f>
        <v>0</v>
      </c>
      <c r="O10" s="73"/>
      <c r="Q10" s="225">
        <v>0</v>
      </c>
      <c r="R10" s="222">
        <f>Q10*R9</f>
        <v>0</v>
      </c>
      <c r="S10" s="73"/>
    </row>
    <row r="11" spans="1:29" x14ac:dyDescent="0.2">
      <c r="A11" s="4" t="s">
        <v>104</v>
      </c>
      <c r="F11" s="81">
        <f>F9-F10</f>
        <v>51792.828685258966</v>
      </c>
      <c r="G11" s="73"/>
      <c r="J11" s="81">
        <f>J9-J10</f>
        <v>0</v>
      </c>
      <c r="K11" s="73"/>
      <c r="N11" s="81">
        <f>N9-N10</f>
        <v>0</v>
      </c>
      <c r="O11" s="73"/>
      <c r="R11" s="81">
        <f>R9-R10</f>
        <v>0</v>
      </c>
      <c r="S11" s="73"/>
    </row>
    <row r="12" spans="1:29" ht="13.5" thickBot="1" x14ac:dyDescent="0.25">
      <c r="A12" s="24" t="s">
        <v>105</v>
      </c>
      <c r="F12" s="82"/>
      <c r="G12" s="73"/>
      <c r="J12" s="82"/>
      <c r="K12" s="73"/>
      <c r="N12" s="82"/>
      <c r="O12" s="73"/>
      <c r="R12" s="82"/>
      <c r="S12" s="73"/>
      <c r="T12" s="6" t="s">
        <v>106</v>
      </c>
    </row>
    <row r="13" spans="1:29" x14ac:dyDescent="0.2">
      <c r="A13" s="9"/>
      <c r="B13" s="25" t="s">
        <v>107</v>
      </c>
      <c r="C13" s="26"/>
      <c r="D13" s="27" t="s">
        <v>108</v>
      </c>
      <c r="E13" s="226">
        <v>0.05</v>
      </c>
      <c r="F13" s="222">
        <f>IF(E2="k",IF(D2="A",ABS(PMT(E13,F4,-F9,E10*F9,0)),SUM(F14:F15)),0)</f>
        <v>12350.597609561753</v>
      </c>
      <c r="G13" s="73"/>
      <c r="I13" s="226">
        <v>0.05</v>
      </c>
      <c r="J13" s="222">
        <f>IF(I2="k",IF($D$2="A",ABS(PMT(I13,J4,-J9,I10*J9,0)),SUM(J14:J15)),0)</f>
        <v>0</v>
      </c>
      <c r="K13" s="73"/>
      <c r="M13" s="226">
        <v>0.05</v>
      </c>
      <c r="N13" s="222">
        <f>IF(M2="k",IF($D$2="A",ABS(PMT(M13,N4,-N9,M10*N9,0)),SUM(N14:N15)),0)</f>
        <v>0</v>
      </c>
      <c r="O13" s="73"/>
      <c r="Q13" s="226">
        <v>0.05</v>
      </c>
      <c r="R13" s="222">
        <f>IF(Q2="k",IF($D$2="A",ABS(PMT(Q13,R4,-R9,Q10*R9,0)),SUM(R14:R15)),0)</f>
        <v>0</v>
      </c>
      <c r="S13" s="73"/>
      <c r="T13" s="36">
        <f>SUM(F13,J13,N13,R13)</f>
        <v>12350.597609561753</v>
      </c>
    </row>
    <row r="14" spans="1:29" x14ac:dyDescent="0.2">
      <c r="B14" s="30" t="s">
        <v>109</v>
      </c>
      <c r="F14" s="84">
        <f>IF(E2="k",IF(D2="A",E13*F9,F9/2*E13),0)</f>
        <v>1992.0318725099603</v>
      </c>
      <c r="G14" s="85"/>
      <c r="H14" s="10"/>
      <c r="J14" s="84">
        <f>IF(I2="k",IF($D$2="A",I13*J9,J9/2*I13),0)</f>
        <v>0</v>
      </c>
      <c r="K14" s="85"/>
      <c r="L14" s="10"/>
      <c r="N14" s="84">
        <f>IF(M2="k",IF($D$2="A",M13*N9,N9/2*M13),0)</f>
        <v>0</v>
      </c>
      <c r="O14" s="85"/>
      <c r="P14" s="10"/>
      <c r="R14" s="84">
        <f>IF(Q2="k",IF($D$2="A",Q13*R9,R9/2*Q13),0)</f>
        <v>0</v>
      </c>
      <c r="S14" s="85"/>
      <c r="T14" s="36">
        <f t="shared" ref="T14:T38" si="0">SUM(F14,J14,N14,R14)</f>
        <v>1992.0318725099603</v>
      </c>
    </row>
    <row r="15" spans="1:29" ht="13.5" thickBot="1" x14ac:dyDescent="0.25">
      <c r="B15" s="32" t="s">
        <v>110</v>
      </c>
      <c r="C15" s="33"/>
      <c r="D15" s="33"/>
      <c r="E15" s="33"/>
      <c r="F15" s="86">
        <f>IF(E2="k",IF(D2="A",F13-F14,F11/F4),0)</f>
        <v>10358.565737051793</v>
      </c>
      <c r="G15" s="73"/>
      <c r="J15" s="86">
        <f>IF(I2="k",IF($D$2="A",J13-J14,J11/J4),0)</f>
        <v>0</v>
      </c>
      <c r="K15" s="73"/>
      <c r="N15" s="86">
        <f>IF(M2="k",IF($D$2="A",N13-N14,N11/N4),0)</f>
        <v>0</v>
      </c>
      <c r="O15" s="73"/>
      <c r="R15" s="86">
        <f>IF(Q2="k",IF($D$2="A",R13-R14,R11/R4),0)</f>
        <v>0</v>
      </c>
      <c r="S15" s="73"/>
      <c r="T15" s="36">
        <f t="shared" si="0"/>
        <v>10358.565737051793</v>
      </c>
    </row>
    <row r="16" spans="1:29" ht="18" customHeight="1" x14ac:dyDescent="0.2">
      <c r="B16" s="35"/>
      <c r="F16" s="86"/>
      <c r="G16" s="73"/>
      <c r="J16" s="86"/>
      <c r="K16" s="73"/>
      <c r="N16" s="86"/>
      <c r="O16" s="73"/>
      <c r="R16" s="86"/>
      <c r="S16" s="73"/>
    </row>
    <row r="17" spans="1:29" x14ac:dyDescent="0.2">
      <c r="B17" s="35" t="s">
        <v>405</v>
      </c>
      <c r="C17" s="37"/>
      <c r="D17" s="37"/>
      <c r="E17" s="87"/>
      <c r="F17" s="88">
        <v>100</v>
      </c>
      <c r="G17" s="85"/>
      <c r="H17" s="10"/>
      <c r="I17" s="44"/>
      <c r="J17" s="77">
        <v>0</v>
      </c>
      <c r="K17" s="85"/>
      <c r="L17" s="10"/>
      <c r="M17" s="44"/>
      <c r="N17" s="77">
        <v>0</v>
      </c>
      <c r="O17" s="85"/>
      <c r="P17" s="10"/>
      <c r="Q17" s="44"/>
      <c r="R17" s="77">
        <v>0</v>
      </c>
      <c r="S17" s="85"/>
      <c r="T17" s="8">
        <f>IF($E$2="k",F17)+IF($I$2="k",J17)+IF($M$2="k",N17)+IF($Q$2="k",R17)</f>
        <v>100</v>
      </c>
    </row>
    <row r="18" spans="1:29" x14ac:dyDescent="0.2">
      <c r="B18" s="40" t="s">
        <v>112</v>
      </c>
      <c r="C18" s="41"/>
      <c r="D18" s="42"/>
      <c r="E18" s="89"/>
      <c r="F18" s="88">
        <v>1000</v>
      </c>
      <c r="G18" s="85"/>
      <c r="H18" s="10"/>
      <c r="J18" s="77">
        <v>0</v>
      </c>
      <c r="K18" s="85"/>
      <c r="L18" s="10"/>
      <c r="N18" s="77">
        <v>0</v>
      </c>
      <c r="O18" s="85"/>
      <c r="P18" s="10"/>
      <c r="R18" s="77">
        <v>0</v>
      </c>
      <c r="S18" s="85"/>
      <c r="T18" s="8">
        <f>IF($E$2="k",F18)+IF($I$2="k",J18)+IF($M$2="k",N18)+IF($Q$2="k",R18)</f>
        <v>1000</v>
      </c>
    </row>
    <row r="19" spans="1:29" x14ac:dyDescent="0.2">
      <c r="B19" s="986" t="s">
        <v>543</v>
      </c>
      <c r="C19" s="986"/>
      <c r="D19" s="986"/>
      <c r="F19" s="77">
        <v>20000</v>
      </c>
      <c r="G19" s="85"/>
      <c r="H19" s="10"/>
      <c r="J19" s="77"/>
      <c r="K19" s="85"/>
      <c r="L19" s="10"/>
      <c r="N19" s="77"/>
      <c r="O19" s="85"/>
      <c r="P19" s="10"/>
      <c r="R19" s="77"/>
      <c r="S19" s="85"/>
      <c r="T19" s="8">
        <f>IF($E$2="k",F19)+IF($I$2="k",J19)+IF($M$2="k",N19)+IF($Q$2="k",R19)</f>
        <v>20000</v>
      </c>
    </row>
    <row r="20" spans="1:29" x14ac:dyDescent="0.2">
      <c r="B20" s="11"/>
      <c r="C20" s="45"/>
      <c r="D20" s="10"/>
      <c r="E20" s="10"/>
      <c r="F20" s="90"/>
      <c r="G20" s="85"/>
      <c r="H20" s="10"/>
      <c r="I20" s="10"/>
      <c r="J20" s="90"/>
      <c r="K20" s="85"/>
      <c r="L20" s="10"/>
      <c r="M20" s="10"/>
      <c r="N20" s="90"/>
      <c r="O20" s="85"/>
      <c r="P20" s="10"/>
      <c r="Q20" s="10"/>
      <c r="R20" s="90"/>
      <c r="S20" s="85"/>
    </row>
    <row r="21" spans="1:29" x14ac:dyDescent="0.2">
      <c r="B21" s="35" t="s">
        <v>114</v>
      </c>
      <c r="C21" s="10"/>
      <c r="D21" s="10"/>
      <c r="E21" s="226">
        <v>3.0000000000000001E-3</v>
      </c>
      <c r="F21" s="290">
        <f>IF(E2="k",E21*F9,0)</f>
        <v>239.04382470119523</v>
      </c>
      <c r="G21" s="85"/>
      <c r="H21" s="10"/>
      <c r="I21" s="226">
        <v>3.0000000000000001E-3</v>
      </c>
      <c r="J21" s="290">
        <f>IF(I2="k",I21*J9,0)</f>
        <v>0</v>
      </c>
      <c r="K21" s="85"/>
      <c r="L21" s="10"/>
      <c r="M21" s="226">
        <v>3.0000000000000001E-3</v>
      </c>
      <c r="N21" s="290">
        <f>IF(M2="k",M21*N9,0)</f>
        <v>0</v>
      </c>
      <c r="O21" s="85"/>
      <c r="P21" s="10"/>
      <c r="Q21" s="226">
        <v>3.0000000000000001E-3</v>
      </c>
      <c r="R21" s="19">
        <f>IF(Q2="k",Q21*R9,0)</f>
        <v>0</v>
      </c>
      <c r="S21" s="85"/>
      <c r="T21" s="36">
        <f t="shared" si="0"/>
        <v>239.04382470119523</v>
      </c>
    </row>
    <row r="22" spans="1:29" ht="13.5" thickBot="1" x14ac:dyDescent="0.25">
      <c r="B22" s="50" t="s">
        <v>115</v>
      </c>
      <c r="C22" s="51"/>
      <c r="D22" s="51"/>
      <c r="E22" s="52"/>
      <c r="F22" s="91">
        <f>IF(E2="k",SUM(F14:F21),0)</f>
        <v>33689.641434262943</v>
      </c>
      <c r="G22" s="92">
        <f>F22/F6</f>
        <v>31.194112439132354</v>
      </c>
      <c r="H22" s="54"/>
      <c r="J22" s="91">
        <f>IF(I2="k",SUM(J14:J21),0)</f>
        <v>0</v>
      </c>
      <c r="K22" s="92">
        <f>J22/J6</f>
        <v>0</v>
      </c>
      <c r="L22" s="54"/>
      <c r="N22" s="91">
        <f>IF(M2="k",SUM(N14:N21),0)</f>
        <v>0</v>
      </c>
      <c r="O22" s="92">
        <f>N22/N6</f>
        <v>0</v>
      </c>
      <c r="P22" s="54"/>
      <c r="R22" s="93">
        <f>IF(Q2="k",SUM(R14:R21),0)</f>
        <v>0</v>
      </c>
      <c r="S22" s="92">
        <f>R22/R6</f>
        <v>0</v>
      </c>
      <c r="T22" s="94">
        <f t="shared" si="0"/>
        <v>33689.641434262943</v>
      </c>
      <c r="U22" s="95">
        <f>SUM(G22,K22,O22,S22)</f>
        <v>31.194112439132354</v>
      </c>
      <c r="W22" s="94"/>
      <c r="X22" s="94"/>
    </row>
    <row r="23" spans="1:29" x14ac:dyDescent="0.2">
      <c r="A23" s="24" t="s">
        <v>116</v>
      </c>
      <c r="B23" s="6"/>
      <c r="F23" s="96"/>
      <c r="G23" s="97"/>
      <c r="H23" s="55"/>
      <c r="J23" s="98"/>
      <c r="K23" s="97"/>
      <c r="L23" s="55"/>
      <c r="N23" s="98"/>
      <c r="O23" s="97"/>
      <c r="P23" s="55"/>
      <c r="R23" s="98"/>
      <c r="S23" s="97"/>
    </row>
    <row r="24" spans="1:29" x14ac:dyDescent="0.2">
      <c r="B24" s="11" t="s">
        <v>117</v>
      </c>
      <c r="C24" s="22"/>
      <c r="D24" s="10"/>
      <c r="F24" s="77">
        <v>3000</v>
      </c>
      <c r="G24" s="99"/>
      <c r="H24" s="47"/>
      <c r="J24" s="77">
        <v>0</v>
      </c>
      <c r="K24" s="99"/>
      <c r="L24" s="47"/>
      <c r="N24" s="77">
        <v>0</v>
      </c>
      <c r="O24" s="99"/>
      <c r="P24" s="47"/>
      <c r="R24" s="77">
        <v>0</v>
      </c>
      <c r="S24" s="99"/>
      <c r="T24" s="8">
        <f>IF($E$2="k",F24)+IF($I$2="k",J24)+IF($M$2="k",N24)+IF($Q$2="k",R24)</f>
        <v>3000</v>
      </c>
    </row>
    <row r="25" spans="1:29" ht="15.75" x14ac:dyDescent="0.2">
      <c r="B25" s="11" t="s">
        <v>118</v>
      </c>
      <c r="C25" s="196">
        <v>15</v>
      </c>
      <c r="D25" s="197">
        <v>1.1000000000000001</v>
      </c>
      <c r="E25" s="289"/>
      <c r="F25" s="100">
        <f>IF(E2="k",C25*D25*F5,0)</f>
        <v>19800</v>
      </c>
      <c r="G25" s="101"/>
      <c r="H25" s="196">
        <v>3</v>
      </c>
      <c r="I25" s="102">
        <f>$D$25</f>
        <v>1.1000000000000001</v>
      </c>
      <c r="J25" s="100">
        <f>IF(I2="k",H25*I25*J5,0)</f>
        <v>0</v>
      </c>
      <c r="K25" s="101"/>
      <c r="L25" s="196">
        <f>H25</f>
        <v>3</v>
      </c>
      <c r="M25" s="102">
        <f>$D$25</f>
        <v>1.1000000000000001</v>
      </c>
      <c r="N25" s="100">
        <f>IF(M2="k",L25*M25*N5,0)</f>
        <v>0</v>
      </c>
      <c r="O25" s="101"/>
      <c r="P25" s="196">
        <v>50</v>
      </c>
      <c r="Q25" s="102">
        <f>$D$25</f>
        <v>1.1000000000000001</v>
      </c>
      <c r="R25" s="100">
        <f>IF(Q2="k",P25*Q25*R5,0)</f>
        <v>0</v>
      </c>
      <c r="S25" s="101"/>
      <c r="T25" s="36">
        <f t="shared" si="0"/>
        <v>19800</v>
      </c>
      <c r="V25" s="165" t="s">
        <v>37</v>
      </c>
      <c r="W25" s="642">
        <f>IF($E$2="k",(C25*F5),0)+IF($I$2="k",(H25*J5),0)+IF($M$2="k",(L25*N5),0)+IF($Q$2="k",(P25*R5),0)</f>
        <v>18000</v>
      </c>
      <c r="X25" s="642">
        <f>W25/159</f>
        <v>113.20754716981132</v>
      </c>
      <c r="Y25" s="161">
        <f>VLOOKUP(V25,Ohjeet!A63:F68,6,FALSE)</f>
        <v>2.66</v>
      </c>
      <c r="Z25" s="163">
        <f>W25*Y25</f>
        <v>47880</v>
      </c>
      <c r="AA25" s="164">
        <f>Z25/1000</f>
        <v>47.88</v>
      </c>
      <c r="AB25" s="162">
        <f>Z25*0.27</f>
        <v>12927.6</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39.9</v>
      </c>
    </row>
    <row r="27" spans="1:29" x14ac:dyDescent="0.2">
      <c r="B27" s="195" t="s">
        <v>124</v>
      </c>
      <c r="C27" s="393">
        <v>7.0000000000000007E-2</v>
      </c>
      <c r="D27" s="643">
        <f>C25*F5*C27</f>
        <v>1260.0000000000002</v>
      </c>
      <c r="E27" s="644">
        <v>1</v>
      </c>
      <c r="F27" s="397">
        <f>IF(E2="K",IF(G27&gt;0,G27,D27*E27),0)</f>
        <v>1260.0000000000002</v>
      </c>
      <c r="G27" s="645">
        <v>0</v>
      </c>
      <c r="H27" s="411"/>
      <c r="I27" s="400">
        <f>H25*$C$27</f>
        <v>0.21000000000000002</v>
      </c>
      <c r="J27" s="397">
        <f>IF(I2="K",IF(K27&gt;0,K27,I27*$E$27),0)</f>
        <v>0</v>
      </c>
      <c r="K27" s="646">
        <v>0</v>
      </c>
      <c r="L27" s="411"/>
      <c r="M27" s="400">
        <f>L25*$C$27</f>
        <v>0.21000000000000002</v>
      </c>
      <c r="N27" s="397">
        <f>IF(M2="K",IF(O27&gt;0,O27,M27*$E$27),0)</f>
        <v>0</v>
      </c>
      <c r="O27" s="646">
        <v>0</v>
      </c>
      <c r="P27" s="411"/>
      <c r="Q27" s="400">
        <f>P25*$C$27</f>
        <v>3.5000000000000004</v>
      </c>
      <c r="R27" s="397">
        <f>IF(Q2="K",IF(S27&gt;0,S27,Q27*$E$27),0)</f>
        <v>0</v>
      </c>
      <c r="S27" s="646">
        <v>0</v>
      </c>
      <c r="T27" s="8">
        <f>IF($E$2="k",F27)+IF($I$2="k",J27)+IF($M$2="k",N27)+IF($Q$2="k",R27)</f>
        <v>1260.0000000000002</v>
      </c>
    </row>
    <row r="28" spans="1:29" x14ac:dyDescent="0.2">
      <c r="B28" s="396" t="s">
        <v>125</v>
      </c>
      <c r="C28" s="919" t="s">
        <v>431</v>
      </c>
      <c r="D28" s="920"/>
      <c r="E28" s="920"/>
      <c r="F28" s="77">
        <v>7500</v>
      </c>
      <c r="G28" s="39"/>
      <c r="H28" s="411"/>
      <c r="I28" s="412" t="str">
        <f>$B$28</f>
        <v>Muut:</v>
      </c>
      <c r="J28" s="77"/>
      <c r="K28" s="101"/>
      <c r="L28" s="411"/>
      <c r="M28" s="412" t="str">
        <f>$B$28</f>
        <v>Muut:</v>
      </c>
      <c r="N28" s="77">
        <v>1</v>
      </c>
      <c r="O28" s="101"/>
      <c r="P28" s="411"/>
      <c r="Q28" s="412" t="str">
        <f>$B$28</f>
        <v>Muut:</v>
      </c>
      <c r="R28" s="77">
        <v>1</v>
      </c>
      <c r="S28" s="101"/>
      <c r="T28" s="8">
        <f>IF($E$2="k",F28)+IF($I$2="k",J28)+IF($M$2="k",N28)+IF($Q$2="k",R28)</f>
        <v>7500</v>
      </c>
    </row>
    <row r="29" spans="1:29" ht="13.5" thickBot="1" x14ac:dyDescent="0.25">
      <c r="B29" s="396" t="s">
        <v>125</v>
      </c>
      <c r="C29" s="919"/>
      <c r="D29" s="920"/>
      <c r="E29" s="920"/>
      <c r="F29" s="77"/>
      <c r="G29" s="39"/>
      <c r="H29" s="411"/>
      <c r="I29" s="412" t="str">
        <f>$B$29</f>
        <v>Muut:</v>
      </c>
      <c r="J29" s="77"/>
      <c r="K29" s="101"/>
      <c r="L29" s="411"/>
      <c r="M29" s="412" t="str">
        <f>$B$29</f>
        <v>Muut:</v>
      </c>
      <c r="N29" s="77">
        <v>1</v>
      </c>
      <c r="O29" s="101"/>
      <c r="P29" s="411"/>
      <c r="Q29" s="412" t="str">
        <f>$B$29</f>
        <v>Muut:</v>
      </c>
      <c r="R29" s="77">
        <v>1</v>
      </c>
      <c r="S29" s="101"/>
      <c r="T29" s="8">
        <f>IF($E$2="k",F29)+IF($I$2="k",J29)+IF($M$2="k",N29)+IF($Q$2="k",R29)</f>
        <v>0</v>
      </c>
    </row>
    <row r="30" spans="1:29" ht="13.5" thickBot="1" x14ac:dyDescent="0.25">
      <c r="B30" s="60" t="s">
        <v>127</v>
      </c>
      <c r="C30" s="51"/>
      <c r="D30" s="51"/>
      <c r="E30" s="51"/>
      <c r="F30" s="55">
        <f>IF(E2="k",SUM(F24:F29),0)</f>
        <v>31560</v>
      </c>
      <c r="G30" s="103">
        <f>F30/F6</f>
        <v>29.222222222222221</v>
      </c>
      <c r="H30" s="104"/>
      <c r="J30" s="55">
        <f>IF(I2="k",SUM(J24:J29),0)</f>
        <v>0</v>
      </c>
      <c r="K30" s="103">
        <f>J30/J6</f>
        <v>0</v>
      </c>
      <c r="L30" s="104"/>
      <c r="N30" s="55">
        <f>IF(M2="k",SUM(N24:N29),0)</f>
        <v>0</v>
      </c>
      <c r="O30" s="103">
        <f>N30/N6</f>
        <v>0</v>
      </c>
      <c r="P30" s="104"/>
      <c r="R30" s="55">
        <f>IF(Q2="k",SUM(R24:R29),0)</f>
        <v>0</v>
      </c>
      <c r="S30" s="103">
        <f>R30/R6</f>
        <v>0</v>
      </c>
      <c r="T30" s="94">
        <f t="shared" si="0"/>
        <v>31560</v>
      </c>
      <c r="U30" s="105">
        <f>SUM(G30,K30,O30,S30)</f>
        <v>29.222222222222221</v>
      </c>
    </row>
    <row r="31" spans="1:29" ht="13.5" thickBot="1" x14ac:dyDescent="0.25">
      <c r="A31" s="6" t="s">
        <v>128</v>
      </c>
      <c r="F31" s="106">
        <f>F22+F30</f>
        <v>65249.641434262943</v>
      </c>
      <c r="G31" s="107"/>
      <c r="H31" s="12"/>
      <c r="J31" s="55">
        <f>IF(I2="k",J22+J30,0)</f>
        <v>0</v>
      </c>
      <c r="K31" s="107"/>
      <c r="L31" s="12"/>
      <c r="N31" s="55">
        <f>IF(M2="k",N22+N30,0)</f>
        <v>0</v>
      </c>
      <c r="O31" s="107"/>
      <c r="P31" s="12"/>
      <c r="R31" s="55">
        <f>IF(Q2="k",R22+R30,0)</f>
        <v>0</v>
      </c>
      <c r="S31" s="107"/>
      <c r="T31" s="94">
        <f t="shared" si="0"/>
        <v>65249.641434262943</v>
      </c>
    </row>
    <row r="32" spans="1:29" ht="13.5" thickBot="1" x14ac:dyDescent="0.25">
      <c r="F32" s="7"/>
      <c r="G32" s="73"/>
      <c r="J32" s="7"/>
      <c r="K32" s="73"/>
      <c r="N32" s="7"/>
      <c r="O32" s="73"/>
      <c r="R32" s="7"/>
      <c r="S32" s="73"/>
    </row>
    <row r="33" spans="1:20" ht="13.5" thickBot="1" x14ac:dyDescent="0.25">
      <c r="A33" s="6" t="s">
        <v>129</v>
      </c>
      <c r="F33" s="235">
        <f>IF(E2="k",F31/F6,)</f>
        <v>60.416334661354576</v>
      </c>
      <c r="G33" s="107"/>
      <c r="H33" s="12"/>
      <c r="J33" s="235">
        <f>IF(I2="k",J31/J6,0)</f>
        <v>0</v>
      </c>
      <c r="K33" s="107"/>
      <c r="L33" s="12"/>
      <c r="N33" s="235">
        <f>IF(M2="k",N31/N6,0)</f>
        <v>0</v>
      </c>
      <c r="O33" s="107"/>
      <c r="P33" s="12"/>
      <c r="R33" s="235">
        <f>IF(Q2="k",R31/R6,0)</f>
        <v>0</v>
      </c>
      <c r="S33" s="12"/>
      <c r="T33" s="108">
        <f t="shared" si="0"/>
        <v>60.416334661354576</v>
      </c>
    </row>
    <row r="34" spans="1:20" x14ac:dyDescent="0.2">
      <c r="B34" s="6" t="s">
        <v>130</v>
      </c>
      <c r="E34" s="203">
        <v>0.2</v>
      </c>
      <c r="F34" s="234">
        <f>IF(E2="k",((100%/(100%-E34))*F33)-F33,0)</f>
        <v>15.104083665338642</v>
      </c>
      <c r="G34" s="85"/>
      <c r="H34" s="10"/>
      <c r="I34" s="295">
        <f>E34</f>
        <v>0.2</v>
      </c>
      <c r="J34" s="234">
        <f>IF(I2="k",((100%/(100%-I34))*J33)-J33,0)</f>
        <v>0</v>
      </c>
      <c r="K34" s="85"/>
      <c r="L34" s="10"/>
      <c r="M34" s="295">
        <f>I34</f>
        <v>0.2</v>
      </c>
      <c r="N34" s="234">
        <f>IF(M2="k",((100%/(100%-M34))*N33)-N33,0)</f>
        <v>0</v>
      </c>
      <c r="O34" s="85"/>
      <c r="P34" s="10"/>
      <c r="Q34" s="295">
        <f>M34</f>
        <v>0.2</v>
      </c>
      <c r="R34" s="234">
        <f>IF(Q2="k",((100%/(100%-Q34))*R33)-R33,0)</f>
        <v>0</v>
      </c>
      <c r="S34" s="85"/>
      <c r="T34" s="36">
        <f t="shared" si="0"/>
        <v>15.104083665338642</v>
      </c>
    </row>
    <row r="35" spans="1:20" ht="13.5" thickBot="1" x14ac:dyDescent="0.25">
      <c r="B35" s="4" t="s">
        <v>131</v>
      </c>
      <c r="C35" s="160" t="s">
        <v>132</v>
      </c>
      <c r="F35" s="294">
        <v>18</v>
      </c>
      <c r="G35" s="85"/>
      <c r="H35" s="10"/>
      <c r="I35" s="109"/>
      <c r="J35" s="292">
        <v>0</v>
      </c>
      <c r="K35" s="85"/>
      <c r="L35" s="10"/>
      <c r="M35" s="109"/>
      <c r="N35" s="292">
        <v>0</v>
      </c>
      <c r="O35" s="85"/>
      <c r="P35" s="10"/>
      <c r="Q35" s="109"/>
      <c r="R35" s="292">
        <v>0</v>
      </c>
      <c r="S35" s="85"/>
      <c r="T35" s="8">
        <f>IF($E$2="k",F35)+IF($I$2="k",J35)+IF($M$2="k",N35)+IF($Q$2="k",R35)</f>
        <v>18</v>
      </c>
    </row>
    <row r="36" spans="1:20" x14ac:dyDescent="0.2">
      <c r="B36" s="116" t="s">
        <v>134</v>
      </c>
      <c r="C36" s="115"/>
      <c r="D36" s="115"/>
      <c r="E36" s="115"/>
      <c r="F36" s="117">
        <f>SUM(F33:F35)</f>
        <v>93.520418326693218</v>
      </c>
      <c r="G36" s="85"/>
      <c r="H36" s="10"/>
      <c r="J36" s="117">
        <f>SUM(J33:J35)</f>
        <v>0</v>
      </c>
      <c r="K36" s="85"/>
      <c r="L36" s="10"/>
      <c r="N36" s="117">
        <f>SUM(N33:N35)</f>
        <v>0</v>
      </c>
      <c r="O36" s="85"/>
      <c r="P36" s="10"/>
      <c r="R36" s="117">
        <f>SUM(R33:R35)</f>
        <v>0</v>
      </c>
      <c r="S36" s="10"/>
      <c r="T36" s="118">
        <f>SUM(F36,J36,N36,R36)</f>
        <v>93.520418326693218</v>
      </c>
    </row>
    <row r="37" spans="1:20" ht="13.5" thickBot="1" x14ac:dyDescent="0.25">
      <c r="B37" s="119" t="s">
        <v>135</v>
      </c>
      <c r="E37" s="592">
        <v>0.255</v>
      </c>
      <c r="F37" s="291">
        <f>E37*F36</f>
        <v>23.847706673306771</v>
      </c>
      <c r="G37" s="111"/>
      <c r="H37" s="10"/>
      <c r="I37" s="593">
        <f>$E$37</f>
        <v>0.255</v>
      </c>
      <c r="J37" s="291">
        <f>I37*J36</f>
        <v>0</v>
      </c>
      <c r="K37" s="85"/>
      <c r="L37" s="10"/>
      <c r="M37" s="593">
        <f>$E$37</f>
        <v>0.255</v>
      </c>
      <c r="N37" s="291">
        <f>M37*N36</f>
        <v>0</v>
      </c>
      <c r="O37" s="85"/>
      <c r="P37" s="10"/>
      <c r="Q37" s="593">
        <f>$E$37</f>
        <v>0.255</v>
      </c>
      <c r="R37" s="291">
        <f>Q37*R36</f>
        <v>0</v>
      </c>
      <c r="S37" s="85"/>
      <c r="T37" s="120">
        <f>SUM(F37,J37,N37,R37)</f>
        <v>23.847706673306771</v>
      </c>
    </row>
    <row r="38" spans="1:20" ht="13.5" thickBot="1" x14ac:dyDescent="0.25">
      <c r="B38" s="121" t="s">
        <v>136</v>
      </c>
      <c r="C38" s="114"/>
      <c r="D38" s="114"/>
      <c r="E38" s="114"/>
      <c r="F38" s="110">
        <f>IF(E2="k",SUM(F36:F37),0)</f>
        <v>117.36812499999999</v>
      </c>
      <c r="G38" s="112"/>
      <c r="H38" s="113"/>
      <c r="I38" s="114"/>
      <c r="J38" s="110">
        <f>IF(I2="k",SUM(J36:J37),0)</f>
        <v>0</v>
      </c>
      <c r="K38" s="112"/>
      <c r="L38" s="113"/>
      <c r="M38" s="114"/>
      <c r="N38" s="110">
        <f>IF(M2="k",SUM(N36:N37),0)</f>
        <v>0</v>
      </c>
      <c r="O38" s="112"/>
      <c r="P38" s="113"/>
      <c r="Q38" s="114"/>
      <c r="R38" s="110">
        <f>IF(Q2="k",SUM(R36:R37),0)</f>
        <v>0</v>
      </c>
      <c r="S38" s="113"/>
      <c r="T38" s="108">
        <f t="shared" si="0"/>
        <v>117.36812499999999</v>
      </c>
    </row>
    <row r="40" spans="1:20" ht="20.25" x14ac:dyDescent="0.3">
      <c r="B40" s="798" t="s">
        <v>552</v>
      </c>
    </row>
    <row r="41" spans="1:20" x14ac:dyDescent="0.2">
      <c r="B41" s="4" t="s">
        <v>139</v>
      </c>
      <c r="C41" s="398" t="str">
        <f>Ohjeet!C2</f>
        <v>2024.12</v>
      </c>
    </row>
    <row r="42" spans="1:20" x14ac:dyDescent="0.2">
      <c r="F42" s="1101" t="s">
        <v>433</v>
      </c>
      <c r="G42" s="1110"/>
      <c r="H42" s="1110"/>
      <c r="I42" s="1111"/>
    </row>
    <row r="43" spans="1:20" x14ac:dyDescent="0.2">
      <c r="B43" s="160" t="s">
        <v>446</v>
      </c>
      <c r="F43" s="388">
        <v>15</v>
      </c>
      <c r="G43" s="230" t="s">
        <v>435</v>
      </c>
      <c r="H43" s="1100">
        <v>20</v>
      </c>
      <c r="I43" s="1100"/>
      <c r="J43" s="160" t="s">
        <v>75</v>
      </c>
    </row>
    <row r="44" spans="1:20" x14ac:dyDescent="0.2">
      <c r="B44" s="160" t="s">
        <v>447</v>
      </c>
      <c r="F44" s="176">
        <v>10</v>
      </c>
      <c r="G44" s="230" t="s">
        <v>435</v>
      </c>
      <c r="H44" s="1106">
        <v>20</v>
      </c>
      <c r="I44" s="1106"/>
      <c r="J44" s="160" t="s">
        <v>99</v>
      </c>
    </row>
    <row r="45" spans="1:20" x14ac:dyDescent="0.2">
      <c r="B45" s="160" t="s">
        <v>448</v>
      </c>
      <c r="F45" s="176">
        <v>200</v>
      </c>
      <c r="G45" s="230" t="s">
        <v>435</v>
      </c>
      <c r="H45" s="1107">
        <v>200</v>
      </c>
      <c r="I45" s="1108"/>
      <c r="J45" s="160" t="s">
        <v>219</v>
      </c>
    </row>
    <row r="46" spans="1:20" x14ac:dyDescent="0.2">
      <c r="B46" s="160" t="s">
        <v>449</v>
      </c>
      <c r="F46" s="231">
        <f>F43*F$44*F45</f>
        <v>30000</v>
      </c>
      <c r="G46" s="230" t="s">
        <v>435</v>
      </c>
      <c r="H46" s="1109">
        <f>H43*H44*H45</f>
        <v>80000</v>
      </c>
      <c r="I46" s="1109"/>
      <c r="J46" s="160" t="s">
        <v>244</v>
      </c>
    </row>
    <row r="47" spans="1:20" x14ac:dyDescent="0.2">
      <c r="B47" s="160" t="s">
        <v>450</v>
      </c>
      <c r="F47" s="231">
        <f>F43*F44</f>
        <v>150</v>
      </c>
      <c r="G47" s="230" t="s">
        <v>435</v>
      </c>
      <c r="H47" s="1104">
        <f>H43*H44</f>
        <v>400</v>
      </c>
      <c r="I47" s="1104"/>
      <c r="J47" s="160" t="s">
        <v>244</v>
      </c>
    </row>
    <row r="48" spans="1:20" x14ac:dyDescent="0.2">
      <c r="B48" s="160" t="s">
        <v>451</v>
      </c>
      <c r="F48" s="652">
        <f>F$45*F$44</f>
        <v>2000</v>
      </c>
      <c r="G48" s="230" t="s">
        <v>435</v>
      </c>
      <c r="H48" s="1104">
        <f>H44*H45</f>
        <v>4000</v>
      </c>
      <c r="I48" s="1104"/>
      <c r="J48" s="160" t="s">
        <v>228</v>
      </c>
    </row>
    <row r="49" spans="2:10" x14ac:dyDescent="0.2">
      <c r="B49" s="6" t="s">
        <v>441</v>
      </c>
      <c r="F49" s="229">
        <f>T36/F43</f>
        <v>6.2346945551128812</v>
      </c>
      <c r="G49" s="230" t="s">
        <v>435</v>
      </c>
      <c r="H49" s="1105">
        <f>T36/H43</f>
        <v>4.6760209163346609</v>
      </c>
      <c r="I49" s="1105"/>
      <c r="J49" s="6" t="s">
        <v>442</v>
      </c>
    </row>
    <row r="50" spans="2:10" x14ac:dyDescent="0.2">
      <c r="F50" s="229">
        <f>T38/F43</f>
        <v>7.8245416666666658</v>
      </c>
      <c r="G50" s="230" t="s">
        <v>435</v>
      </c>
      <c r="H50" s="1105">
        <f>T38/H43</f>
        <v>5.8684062499999996</v>
      </c>
      <c r="I50" s="1105"/>
      <c r="J50" s="6" t="s">
        <v>443</v>
      </c>
    </row>
  </sheetData>
  <sheetProtection algorithmName="SHA-512" hashValue="OHwzSxAzQtZSToQMmxzjhaFJ81tRUTPLbg3t1RXh+BiDnxoQmlf8rxQcY/jkINq73erIorl5AMUcHlKfLBDYJA==" saltValue="nLXYnBXVuEqpQ1+4jdwzDA==" spinCount="100000" sheet="1" formatCells="0" formatColumns="0" formatRows="0"/>
  <mergeCells count="25">
    <mergeCell ref="M2:N2"/>
    <mergeCell ref="Q2:R2"/>
    <mergeCell ref="H43:I43"/>
    <mergeCell ref="E1:G1"/>
    <mergeCell ref="H1:J1"/>
    <mergeCell ref="L1:N1"/>
    <mergeCell ref="P1:R1"/>
    <mergeCell ref="E3:F3"/>
    <mergeCell ref="I3:J3"/>
    <mergeCell ref="M3:N3"/>
    <mergeCell ref="Q3:R3"/>
    <mergeCell ref="F42:I42"/>
    <mergeCell ref="C28:E28"/>
    <mergeCell ref="C29:E29"/>
    <mergeCell ref="B19:D19"/>
    <mergeCell ref="A2:B2"/>
    <mergeCell ref="E2:F2"/>
    <mergeCell ref="I2:J2"/>
    <mergeCell ref="H50:I50"/>
    <mergeCell ref="H44:I44"/>
    <mergeCell ref="H45:I45"/>
    <mergeCell ref="H46:I46"/>
    <mergeCell ref="H47:I47"/>
    <mergeCell ref="H48:I48"/>
    <mergeCell ref="H49:I49"/>
  </mergeCells>
  <hyperlinks>
    <hyperlink ref="B40" location="'Metsäkoneketjujen ketjutus '!A1" display="Siirry metsäkoneketjujen ketjutuksen tekoon ja urakkahinnan määrittelyyn" xr:uid="{14BDE817-3EFD-4CE5-95BE-FDBD1BBB9194}"/>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EF14DD8-E948-40A0-B3A6-8C9309667310}">
          <x14:formula1>
            <xm:f>Laskentayksikot!$E$2:$E$3</xm:f>
          </x14:formula1>
          <xm:sqref>E2:F2 I2:J2 M2:N2 Q2:R2</xm:sqref>
        </x14:dataValidation>
        <x14:dataValidation type="list" allowBlank="1" showInputMessage="1" showErrorMessage="1" xr:uid="{A7677A1D-941D-409B-8545-D8C2EE5E058C}">
          <x14:formula1>
            <xm:f>Ohjeet!$A$63:$A$68</xm:f>
          </x14:formula1>
          <xm:sqref>V25</xm:sqref>
        </x14:dataValidation>
        <x14:dataValidation type="list" allowBlank="1" showInputMessage="1" showErrorMessage="1" xr:uid="{85B5EBEA-39B8-42D9-BD05-BBD366D1B453}">
          <x14:formula1>
            <xm:f>Laskentayksikot!$E$7:$E$8</xm:f>
          </x14:formula1>
          <xm:sqref>D2</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0E3C7-4AC8-43DA-A84D-105D69523D08}">
  <dimension ref="A1:AK130"/>
  <sheetViews>
    <sheetView zoomScale="80" zoomScaleNormal="80" workbookViewId="0">
      <selection activeCell="A22" sqref="A22"/>
    </sheetView>
  </sheetViews>
  <sheetFormatPr defaultRowHeight="12.75" x14ac:dyDescent="0.2"/>
  <cols>
    <col min="1" max="1" width="13.140625" customWidth="1"/>
    <col min="8" max="8" width="26.140625" customWidth="1"/>
    <col min="9" max="9" width="9" customWidth="1"/>
    <col min="10" max="10" width="9.7109375" customWidth="1"/>
    <col min="11" max="11" width="26.7109375" customWidth="1"/>
    <col min="12" max="12" width="12.7109375" customWidth="1"/>
    <col min="13" max="13" width="13.85546875" customWidth="1"/>
    <col min="14" max="14" width="30.42578125" customWidth="1"/>
    <col min="15" max="15" width="23.42578125" customWidth="1"/>
    <col min="16" max="17" width="13.42578125" customWidth="1"/>
    <col min="18" max="18" width="17.85546875" customWidth="1"/>
    <col min="19" max="19" width="14.28515625" customWidth="1"/>
  </cols>
  <sheetData>
    <row r="1" spans="1:27" ht="15.75" x14ac:dyDescent="0.25">
      <c r="A1" s="279" t="s">
        <v>454</v>
      </c>
      <c r="H1" t="str">
        <f>A100</f>
        <v>Ketjutettu koneet:</v>
      </c>
      <c r="I1" s="608" t="str">
        <f>E100</f>
        <v xml:space="preserve">Moto +  Ajokone +  </v>
      </c>
      <c r="J1" s="608"/>
    </row>
    <row r="2" spans="1:27" ht="6" customHeight="1" x14ac:dyDescent="0.25">
      <c r="A2" s="279"/>
    </row>
    <row r="3" spans="1:27" ht="18.75" thickBot="1" x14ac:dyDescent="0.3">
      <c r="A3" s="733" t="s">
        <v>511</v>
      </c>
    </row>
    <row r="4" spans="1:27" ht="17.25" x14ac:dyDescent="0.2">
      <c r="A4" s="760" t="s">
        <v>520</v>
      </c>
      <c r="B4" s="14"/>
      <c r="C4" s="14"/>
      <c r="D4" s="14"/>
      <c r="E4" s="14"/>
      <c r="F4" s="14"/>
      <c r="G4" s="14"/>
      <c r="H4" s="14"/>
      <c r="I4" s="621"/>
      <c r="J4" s="14"/>
      <c r="K4" s="14"/>
      <c r="L4" s="14"/>
      <c r="M4" s="14"/>
      <c r="N4" s="462"/>
      <c r="O4" s="443"/>
      <c r="P4" s="14"/>
      <c r="Q4" s="14"/>
      <c r="R4" s="14"/>
      <c r="S4" s="14"/>
      <c r="T4" s="14"/>
      <c r="U4" s="14"/>
      <c r="V4" s="14"/>
      <c r="W4" s="14"/>
      <c r="X4" s="14"/>
      <c r="Y4" s="14"/>
      <c r="Z4" s="14"/>
      <c r="AA4" s="462"/>
    </row>
    <row r="5" spans="1:27" ht="15.75" thickBot="1" x14ac:dyDescent="0.25">
      <c r="A5" s="615" t="s">
        <v>553</v>
      </c>
      <c r="I5" s="2"/>
      <c r="N5" s="517"/>
      <c r="O5" s="250" t="s">
        <v>527</v>
      </c>
      <c r="AA5" s="517"/>
    </row>
    <row r="6" spans="1:27" ht="15.75" thickBot="1" x14ac:dyDescent="0.25">
      <c r="A6" s="1135" t="s">
        <v>455</v>
      </c>
      <c r="B6" s="1136"/>
      <c r="C6" s="1137"/>
      <c r="I6" s="2"/>
      <c r="L6" s="154"/>
      <c r="N6" s="517"/>
      <c r="O6" s="762" t="s">
        <v>48</v>
      </c>
      <c r="P6" s="782" t="s">
        <v>526</v>
      </c>
      <c r="V6" s="785"/>
      <c r="W6" s="785"/>
      <c r="X6" s="785"/>
      <c r="AA6" s="517"/>
    </row>
    <row r="7" spans="1:27" ht="27" customHeight="1" thickBot="1" x14ac:dyDescent="0.3">
      <c r="A7" s="1145" t="str">
        <f>IF(H43="K",H44,"Pois")</f>
        <v>Moto</v>
      </c>
      <c r="B7" s="1145" t="str">
        <f>IF(K43="K",K44,"Pois")</f>
        <v>Ajokone</v>
      </c>
      <c r="C7" s="1145" t="str">
        <f>IF(N43="K",N44,"X")</f>
        <v>X</v>
      </c>
      <c r="D7" s="1138" t="s">
        <v>456</v>
      </c>
      <c r="E7" s="14"/>
      <c r="F7" s="14"/>
      <c r="G7" s="1114" t="s">
        <v>457</v>
      </c>
      <c r="H7" s="14"/>
      <c r="I7" s="621"/>
      <c r="J7" s="14"/>
      <c r="K7" s="1126" t="s">
        <v>492</v>
      </c>
      <c r="L7" s="1127"/>
      <c r="M7" s="1127"/>
      <c r="N7" s="462"/>
      <c r="O7" s="636" t="s">
        <v>495</v>
      </c>
      <c r="P7" s="637" t="s">
        <v>458</v>
      </c>
      <c r="Q7" s="637" t="s">
        <v>459</v>
      </c>
      <c r="R7" s="637" t="s">
        <v>495</v>
      </c>
      <c r="S7" s="637" t="s">
        <v>458</v>
      </c>
      <c r="T7" s="638" t="s">
        <v>459</v>
      </c>
      <c r="V7" s="1119" t="s">
        <v>460</v>
      </c>
      <c r="W7" s="1120"/>
      <c r="X7" s="1116" t="s">
        <v>494</v>
      </c>
      <c r="Y7" s="1117"/>
      <c r="Z7" s="1118"/>
      <c r="AA7" s="517"/>
    </row>
    <row r="8" spans="1:27" ht="42.75" customHeight="1" thickBot="1" x14ac:dyDescent="0.25">
      <c r="A8" s="1146"/>
      <c r="B8" s="1146"/>
      <c r="C8" s="1146"/>
      <c r="D8" s="1139"/>
      <c r="E8" s="1113" t="s">
        <v>508</v>
      </c>
      <c r="F8" s="1113"/>
      <c r="G8" s="1115"/>
      <c r="H8" s="634" t="s">
        <v>461</v>
      </c>
      <c r="I8" s="673" t="s">
        <v>493</v>
      </c>
      <c r="J8" s="671" t="s">
        <v>462</v>
      </c>
      <c r="K8" s="614" t="str">
        <f>A7</f>
        <v>Moto</v>
      </c>
      <c r="L8" s="126" t="str">
        <f>B7</f>
        <v>Ajokone</v>
      </c>
      <c r="M8" s="126" t="str">
        <f>C7</f>
        <v>X</v>
      </c>
      <c r="N8" s="464" t="s">
        <v>497</v>
      </c>
      <c r="O8" s="1124" t="str">
        <f>L8</f>
        <v>Ajokone</v>
      </c>
      <c r="P8" s="1122"/>
      <c r="Q8" s="1125"/>
      <c r="R8" s="1121" t="str">
        <f>M8</f>
        <v>X</v>
      </c>
      <c r="S8" s="1122"/>
      <c r="T8" s="1123"/>
      <c r="V8" s="680" t="str">
        <f>O8</f>
        <v>Ajokone</v>
      </c>
      <c r="W8" s="684" t="str">
        <f>R8</f>
        <v>X</v>
      </c>
      <c r="X8" s="682" t="str">
        <f>V8</f>
        <v>Ajokone</v>
      </c>
      <c r="Y8" s="672" t="str">
        <f>W8</f>
        <v>X</v>
      </c>
      <c r="Z8" s="688" t="s">
        <v>82</v>
      </c>
      <c r="AA8" s="517"/>
    </row>
    <row r="9" spans="1:27" ht="10.5" customHeight="1" x14ac:dyDescent="0.2">
      <c r="A9" s="698"/>
      <c r="B9" s="699"/>
      <c r="C9" s="699"/>
      <c r="D9" s="699"/>
      <c r="E9" s="699"/>
      <c r="F9" s="699"/>
      <c r="G9" s="699"/>
      <c r="H9" s="699"/>
      <c r="I9" s="699"/>
      <c r="J9" s="700"/>
      <c r="K9" s="697"/>
      <c r="L9" s="706">
        <f>IF(K43="K",K45,0%)</f>
        <v>1</v>
      </c>
      <c r="M9" s="706">
        <f>IF(N43="K",N45,0%)</f>
        <v>0</v>
      </c>
      <c r="N9" s="464"/>
      <c r="O9" s="701">
        <f>K45</f>
        <v>1</v>
      </c>
      <c r="P9" s="1"/>
      <c r="Q9" s="1"/>
      <c r="R9" s="702">
        <f>N45</f>
        <v>0</v>
      </c>
      <c r="S9" s="1"/>
      <c r="T9" s="635"/>
      <c r="V9" s="689">
        <f>K45</f>
        <v>1</v>
      </c>
      <c r="W9" s="690">
        <f>N45</f>
        <v>0</v>
      </c>
      <c r="X9" s="691">
        <f>K45</f>
        <v>1</v>
      </c>
      <c r="Y9" s="692">
        <f>N45</f>
        <v>0</v>
      </c>
      <c r="Z9" s="693">
        <f>SUM(X9:Y9)</f>
        <v>1</v>
      </c>
      <c r="AA9" s="781" t="str">
        <f>IF(Z9&gt;100%,"Huom! Ylitys!!!","Ok")</f>
        <v>Ok</v>
      </c>
    </row>
    <row r="10" spans="1:27" ht="15" x14ac:dyDescent="0.2">
      <c r="A10" s="622">
        <v>6</v>
      </c>
      <c r="B10" s="606">
        <v>15</v>
      </c>
      <c r="C10" s="606">
        <v>15</v>
      </c>
      <c r="D10" s="616">
        <v>500</v>
      </c>
      <c r="E10" s="1112" t="s">
        <v>463</v>
      </c>
      <c r="F10" s="1112"/>
      <c r="G10" s="124">
        <v>10</v>
      </c>
      <c r="H10" s="124">
        <v>5</v>
      </c>
      <c r="I10" s="696">
        <v>1</v>
      </c>
      <c r="J10" s="695">
        <f>IF(I10&gt;0,I10/$I$20,0)</f>
        <v>0.16666666666666666</v>
      </c>
      <c r="K10" s="722">
        <f t="shared" ref="K10:K19" si="0">IF($H$43="K",(I10/A10),0)</f>
        <v>0.16666666666666666</v>
      </c>
      <c r="L10" s="722">
        <f t="shared" ref="L10:L19" si="1">IF(AND(I10&gt;0,G10&gt;0,$K$43="K"),$L$9*(I10/B10)+IF(O10&lt;&gt;"",O10,0),"")</f>
        <v>8.666666666666667E-2</v>
      </c>
      <c r="M10" s="722" t="str">
        <f t="shared" ref="M10:M19" si="2">IF(AND(I10&gt;0,G10&gt;0,$N$43="K"),$M$9*(I10/C10)+IF(R10&lt;&gt;"",R10,0),"")</f>
        <v/>
      </c>
      <c r="N10" s="761">
        <f>SUM(K10:M10)</f>
        <v>0.2533333333333333</v>
      </c>
      <c r="O10" s="681">
        <f t="shared" ref="O10:O19" si="3">IF(AND($K$43="K",$O$6="X"),X10/H10*$O$9,"")</f>
        <v>0.02</v>
      </c>
      <c r="P10" s="679">
        <f t="shared" ref="P10:P19" si="4">IF(AND($O$6="x",$K$78&lt;&gt;""),O10*$K$78,"")</f>
        <v>1.5607182381584772</v>
      </c>
      <c r="Q10" s="703">
        <f>IF(P10&lt;&gt;"",IF(I10&gt;0,P10/$I10,0),0)</f>
        <v>1.5607182381584772</v>
      </c>
      <c r="R10" s="679" t="str">
        <f t="shared" ref="R10:R19" si="5">IF(AND($N$43="K",$O$6="X"),Y10/H10*$R$9,"")</f>
        <v/>
      </c>
      <c r="S10" s="704" t="str">
        <f>IF(R10&lt;&gt;"",IF(R10&gt;0,R10*$N$78,0),"")</f>
        <v/>
      </c>
      <c r="T10" s="705">
        <f>IF(S10&lt;&gt;"",IF(I10&gt;0,S10/$I10,0),0)</f>
        <v>0</v>
      </c>
      <c r="V10" s="681">
        <f>IF($G10&gt;0,I10/$G10*$V$9,0)</f>
        <v>0.1</v>
      </c>
      <c r="W10" s="681">
        <f>IF($G10&gt;0,I10/$G10*$W$9,0)</f>
        <v>0</v>
      </c>
      <c r="X10" s="683">
        <f t="shared" ref="X10:X19" si="6">IF(AND($K$43="k",D10&gt;0),$V10*$D10*2/1000*$X$9,0)</f>
        <v>0.1</v>
      </c>
      <c r="Y10" s="679">
        <f t="shared" ref="Y10:Y19" si="7">IF(AND($N$43="k",D10&gt;0),$W10*$D10*2/1000*$Y$9,0)</f>
        <v>0</v>
      </c>
      <c r="Z10" s="694">
        <f>SUM(X10:Y10)</f>
        <v>0.1</v>
      </c>
      <c r="AA10" s="517"/>
    </row>
    <row r="11" spans="1:27" ht="15" x14ac:dyDescent="0.2">
      <c r="A11" s="622">
        <v>5</v>
      </c>
      <c r="B11" s="606">
        <v>15</v>
      </c>
      <c r="C11" s="606">
        <v>15</v>
      </c>
      <c r="D11" s="616">
        <v>500</v>
      </c>
      <c r="E11" s="1112" t="s">
        <v>464</v>
      </c>
      <c r="F11" s="1112"/>
      <c r="G11" s="124">
        <v>10</v>
      </c>
      <c r="H11" s="633">
        <v>5</v>
      </c>
      <c r="I11" s="607">
        <v>1</v>
      </c>
      <c r="J11" s="617">
        <f t="shared" ref="J11:J19" si="8">IF(I11&gt;0,I11/$I$20,0)</f>
        <v>0.16666666666666666</v>
      </c>
      <c r="K11" s="722">
        <f t="shared" si="0"/>
        <v>0.2</v>
      </c>
      <c r="L11" s="722">
        <f t="shared" si="1"/>
        <v>8.666666666666667E-2</v>
      </c>
      <c r="M11" s="722" t="str">
        <f t="shared" si="2"/>
        <v/>
      </c>
      <c r="N11" s="761">
        <f t="shared" ref="N11:N19" si="9">SUM(K11:M11)</f>
        <v>0.28666666666666668</v>
      </c>
      <c r="O11" s="681">
        <f t="shared" si="3"/>
        <v>0.02</v>
      </c>
      <c r="P11" s="679">
        <f t="shared" si="4"/>
        <v>1.5607182381584772</v>
      </c>
      <c r="Q11" s="703">
        <f t="shared" ref="Q11:Q19" si="10">IF(P11&lt;&gt;"",IF(I11&gt;0,P11/$I11,0),0)</f>
        <v>1.5607182381584772</v>
      </c>
      <c r="R11" s="679" t="str">
        <f t="shared" si="5"/>
        <v/>
      </c>
      <c r="S11" s="704" t="str">
        <f t="shared" ref="S11:S19" si="11">IF(R11&lt;&gt;"",IF(R11&gt;0,R11/60*$N$78,0),"")</f>
        <v/>
      </c>
      <c r="T11" s="705">
        <f t="shared" ref="T11:T16" si="12">IF(S11&lt;&gt;"",IF(I11&gt;0,S11/$I11,0),0)</f>
        <v>0</v>
      </c>
      <c r="V11" s="681">
        <f t="shared" ref="V11:V19" si="13">IF($G11&gt;0,I11/$G11,0)</f>
        <v>0.1</v>
      </c>
      <c r="W11" s="685">
        <f t="shared" ref="W11:W19" si="14">IF($G11&gt;0,I11/$G11,0)</f>
        <v>0.1</v>
      </c>
      <c r="X11" s="683">
        <f t="shared" si="6"/>
        <v>0.1</v>
      </c>
      <c r="Y11" s="679">
        <f t="shared" si="7"/>
        <v>0</v>
      </c>
      <c r="Z11" s="694">
        <f t="shared" ref="Z11:Z19" si="15">SUM(X11:Y11)</f>
        <v>0.1</v>
      </c>
      <c r="AA11" s="517"/>
    </row>
    <row r="12" spans="1:27" ht="15" x14ac:dyDescent="0.2">
      <c r="A12" s="622">
        <v>6</v>
      </c>
      <c r="B12" s="606">
        <v>15</v>
      </c>
      <c r="C12" s="606">
        <v>15</v>
      </c>
      <c r="D12" s="616">
        <v>500</v>
      </c>
      <c r="E12" s="1112" t="s">
        <v>465</v>
      </c>
      <c r="F12" s="1112"/>
      <c r="G12" s="124">
        <v>10</v>
      </c>
      <c r="H12" s="633">
        <v>5</v>
      </c>
      <c r="I12" s="607">
        <v>1</v>
      </c>
      <c r="J12" s="617">
        <f t="shared" si="8"/>
        <v>0.16666666666666666</v>
      </c>
      <c r="K12" s="722">
        <f t="shared" si="0"/>
        <v>0.16666666666666666</v>
      </c>
      <c r="L12" s="722">
        <f t="shared" si="1"/>
        <v>8.666666666666667E-2</v>
      </c>
      <c r="M12" s="722" t="str">
        <f t="shared" si="2"/>
        <v/>
      </c>
      <c r="N12" s="761">
        <f t="shared" si="9"/>
        <v>0.2533333333333333</v>
      </c>
      <c r="O12" s="681">
        <f t="shared" si="3"/>
        <v>0.02</v>
      </c>
      <c r="P12" s="679">
        <f t="shared" si="4"/>
        <v>1.5607182381584772</v>
      </c>
      <c r="Q12" s="703">
        <f t="shared" si="10"/>
        <v>1.5607182381584772</v>
      </c>
      <c r="R12" s="679" t="str">
        <f t="shared" si="5"/>
        <v/>
      </c>
      <c r="S12" s="704" t="str">
        <f t="shared" si="11"/>
        <v/>
      </c>
      <c r="T12" s="705">
        <f t="shared" si="12"/>
        <v>0</v>
      </c>
      <c r="V12" s="681">
        <f t="shared" si="13"/>
        <v>0.1</v>
      </c>
      <c r="W12" s="685">
        <f t="shared" si="14"/>
        <v>0.1</v>
      </c>
      <c r="X12" s="683">
        <f t="shared" si="6"/>
        <v>0.1</v>
      </c>
      <c r="Y12" s="679">
        <f t="shared" si="7"/>
        <v>0</v>
      </c>
      <c r="Z12" s="694">
        <f t="shared" si="15"/>
        <v>0.1</v>
      </c>
      <c r="AA12" s="517"/>
    </row>
    <row r="13" spans="1:27" ht="15" x14ac:dyDescent="0.2">
      <c r="A13" s="622">
        <v>20</v>
      </c>
      <c r="B13" s="606">
        <v>20</v>
      </c>
      <c r="C13" s="606">
        <v>20</v>
      </c>
      <c r="D13" s="616">
        <v>500</v>
      </c>
      <c r="E13" s="1112" t="s">
        <v>466</v>
      </c>
      <c r="F13" s="1112"/>
      <c r="G13" s="124">
        <v>10</v>
      </c>
      <c r="H13" s="633">
        <v>5</v>
      </c>
      <c r="I13" s="607">
        <v>1</v>
      </c>
      <c r="J13" s="617">
        <f t="shared" si="8"/>
        <v>0.16666666666666666</v>
      </c>
      <c r="K13" s="722">
        <f t="shared" si="0"/>
        <v>0.05</v>
      </c>
      <c r="L13" s="722">
        <f t="shared" si="1"/>
        <v>7.0000000000000007E-2</v>
      </c>
      <c r="M13" s="722" t="str">
        <f t="shared" si="2"/>
        <v/>
      </c>
      <c r="N13" s="761">
        <f t="shared" si="9"/>
        <v>0.12000000000000001</v>
      </c>
      <c r="O13" s="681">
        <f t="shared" si="3"/>
        <v>0.02</v>
      </c>
      <c r="P13" s="679">
        <f t="shared" si="4"/>
        <v>1.5607182381584772</v>
      </c>
      <c r="Q13" s="703">
        <f>IF(P13&lt;&gt;"",IF(I13&gt;0,P13/$I13,0),0)</f>
        <v>1.5607182381584772</v>
      </c>
      <c r="R13" s="679" t="str">
        <f t="shared" si="5"/>
        <v/>
      </c>
      <c r="S13" s="704" t="str">
        <f t="shared" si="11"/>
        <v/>
      </c>
      <c r="T13" s="705">
        <f t="shared" si="12"/>
        <v>0</v>
      </c>
      <c r="V13" s="681">
        <f t="shared" si="13"/>
        <v>0.1</v>
      </c>
      <c r="W13" s="685">
        <f t="shared" si="14"/>
        <v>0.1</v>
      </c>
      <c r="X13" s="683">
        <f t="shared" si="6"/>
        <v>0.1</v>
      </c>
      <c r="Y13" s="679">
        <f t="shared" si="7"/>
        <v>0</v>
      </c>
      <c r="Z13" s="694">
        <f t="shared" si="15"/>
        <v>0.1</v>
      </c>
      <c r="AA13" s="517"/>
    </row>
    <row r="14" spans="1:27" ht="15" x14ac:dyDescent="0.2">
      <c r="A14" s="622">
        <v>15</v>
      </c>
      <c r="B14" s="606">
        <v>20</v>
      </c>
      <c r="C14" s="606">
        <v>6</v>
      </c>
      <c r="D14" s="616">
        <v>500</v>
      </c>
      <c r="E14" s="1112" t="s">
        <v>467</v>
      </c>
      <c r="F14" s="1112"/>
      <c r="G14" s="124">
        <v>10</v>
      </c>
      <c r="H14" s="633">
        <v>5</v>
      </c>
      <c r="I14" s="607">
        <v>1</v>
      </c>
      <c r="J14" s="617">
        <f t="shared" si="8"/>
        <v>0.16666666666666666</v>
      </c>
      <c r="K14" s="722">
        <f t="shared" si="0"/>
        <v>6.6666666666666666E-2</v>
      </c>
      <c r="L14" s="722">
        <f t="shared" si="1"/>
        <v>7.0000000000000007E-2</v>
      </c>
      <c r="M14" s="722" t="str">
        <f t="shared" si="2"/>
        <v/>
      </c>
      <c r="N14" s="761">
        <f t="shared" si="9"/>
        <v>0.13666666666666666</v>
      </c>
      <c r="O14" s="681">
        <f t="shared" si="3"/>
        <v>0.02</v>
      </c>
      <c r="P14" s="679">
        <f t="shared" si="4"/>
        <v>1.5607182381584772</v>
      </c>
      <c r="Q14" s="703">
        <f t="shared" si="10"/>
        <v>1.5607182381584772</v>
      </c>
      <c r="R14" s="679" t="str">
        <f t="shared" si="5"/>
        <v/>
      </c>
      <c r="S14" s="704" t="str">
        <f t="shared" si="11"/>
        <v/>
      </c>
      <c r="T14" s="705">
        <f t="shared" si="12"/>
        <v>0</v>
      </c>
      <c r="V14" s="681">
        <f t="shared" si="13"/>
        <v>0.1</v>
      </c>
      <c r="W14" s="685">
        <f t="shared" si="14"/>
        <v>0.1</v>
      </c>
      <c r="X14" s="683">
        <f t="shared" si="6"/>
        <v>0.1</v>
      </c>
      <c r="Y14" s="679">
        <f t="shared" si="7"/>
        <v>0</v>
      </c>
      <c r="Z14" s="694">
        <f t="shared" si="15"/>
        <v>0.1</v>
      </c>
      <c r="AA14" s="517"/>
    </row>
    <row r="15" spans="1:27" ht="15" x14ac:dyDescent="0.2">
      <c r="A15" s="622">
        <v>20</v>
      </c>
      <c r="B15" s="606">
        <v>20</v>
      </c>
      <c r="C15" s="606">
        <v>20</v>
      </c>
      <c r="D15" s="616">
        <v>500</v>
      </c>
      <c r="E15" s="1112" t="s">
        <v>468</v>
      </c>
      <c r="F15" s="1112"/>
      <c r="G15" s="124">
        <v>10</v>
      </c>
      <c r="H15" s="633">
        <v>5</v>
      </c>
      <c r="I15" s="607">
        <v>1</v>
      </c>
      <c r="J15" s="617">
        <f t="shared" si="8"/>
        <v>0.16666666666666666</v>
      </c>
      <c r="K15" s="722">
        <f t="shared" si="0"/>
        <v>0.05</v>
      </c>
      <c r="L15" s="722">
        <f t="shared" si="1"/>
        <v>7.0000000000000007E-2</v>
      </c>
      <c r="M15" s="722" t="str">
        <f t="shared" si="2"/>
        <v/>
      </c>
      <c r="N15" s="761">
        <f t="shared" si="9"/>
        <v>0.12000000000000001</v>
      </c>
      <c r="O15" s="681">
        <f t="shared" si="3"/>
        <v>0.02</v>
      </c>
      <c r="P15" s="679">
        <f t="shared" si="4"/>
        <v>1.5607182381584772</v>
      </c>
      <c r="Q15" s="703">
        <f t="shared" si="10"/>
        <v>1.5607182381584772</v>
      </c>
      <c r="R15" s="679" t="str">
        <f t="shared" si="5"/>
        <v/>
      </c>
      <c r="S15" s="704" t="str">
        <f t="shared" si="11"/>
        <v/>
      </c>
      <c r="T15" s="705">
        <f t="shared" si="12"/>
        <v>0</v>
      </c>
      <c r="V15" s="681">
        <f t="shared" si="13"/>
        <v>0.1</v>
      </c>
      <c r="W15" s="685">
        <f t="shared" si="14"/>
        <v>0.1</v>
      </c>
      <c r="X15" s="683">
        <f t="shared" si="6"/>
        <v>0.1</v>
      </c>
      <c r="Y15" s="679">
        <f t="shared" si="7"/>
        <v>0</v>
      </c>
      <c r="Z15" s="694">
        <f t="shared" si="15"/>
        <v>0.1</v>
      </c>
      <c r="AA15" s="517"/>
    </row>
    <row r="16" spans="1:27" ht="15" x14ac:dyDescent="0.2">
      <c r="A16" s="622">
        <v>8</v>
      </c>
      <c r="B16" s="606">
        <v>15</v>
      </c>
      <c r="C16" s="606">
        <v>15</v>
      </c>
      <c r="D16" s="616">
        <v>800</v>
      </c>
      <c r="E16" s="1112" t="s">
        <v>469</v>
      </c>
      <c r="F16" s="1112"/>
      <c r="G16" s="124">
        <v>10</v>
      </c>
      <c r="H16" s="633">
        <v>5</v>
      </c>
      <c r="I16" s="607">
        <v>0</v>
      </c>
      <c r="J16" s="617">
        <f t="shared" si="8"/>
        <v>0</v>
      </c>
      <c r="K16" s="722">
        <f t="shared" si="0"/>
        <v>0</v>
      </c>
      <c r="L16" s="722" t="str">
        <f t="shared" si="1"/>
        <v/>
      </c>
      <c r="M16" s="722" t="str">
        <f t="shared" si="2"/>
        <v/>
      </c>
      <c r="N16" s="761">
        <f t="shared" si="9"/>
        <v>0</v>
      </c>
      <c r="O16" s="681">
        <f t="shared" si="3"/>
        <v>0</v>
      </c>
      <c r="P16" s="679">
        <f t="shared" si="4"/>
        <v>0</v>
      </c>
      <c r="Q16" s="703">
        <f t="shared" si="10"/>
        <v>0</v>
      </c>
      <c r="R16" s="679" t="str">
        <f t="shared" si="5"/>
        <v/>
      </c>
      <c r="S16" s="704" t="str">
        <f t="shared" si="11"/>
        <v/>
      </c>
      <c r="T16" s="705">
        <f t="shared" si="12"/>
        <v>0</v>
      </c>
      <c r="V16" s="681">
        <f t="shared" si="13"/>
        <v>0</v>
      </c>
      <c r="W16" s="685">
        <f t="shared" si="14"/>
        <v>0</v>
      </c>
      <c r="X16" s="683">
        <f t="shared" si="6"/>
        <v>0</v>
      </c>
      <c r="Y16" s="679">
        <f t="shared" si="7"/>
        <v>0</v>
      </c>
      <c r="Z16" s="694">
        <f t="shared" si="15"/>
        <v>0</v>
      </c>
      <c r="AA16" s="517"/>
    </row>
    <row r="17" spans="1:27" ht="15" x14ac:dyDescent="0.2">
      <c r="A17" s="622">
        <v>8</v>
      </c>
      <c r="B17" s="606">
        <v>15</v>
      </c>
      <c r="C17" s="606">
        <v>15</v>
      </c>
      <c r="D17" s="151"/>
      <c r="E17" s="1112" t="s">
        <v>48</v>
      </c>
      <c r="F17" s="1112"/>
      <c r="G17" s="124">
        <v>10</v>
      </c>
      <c r="H17" s="633">
        <v>5</v>
      </c>
      <c r="I17" s="607">
        <v>0</v>
      </c>
      <c r="J17" s="617">
        <f t="shared" si="8"/>
        <v>0</v>
      </c>
      <c r="K17" s="722">
        <f t="shared" si="0"/>
        <v>0</v>
      </c>
      <c r="L17" s="722" t="str">
        <f t="shared" si="1"/>
        <v/>
      </c>
      <c r="M17" s="722" t="str">
        <f t="shared" si="2"/>
        <v/>
      </c>
      <c r="N17" s="761">
        <f t="shared" si="9"/>
        <v>0</v>
      </c>
      <c r="O17" s="681">
        <f t="shared" si="3"/>
        <v>0</v>
      </c>
      <c r="P17" s="679">
        <f t="shared" si="4"/>
        <v>0</v>
      </c>
      <c r="Q17" s="703">
        <f t="shared" si="10"/>
        <v>0</v>
      </c>
      <c r="R17" s="679" t="str">
        <f t="shared" si="5"/>
        <v/>
      </c>
      <c r="S17" s="704" t="str">
        <f t="shared" si="11"/>
        <v/>
      </c>
      <c r="T17" s="705">
        <f>IF(S17&lt;&gt;"",IF(I17&gt;0,S17/$I17,0),0)</f>
        <v>0</v>
      </c>
      <c r="V17" s="681">
        <f t="shared" si="13"/>
        <v>0</v>
      </c>
      <c r="W17" s="685">
        <f t="shared" si="14"/>
        <v>0</v>
      </c>
      <c r="X17" s="683">
        <f t="shared" si="6"/>
        <v>0</v>
      </c>
      <c r="Y17" s="679">
        <f t="shared" si="7"/>
        <v>0</v>
      </c>
      <c r="Z17" s="694">
        <f t="shared" si="15"/>
        <v>0</v>
      </c>
      <c r="AA17" s="517"/>
    </row>
    <row r="18" spans="1:27" ht="15" x14ac:dyDescent="0.2">
      <c r="A18" s="622">
        <v>8</v>
      </c>
      <c r="B18" s="606">
        <v>15</v>
      </c>
      <c r="C18" s="606">
        <v>15</v>
      </c>
      <c r="D18" s="151"/>
      <c r="E18" s="1112" t="s">
        <v>48</v>
      </c>
      <c r="F18" s="1112"/>
      <c r="G18" s="124">
        <v>10</v>
      </c>
      <c r="H18" s="633">
        <v>5</v>
      </c>
      <c r="I18" s="607">
        <v>0</v>
      </c>
      <c r="J18" s="617">
        <f t="shared" si="8"/>
        <v>0</v>
      </c>
      <c r="K18" s="722">
        <f t="shared" si="0"/>
        <v>0</v>
      </c>
      <c r="L18" s="722" t="str">
        <f t="shared" si="1"/>
        <v/>
      </c>
      <c r="M18" s="722" t="str">
        <f t="shared" si="2"/>
        <v/>
      </c>
      <c r="N18" s="761">
        <f t="shared" si="9"/>
        <v>0</v>
      </c>
      <c r="O18" s="681">
        <f t="shared" si="3"/>
        <v>0</v>
      </c>
      <c r="P18" s="679">
        <f t="shared" si="4"/>
        <v>0</v>
      </c>
      <c r="Q18" s="703">
        <f t="shared" si="10"/>
        <v>0</v>
      </c>
      <c r="R18" s="679" t="str">
        <f t="shared" si="5"/>
        <v/>
      </c>
      <c r="S18" s="704" t="str">
        <f t="shared" si="11"/>
        <v/>
      </c>
      <c r="T18" s="705">
        <f t="shared" ref="T18:T19" si="16">IF(S18&lt;&gt;"",IF(I18&gt;0,S18/$I18,0),0)</f>
        <v>0</v>
      </c>
      <c r="V18" s="681">
        <f t="shared" si="13"/>
        <v>0</v>
      </c>
      <c r="W18" s="685">
        <f t="shared" si="14"/>
        <v>0</v>
      </c>
      <c r="X18" s="683">
        <f t="shared" si="6"/>
        <v>0</v>
      </c>
      <c r="Y18" s="679">
        <f t="shared" si="7"/>
        <v>0</v>
      </c>
      <c r="Z18" s="694">
        <f t="shared" si="15"/>
        <v>0</v>
      </c>
      <c r="AA18" s="517"/>
    </row>
    <row r="19" spans="1:27" ht="15.75" thickBot="1" x14ac:dyDescent="0.25">
      <c r="A19" s="622">
        <v>8</v>
      </c>
      <c r="B19" s="606">
        <v>15</v>
      </c>
      <c r="C19" s="606">
        <v>15</v>
      </c>
      <c r="D19" s="151"/>
      <c r="E19" s="1112" t="s">
        <v>48</v>
      </c>
      <c r="F19" s="1112"/>
      <c r="G19" s="124">
        <v>10</v>
      </c>
      <c r="H19" s="633">
        <v>5</v>
      </c>
      <c r="I19" s="618">
        <v>0</v>
      </c>
      <c r="J19" s="617">
        <f t="shared" si="8"/>
        <v>0</v>
      </c>
      <c r="K19" s="722">
        <f t="shared" si="0"/>
        <v>0</v>
      </c>
      <c r="L19" s="722" t="str">
        <f t="shared" si="1"/>
        <v/>
      </c>
      <c r="M19" s="722" t="str">
        <f t="shared" si="2"/>
        <v/>
      </c>
      <c r="N19" s="761">
        <f t="shared" si="9"/>
        <v>0</v>
      </c>
      <c r="O19" s="681">
        <f t="shared" si="3"/>
        <v>0</v>
      </c>
      <c r="P19" s="679">
        <f t="shared" si="4"/>
        <v>0</v>
      </c>
      <c r="Q19" s="703">
        <f t="shared" si="10"/>
        <v>0</v>
      </c>
      <c r="R19" s="679" t="str">
        <f t="shared" si="5"/>
        <v/>
      </c>
      <c r="S19" s="704" t="str">
        <f t="shared" si="11"/>
        <v/>
      </c>
      <c r="T19" s="705">
        <f t="shared" si="16"/>
        <v>0</v>
      </c>
      <c r="V19" s="686">
        <f t="shared" si="13"/>
        <v>0</v>
      </c>
      <c r="W19" s="687">
        <f t="shared" si="14"/>
        <v>0</v>
      </c>
      <c r="X19" s="683">
        <f t="shared" si="6"/>
        <v>0</v>
      </c>
      <c r="Y19" s="679">
        <f t="shared" si="7"/>
        <v>0</v>
      </c>
      <c r="Z19" s="694">
        <f t="shared" si="15"/>
        <v>0</v>
      </c>
      <c r="AA19" s="517"/>
    </row>
    <row r="20" spans="1:27" ht="13.5" thickBot="1" x14ac:dyDescent="0.25">
      <c r="A20" s="525"/>
      <c r="B20" s="440"/>
      <c r="C20" s="440"/>
      <c r="D20" s="440"/>
      <c r="E20" s="440"/>
      <c r="F20" s="525"/>
      <c r="G20" s="619" t="s">
        <v>82</v>
      </c>
      <c r="H20" s="620"/>
      <c r="I20" s="623">
        <f>SUM(I10:I19)</f>
        <v>6</v>
      </c>
      <c r="J20" s="624">
        <f>SUM(J10:J19)</f>
        <v>0.99999999999999989</v>
      </c>
      <c r="K20" s="631">
        <f>SUM(K10:K19)</f>
        <v>0.70000000000000007</v>
      </c>
      <c r="L20" s="632">
        <f t="shared" ref="L20:M20" si="17">SUM(L10:L19)</f>
        <v>0.47000000000000003</v>
      </c>
      <c r="M20" s="632">
        <f t="shared" si="17"/>
        <v>0</v>
      </c>
      <c r="N20" s="613">
        <f>SUM(N10:N19)</f>
        <v>1.1700000000000002</v>
      </c>
      <c r="O20" s="525"/>
      <c r="P20" s="440"/>
      <c r="Q20" s="440"/>
      <c r="R20" s="440"/>
      <c r="S20" s="440"/>
      <c r="T20" s="440"/>
      <c r="U20" s="440"/>
      <c r="V20" s="763">
        <f t="shared" ref="V20:Y20" si="18">SUM(V10:V19)</f>
        <v>0.6</v>
      </c>
      <c r="W20" s="763">
        <f t="shared" si="18"/>
        <v>0.5</v>
      </c>
      <c r="X20" s="763">
        <f t="shared" si="18"/>
        <v>0.6</v>
      </c>
      <c r="Y20" s="763">
        <f t="shared" si="18"/>
        <v>0</v>
      </c>
      <c r="Z20" s="763">
        <f>SUM(Z10:Z19)</f>
        <v>0.6</v>
      </c>
      <c r="AA20" s="521"/>
    </row>
    <row r="21" spans="1:27" x14ac:dyDescent="0.2">
      <c r="K21" s="785" t="s">
        <v>528</v>
      </c>
      <c r="L21" s="785" t="s">
        <v>529</v>
      </c>
      <c r="M21" s="785" t="s">
        <v>530</v>
      </c>
      <c r="N21" s="785" t="s">
        <v>531</v>
      </c>
      <c r="O21" s="785" t="s">
        <v>523</v>
      </c>
      <c r="P21" s="785" t="s">
        <v>524</v>
      </c>
      <c r="Q21" s="785" t="s">
        <v>525</v>
      </c>
      <c r="R21" s="786"/>
      <c r="S21" s="786"/>
      <c r="T21" s="786"/>
      <c r="U21" s="786"/>
      <c r="V21" s="785" t="s">
        <v>521</v>
      </c>
      <c r="W21" s="787"/>
      <c r="X21" s="785" t="s">
        <v>522</v>
      </c>
      <c r="Y21" s="786"/>
    </row>
    <row r="22" spans="1:27" ht="18.75" thickBot="1" x14ac:dyDescent="0.3">
      <c r="A22" s="733" t="s">
        <v>512</v>
      </c>
      <c r="K22" s="612"/>
    </row>
    <row r="23" spans="1:27" ht="17.25" customHeight="1" thickBot="1" x14ac:dyDescent="0.25">
      <c r="A23" s="764" t="s">
        <v>496</v>
      </c>
      <c r="B23" s="14"/>
      <c r="C23" s="14"/>
      <c r="D23" s="14"/>
      <c r="E23" s="14"/>
      <c r="F23" s="14"/>
      <c r="G23" s="14"/>
      <c r="H23" s="14"/>
      <c r="I23" s="14"/>
      <c r="J23" s="14"/>
      <c r="K23" s="14"/>
      <c r="L23" s="14"/>
      <c r="M23" s="14"/>
      <c r="N23" s="14"/>
      <c r="O23" s="462"/>
    </row>
    <row r="24" spans="1:27" ht="39" thickBot="1" x14ac:dyDescent="0.25">
      <c r="A24" s="251"/>
      <c r="E24" s="1149" t="str">
        <f>E8</f>
        <v>Puutavaralajit</v>
      </c>
      <c r="F24" s="1150"/>
      <c r="G24" s="711" t="str">
        <f>I8</f>
        <v>Määrä m3 (puuta)</v>
      </c>
      <c r="H24" s="713" t="s">
        <v>504</v>
      </c>
      <c r="I24" s="713" t="s">
        <v>500</v>
      </c>
      <c r="J24" s="14"/>
      <c r="K24" s="708" t="str">
        <f>K8&amp;" €/m3"</f>
        <v>Moto €/m3</v>
      </c>
      <c r="L24" s="708" t="str">
        <f>L8&amp;" €/m3"</f>
        <v>Ajokone €/m3</v>
      </c>
      <c r="M24" s="709" t="str">
        <f>M8&amp;" €/m3"</f>
        <v>X €/m3</v>
      </c>
      <c r="N24" s="707" t="s">
        <v>498</v>
      </c>
      <c r="O24" s="431" t="s">
        <v>499</v>
      </c>
    </row>
    <row r="25" spans="1:27" ht="18" x14ac:dyDescent="0.25">
      <c r="A25" s="251"/>
      <c r="E25" s="1143" t="str">
        <f>IF(E10&lt;&gt;"",E10,"")</f>
        <v>MäK</v>
      </c>
      <c r="F25" s="1144"/>
      <c r="G25" s="712">
        <f>I10</f>
        <v>1</v>
      </c>
      <c r="H25" s="710">
        <v>1</v>
      </c>
      <c r="I25" s="710">
        <v>1</v>
      </c>
      <c r="K25" s="723">
        <f t="shared" ref="K25:K34" si="19">IF(AND($H$43&gt;0,K10&gt;0,I10&gt;0),K10*$H$78/I10*$H$45*H25*I25,0)</f>
        <v>20.347863448168109</v>
      </c>
      <c r="L25" s="724">
        <f t="shared" ref="L25:L34" si="20">IF($K$43="K",IF(AND(G10&gt;0,L10&gt;0,I10&gt;0),L10*$K$78/I10*$K$45*H25*I25,0),0)</f>
        <v>6.7631123653534013</v>
      </c>
      <c r="M25" s="724">
        <f t="shared" ref="M25:M34" si="21">IF($N$43="K",IF(AND(G10&gt;0,M10&gt;0,I10&gt;0),M10*$N$78/I10*$N$45*H25*I25,0),0)</f>
        <v>0</v>
      </c>
      <c r="N25" s="725">
        <f>SUM(K25:M25)</f>
        <v>27.11097581352151</v>
      </c>
      <c r="O25" s="565">
        <f t="shared" ref="O25:O34" si="22">N25*I10</f>
        <v>27.11097581352151</v>
      </c>
    </row>
    <row r="26" spans="1:27" ht="18" x14ac:dyDescent="0.25">
      <c r="A26" s="251"/>
      <c r="E26" s="1130" t="str">
        <f t="shared" ref="E26:E34" si="23">IF(E11&lt;&gt;"",E11,"")</f>
        <v>KuK</v>
      </c>
      <c r="F26" s="1131"/>
      <c r="G26" s="672">
        <f t="shared" ref="G26:G34" si="24">I11</f>
        <v>1</v>
      </c>
      <c r="H26" s="710">
        <v>1</v>
      </c>
      <c r="I26" s="710">
        <v>1</v>
      </c>
      <c r="K26" s="723">
        <f t="shared" si="19"/>
        <v>24.417436137801733</v>
      </c>
      <c r="L26" s="724">
        <f t="shared" si="20"/>
        <v>6.7631123653534013</v>
      </c>
      <c r="M26" s="724">
        <f t="shared" si="21"/>
        <v>0</v>
      </c>
      <c r="N26" s="725">
        <f t="shared" ref="N26:N34" si="25">SUM(K26:M26)</f>
        <v>31.180548503155133</v>
      </c>
      <c r="O26" s="565">
        <f t="shared" si="22"/>
        <v>31.180548503155133</v>
      </c>
    </row>
    <row r="27" spans="1:27" ht="18" x14ac:dyDescent="0.25">
      <c r="A27" s="251"/>
      <c r="E27" s="1130" t="str">
        <f t="shared" si="23"/>
        <v>KoK</v>
      </c>
      <c r="F27" s="1131"/>
      <c r="G27" s="672">
        <f t="shared" si="24"/>
        <v>1</v>
      </c>
      <c r="H27" s="710">
        <v>1</v>
      </c>
      <c r="I27" s="710">
        <v>1</v>
      </c>
      <c r="K27" s="723">
        <f t="shared" si="19"/>
        <v>20.347863448168109</v>
      </c>
      <c r="L27" s="724">
        <f t="shared" si="20"/>
        <v>6.7631123653534013</v>
      </c>
      <c r="M27" s="724">
        <f t="shared" si="21"/>
        <v>0</v>
      </c>
      <c r="N27" s="725">
        <f t="shared" si="25"/>
        <v>27.11097581352151</v>
      </c>
      <c r="O27" s="565">
        <f t="shared" si="22"/>
        <v>27.11097581352151</v>
      </c>
    </row>
    <row r="28" spans="1:27" ht="18" x14ac:dyDescent="0.25">
      <c r="A28" s="251"/>
      <c r="E28" s="1130" t="str">
        <f t="shared" si="23"/>
        <v>MäT</v>
      </c>
      <c r="F28" s="1131"/>
      <c r="G28" s="672">
        <f t="shared" si="24"/>
        <v>1</v>
      </c>
      <c r="H28" s="710">
        <v>1</v>
      </c>
      <c r="I28" s="710">
        <v>1</v>
      </c>
      <c r="K28" s="723">
        <f t="shared" si="19"/>
        <v>6.1043590344504333</v>
      </c>
      <c r="L28" s="724">
        <f t="shared" si="20"/>
        <v>5.462513833554671</v>
      </c>
      <c r="M28" s="724">
        <f t="shared" si="21"/>
        <v>0</v>
      </c>
      <c r="N28" s="725">
        <f t="shared" si="25"/>
        <v>11.566872868005104</v>
      </c>
      <c r="O28" s="565">
        <f t="shared" si="22"/>
        <v>11.566872868005104</v>
      </c>
    </row>
    <row r="29" spans="1:27" ht="18" x14ac:dyDescent="0.25">
      <c r="A29" s="251"/>
      <c r="E29" s="1130" t="str">
        <f t="shared" si="23"/>
        <v>KuT</v>
      </c>
      <c r="F29" s="1131"/>
      <c r="G29" s="672">
        <f t="shared" si="24"/>
        <v>1</v>
      </c>
      <c r="H29" s="710">
        <v>1</v>
      </c>
      <c r="I29" s="710">
        <v>1</v>
      </c>
      <c r="K29" s="723">
        <f t="shared" si="19"/>
        <v>8.1391453792672444</v>
      </c>
      <c r="L29" s="724">
        <f t="shared" si="20"/>
        <v>5.462513833554671</v>
      </c>
      <c r="M29" s="724">
        <f t="shared" si="21"/>
        <v>0</v>
      </c>
      <c r="N29" s="725">
        <f t="shared" si="25"/>
        <v>13.601659212821914</v>
      </c>
      <c r="O29" s="565">
        <f t="shared" si="22"/>
        <v>13.601659212821914</v>
      </c>
    </row>
    <row r="30" spans="1:27" ht="18" x14ac:dyDescent="0.25">
      <c r="A30" s="251"/>
      <c r="E30" s="1130" t="str">
        <f t="shared" si="23"/>
        <v>KoT</v>
      </c>
      <c r="F30" s="1131"/>
      <c r="G30" s="672">
        <f t="shared" si="24"/>
        <v>1</v>
      </c>
      <c r="H30" s="710">
        <v>1</v>
      </c>
      <c r="I30" s="710">
        <v>1</v>
      </c>
      <c r="K30" s="723">
        <f t="shared" si="19"/>
        <v>6.1043590344504333</v>
      </c>
      <c r="L30" s="724">
        <f t="shared" si="20"/>
        <v>5.462513833554671</v>
      </c>
      <c r="M30" s="724">
        <f t="shared" si="21"/>
        <v>0</v>
      </c>
      <c r="N30" s="725">
        <f t="shared" si="25"/>
        <v>11.566872868005104</v>
      </c>
      <c r="O30" s="565">
        <f t="shared" si="22"/>
        <v>11.566872868005104</v>
      </c>
    </row>
    <row r="31" spans="1:27" ht="18" x14ac:dyDescent="0.25">
      <c r="A31" s="251"/>
      <c r="E31" s="1130" t="str">
        <f t="shared" si="23"/>
        <v>Energiapuu seka</v>
      </c>
      <c r="F31" s="1131"/>
      <c r="G31" s="672">
        <f t="shared" si="24"/>
        <v>0</v>
      </c>
      <c r="H31" s="710">
        <v>1</v>
      </c>
      <c r="I31" s="710">
        <v>1</v>
      </c>
      <c r="K31" s="723">
        <f t="shared" si="19"/>
        <v>0</v>
      </c>
      <c r="L31" s="724">
        <f t="shared" si="20"/>
        <v>0</v>
      </c>
      <c r="M31" s="724">
        <f t="shared" si="21"/>
        <v>0</v>
      </c>
      <c r="N31" s="725">
        <f t="shared" si="25"/>
        <v>0</v>
      </c>
      <c r="O31" s="565">
        <f t="shared" si="22"/>
        <v>0</v>
      </c>
    </row>
    <row r="32" spans="1:27" ht="18" x14ac:dyDescent="0.25">
      <c r="A32" s="251"/>
      <c r="E32" s="1130" t="str">
        <f t="shared" si="23"/>
        <v>x</v>
      </c>
      <c r="F32" s="1131"/>
      <c r="G32" s="672">
        <f t="shared" si="24"/>
        <v>0</v>
      </c>
      <c r="H32" s="710">
        <v>1</v>
      </c>
      <c r="I32" s="710">
        <v>1</v>
      </c>
      <c r="K32" s="723">
        <f t="shared" si="19"/>
        <v>0</v>
      </c>
      <c r="L32" s="724">
        <f t="shared" si="20"/>
        <v>0</v>
      </c>
      <c r="M32" s="724">
        <f t="shared" si="21"/>
        <v>0</v>
      </c>
      <c r="N32" s="725">
        <f t="shared" si="25"/>
        <v>0</v>
      </c>
      <c r="O32" s="565">
        <f t="shared" si="22"/>
        <v>0</v>
      </c>
    </row>
    <row r="33" spans="1:17" ht="18" x14ac:dyDescent="0.25">
      <c r="A33" s="251"/>
      <c r="E33" s="1130" t="str">
        <f t="shared" si="23"/>
        <v>x</v>
      </c>
      <c r="F33" s="1131"/>
      <c r="G33" s="672">
        <f t="shared" si="24"/>
        <v>0</v>
      </c>
      <c r="H33" s="710">
        <v>1</v>
      </c>
      <c r="I33" s="710">
        <v>1</v>
      </c>
      <c r="K33" s="723">
        <f t="shared" si="19"/>
        <v>0</v>
      </c>
      <c r="L33" s="724">
        <f t="shared" si="20"/>
        <v>0</v>
      </c>
      <c r="M33" s="724">
        <f t="shared" si="21"/>
        <v>0</v>
      </c>
      <c r="N33" s="725">
        <f t="shared" si="25"/>
        <v>0</v>
      </c>
      <c r="O33" s="565">
        <f t="shared" si="22"/>
        <v>0</v>
      </c>
    </row>
    <row r="34" spans="1:17" ht="18.75" thickBot="1" x14ac:dyDescent="0.3">
      <c r="A34" s="251"/>
      <c r="E34" s="1132" t="str">
        <f t="shared" si="23"/>
        <v>x</v>
      </c>
      <c r="F34" s="1133"/>
      <c r="G34" s="672">
        <f t="shared" si="24"/>
        <v>0</v>
      </c>
      <c r="H34" s="710">
        <v>1</v>
      </c>
      <c r="I34" s="710">
        <v>1</v>
      </c>
      <c r="K34" s="726">
        <f t="shared" si="19"/>
        <v>0</v>
      </c>
      <c r="L34" s="727">
        <f t="shared" si="20"/>
        <v>0</v>
      </c>
      <c r="M34" s="727">
        <f t="shared" si="21"/>
        <v>0</v>
      </c>
      <c r="N34" s="728">
        <f t="shared" si="25"/>
        <v>0</v>
      </c>
      <c r="O34" s="714">
        <f t="shared" si="22"/>
        <v>0</v>
      </c>
    </row>
    <row r="35" spans="1:17" ht="18.75" thickBot="1" x14ac:dyDescent="0.3">
      <c r="A35" s="765"/>
      <c r="B35" s="440"/>
      <c r="C35" s="440"/>
      <c r="D35" s="440"/>
      <c r="E35" s="525"/>
      <c r="F35" s="440"/>
      <c r="G35" s="440"/>
      <c r="H35" s="440"/>
      <c r="I35" s="440"/>
      <c r="J35" s="715" t="s">
        <v>505</v>
      </c>
      <c r="K35" s="729">
        <f>AVERAGE(K25:K34)</f>
        <v>8.5461026482306082</v>
      </c>
      <c r="L35" s="729">
        <f t="shared" ref="L35:N35" si="26">AVERAGE(L25:L34)</f>
        <v>3.6676878596724216</v>
      </c>
      <c r="M35" s="729">
        <f t="shared" si="26"/>
        <v>0</v>
      </c>
      <c r="N35" s="729">
        <f t="shared" si="26"/>
        <v>12.213790507903028</v>
      </c>
      <c r="O35" s="716">
        <f>SUM(O25:O34)</f>
        <v>122.13790507903028</v>
      </c>
    </row>
    <row r="36" spans="1:17" x14ac:dyDescent="0.2">
      <c r="A36" s="608"/>
      <c r="K36" s="783" t="s">
        <v>532</v>
      </c>
      <c r="L36" s="784" t="s">
        <v>533</v>
      </c>
      <c r="M36" s="783" t="s">
        <v>534</v>
      </c>
      <c r="N36" s="783" t="s">
        <v>535</v>
      </c>
      <c r="O36" s="783" t="s">
        <v>536</v>
      </c>
    </row>
    <row r="37" spans="1:17" ht="18" x14ac:dyDescent="0.25">
      <c r="A37" s="733" t="s">
        <v>513</v>
      </c>
      <c r="K37" s="612"/>
    </row>
    <row r="38" spans="1:17" ht="13.5" thickBot="1" x14ac:dyDescent="0.25">
      <c r="A38" s="608"/>
      <c r="K38" s="612"/>
    </row>
    <row r="39" spans="1:17" x14ac:dyDescent="0.2">
      <c r="A39" s="764" t="s">
        <v>470</v>
      </c>
      <c r="B39" s="14"/>
      <c r="C39" s="14"/>
      <c r="D39" s="14"/>
      <c r="E39" s="14"/>
      <c r="F39" s="14"/>
      <c r="G39" s="14"/>
      <c r="H39" s="14"/>
      <c r="I39" s="14"/>
      <c r="J39" s="14"/>
      <c r="K39" s="14"/>
      <c r="L39" s="14"/>
      <c r="M39" s="14"/>
      <c r="N39" s="14"/>
      <c r="O39" s="14"/>
      <c r="P39" s="462"/>
    </row>
    <row r="40" spans="1:17" x14ac:dyDescent="0.2">
      <c r="A40" s="250" t="s">
        <v>541</v>
      </c>
      <c r="H40" s="783" t="s">
        <v>537</v>
      </c>
      <c r="K40" s="783" t="s">
        <v>538</v>
      </c>
      <c r="N40" s="783" t="s">
        <v>539</v>
      </c>
      <c r="O40" s="783" t="s">
        <v>540</v>
      </c>
      <c r="P40" s="517"/>
    </row>
    <row r="41" spans="1:17" ht="19.5" customHeight="1" x14ac:dyDescent="0.2">
      <c r="A41" s="250" t="s">
        <v>542</v>
      </c>
      <c r="H41" s="122" t="s">
        <v>471</v>
      </c>
      <c r="I41" s="122"/>
      <c r="J41" s="122"/>
      <c r="K41" s="122" t="s">
        <v>472</v>
      </c>
      <c r="L41" s="122"/>
      <c r="M41" s="122"/>
      <c r="N41" s="122" t="s">
        <v>473</v>
      </c>
      <c r="O41" s="122" t="s">
        <v>82</v>
      </c>
      <c r="P41" s="517"/>
    </row>
    <row r="42" spans="1:17" ht="13.5" thickBot="1" x14ac:dyDescent="0.25">
      <c r="A42" s="250" t="s">
        <v>147</v>
      </c>
      <c r="H42" s="429" t="s">
        <v>148</v>
      </c>
      <c r="I42" s="122"/>
      <c r="J42" s="122"/>
      <c r="K42" s="429" t="s">
        <v>148</v>
      </c>
      <c r="L42" s="122"/>
      <c r="M42" s="122"/>
      <c r="N42" s="429" t="s">
        <v>148</v>
      </c>
      <c r="O42" s="122"/>
      <c r="P42" s="517"/>
    </row>
    <row r="43" spans="1:17" ht="16.5" thickBot="1" x14ac:dyDescent="0.3">
      <c r="A43" s="250" t="s">
        <v>149</v>
      </c>
      <c r="H43" s="428" t="s">
        <v>60</v>
      </c>
      <c r="I43" s="430"/>
      <c r="J43" s="430"/>
      <c r="K43" s="428" t="s">
        <v>60</v>
      </c>
      <c r="L43" s="430"/>
      <c r="M43" s="430"/>
      <c r="N43" s="428" t="s">
        <v>62</v>
      </c>
      <c r="O43" s="122"/>
      <c r="P43" s="517"/>
    </row>
    <row r="44" spans="1:17" ht="13.5" customHeight="1" thickBot="1" x14ac:dyDescent="0.25">
      <c r="A44" s="251"/>
      <c r="H44" s="675" t="str">
        <f>'Metsäkone (moto)'!A2</f>
        <v>Moto</v>
      </c>
      <c r="I44" s="128"/>
      <c r="J44" s="129"/>
      <c r="K44" s="676" t="str">
        <f>'Metsäkone (ajokone)'!A2</f>
        <v>Ajokone</v>
      </c>
      <c r="L44" s="128"/>
      <c r="M44" s="129"/>
      <c r="N44" s="676" t="str">
        <f>'Metsäkone (ajokone 2)'!A2</f>
        <v>Ajokone 2</v>
      </c>
      <c r="O44" s="134"/>
      <c r="P44" s="517"/>
    </row>
    <row r="45" spans="1:17" ht="13.5" customHeight="1" thickBot="1" x14ac:dyDescent="0.25">
      <c r="A45" s="1140" t="s">
        <v>474</v>
      </c>
      <c r="B45" s="1141"/>
      <c r="C45" s="1141"/>
      <c r="D45" s="1141"/>
      <c r="E45" s="1141"/>
      <c r="F45" s="1141"/>
      <c r="G45" s="1142"/>
      <c r="H45" s="678">
        <v>1</v>
      </c>
      <c r="I45" s="130"/>
      <c r="J45" s="131"/>
      <c r="K45" s="678">
        <v>1</v>
      </c>
      <c r="L45" s="1147" t="str">
        <f>IF(AND(N43="K",K45=100%),"&lt;---Tarkista %-jako!---&gt;","Ok")</f>
        <v>Ok</v>
      </c>
      <c r="M45" s="1148"/>
      <c r="N45" s="678">
        <v>0</v>
      </c>
      <c r="O45" s="134"/>
      <c r="P45" s="772">
        <f>SUM(K45,N45)</f>
        <v>1</v>
      </c>
      <c r="Q45" t="str">
        <f>IF(P45&gt;100%,"Tarkista %!","Ok")</f>
        <v>Ok</v>
      </c>
    </row>
    <row r="46" spans="1:17" ht="5.25" customHeight="1" x14ac:dyDescent="0.2">
      <c r="A46" s="251"/>
      <c r="H46" s="677"/>
      <c r="I46" s="132"/>
      <c r="J46" s="133"/>
      <c r="K46" s="676"/>
      <c r="L46" s="132"/>
      <c r="M46" s="133"/>
      <c r="N46" s="676"/>
      <c r="O46" s="135"/>
      <c r="P46" s="517"/>
    </row>
    <row r="47" spans="1:17" hidden="1" x14ac:dyDescent="0.2">
      <c r="A47" s="251" t="str">
        <f>'Metsäkone (moto)'!A4</f>
        <v>Koneen arvioitu käyttöaika</v>
      </c>
      <c r="H47" s="134" t="str">
        <f>'Metsäkone (moto)'!T4</f>
        <v>Tunnit yhteensä</v>
      </c>
      <c r="K47" s="134" t="str">
        <f>'Metsäkone (ajokone)'!T4</f>
        <v>Tunnit yhteensä</v>
      </c>
      <c r="N47" s="138" t="str">
        <f>'Metsäkone (ajokone 2)'!T4</f>
        <v>Tunnit yhteensä</v>
      </c>
      <c r="O47" s="135"/>
      <c r="P47" s="517"/>
    </row>
    <row r="48" spans="1:17" hidden="1" x14ac:dyDescent="0.2">
      <c r="A48" s="251" t="str">
        <f>'Metsäkone (moto)'!A5</f>
        <v>Käyttötunnit/vuosi</v>
      </c>
      <c r="H48" s="135"/>
      <c r="K48" s="136"/>
      <c r="L48" s="435"/>
      <c r="M48" s="435"/>
      <c r="N48" s="139"/>
      <c r="O48" s="135"/>
      <c r="P48" s="517"/>
    </row>
    <row r="49" spans="1:16" hidden="1" x14ac:dyDescent="0.2">
      <c r="A49" s="251" t="str">
        <f>'Metsäkone (moto)'!A7</f>
        <v>Koneen hankintahinta alv</v>
      </c>
      <c r="H49" s="135"/>
      <c r="K49" s="136"/>
      <c r="L49" s="435"/>
      <c r="M49" s="435"/>
      <c r="N49" s="139"/>
      <c r="O49" s="135"/>
      <c r="P49" s="517"/>
    </row>
    <row r="50" spans="1:16" hidden="1" x14ac:dyDescent="0.2">
      <c r="A50" s="251" t="str">
        <f>'Metsäkone (moto)'!A8</f>
        <v>ALV:n osuus</v>
      </c>
      <c r="H50" s="135"/>
      <c r="K50" s="136"/>
      <c r="L50" s="435"/>
      <c r="M50" s="435"/>
      <c r="N50" s="139"/>
      <c r="O50" s="135"/>
      <c r="P50" s="517"/>
    </row>
    <row r="51" spans="1:16" hidden="1" x14ac:dyDescent="0.2">
      <c r="A51" s="251" t="str">
        <f>'Metsäkone (moto)'!A9</f>
        <v>Koneen hankintahinta alv 0 % (Laskennan peruste)</v>
      </c>
      <c r="H51" s="135"/>
      <c r="K51" s="136"/>
      <c r="L51" s="435"/>
      <c r="M51" s="435"/>
      <c r="N51" s="139"/>
      <c r="O51" s="135"/>
      <c r="P51" s="517"/>
    </row>
    <row r="52" spans="1:16" hidden="1" x14ac:dyDescent="0.2">
      <c r="A52" s="251" t="str">
        <f>'Metsäkone (moto)'!A10</f>
        <v>Jäännösarvo (Arvio koneen arvosta se myytäessä)</v>
      </c>
      <c r="H52" s="135"/>
      <c r="K52" s="136"/>
      <c r="L52" s="435"/>
      <c r="M52" s="435"/>
      <c r="N52" s="139"/>
      <c r="O52" s="135"/>
      <c r="P52" s="517"/>
    </row>
    <row r="53" spans="1:16" hidden="1" x14ac:dyDescent="0.2">
      <c r="A53" s="251" t="str">
        <f>'Metsäkone (moto)'!A11</f>
        <v>Hank.hinta-jäännösarvo</v>
      </c>
      <c r="H53" s="135"/>
      <c r="K53" s="136"/>
      <c r="L53" s="435"/>
      <c r="M53" s="435"/>
      <c r="N53" s="139"/>
      <c r="O53" s="135"/>
      <c r="P53" s="517"/>
    </row>
    <row r="54" spans="1:16" x14ac:dyDescent="0.2">
      <c r="A54" s="314" t="str">
        <f>'Metsäkone (moto)'!A12</f>
        <v>Kiinteät kustannukset €/v</v>
      </c>
      <c r="H54" s="599" t="str">
        <f>IF($H$43="e","X","")</f>
        <v/>
      </c>
      <c r="K54" s="599" t="str">
        <f>IF($K$43="e","X","")</f>
        <v/>
      </c>
      <c r="L54" s="435"/>
      <c r="M54" s="435"/>
      <c r="N54" s="599" t="str">
        <f>IF($N$43="e","X","")</f>
        <v>X</v>
      </c>
      <c r="O54" s="135"/>
      <c r="P54" s="517"/>
    </row>
    <row r="55" spans="1:16" x14ac:dyDescent="0.2">
      <c r="A55" s="251"/>
      <c r="B55" t="str">
        <f>'Metsäkone (moto)'!B13</f>
        <v>Poisto ja korko yhteensä</v>
      </c>
      <c r="H55" s="136">
        <f>IF(H43="k",'Metsäkone (moto)'!T13,"")</f>
        <v>61752.988047808765</v>
      </c>
      <c r="I55" s="435"/>
      <c r="J55" s="435"/>
      <c r="K55" s="136">
        <f>IF(K43="k",'Metsäkone (ajokone)'!T13,"")</f>
        <v>31872.509960159361</v>
      </c>
      <c r="L55" s="435"/>
      <c r="M55" s="435"/>
      <c r="N55" s="139" t="str">
        <f>IF(N43="k",'Metsäkone (ajokone 2)'!T13,"")</f>
        <v/>
      </c>
      <c r="O55" s="479">
        <f>SUM(H55:N55)</f>
        <v>93625.498007968126</v>
      </c>
      <c r="P55" s="517"/>
    </row>
    <row r="56" spans="1:16" x14ac:dyDescent="0.2">
      <c r="A56" s="251"/>
      <c r="B56" t="str">
        <f>'Metsäkone (moto)'!B14</f>
        <v>Korko</v>
      </c>
      <c r="H56" s="136">
        <f>IF(H43="k",'Metsäkone (moto)'!T14,"")</f>
        <v>9960.1593625498008</v>
      </c>
      <c r="I56" s="435"/>
      <c r="J56" s="435"/>
      <c r="K56" s="136">
        <f>IF(K43="k",'Metsäkone (ajokone)'!T14,"")</f>
        <v>5976.0956175298807</v>
      </c>
      <c r="L56" s="435"/>
      <c r="M56" s="435"/>
      <c r="N56" s="139" t="str">
        <f>IF(N43="k",'Metsäkone (ajokone 2)'!T14,"")</f>
        <v/>
      </c>
      <c r="O56" s="479">
        <f t="shared" ref="O56:O80" si="27">SUM(H56:N56)</f>
        <v>15936.254980079681</v>
      </c>
      <c r="P56" s="517"/>
    </row>
    <row r="57" spans="1:16" x14ac:dyDescent="0.2">
      <c r="A57" s="251"/>
      <c r="B57" t="str">
        <f>'Metsäkone (moto)'!B15</f>
        <v>Poisto</v>
      </c>
      <c r="H57" s="136">
        <f>IF(H43="k",'Metsäkone (moto)'!T15,"")</f>
        <v>51792.828685258966</v>
      </c>
      <c r="I57" s="435"/>
      <c r="J57" s="435"/>
      <c r="K57" s="136">
        <f>IF(K43="k",'Metsäkone (ajokone)'!T15,"")</f>
        <v>25896.41434262948</v>
      </c>
      <c r="L57" s="435"/>
      <c r="M57" s="435"/>
      <c r="N57" s="139" t="str">
        <f>IF(N43="k",'Metsäkone (ajokone 2)'!T15,"")</f>
        <v/>
      </c>
      <c r="O57" s="479">
        <f t="shared" si="27"/>
        <v>77689.243027888442</v>
      </c>
      <c r="P57" s="517"/>
    </row>
    <row r="58" spans="1:16" hidden="1" x14ac:dyDescent="0.2">
      <c r="A58" s="251"/>
      <c r="H58" s="136">
        <f>'Metsäkone (moto)'!T16</f>
        <v>0</v>
      </c>
      <c r="I58" s="435"/>
      <c r="J58" s="435"/>
      <c r="K58" s="136">
        <f>'Metsäkone (ajokone)'!T16</f>
        <v>0</v>
      </c>
      <c r="L58" s="435"/>
      <c r="M58" s="435"/>
      <c r="N58" s="139">
        <f>'Metsäkone (ajokone 2)'!T16</f>
        <v>0</v>
      </c>
      <c r="O58" s="479">
        <f t="shared" si="27"/>
        <v>0</v>
      </c>
      <c r="P58" s="517"/>
    </row>
    <row r="59" spans="1:16" x14ac:dyDescent="0.2">
      <c r="A59" s="251"/>
      <c r="B59" t="str">
        <f>'Metsäkone (moto)'!B17</f>
        <v>Liikennevakuutus/bonus%/€/v</v>
      </c>
      <c r="H59" s="136" t="str">
        <f>IF(H43="",'Metsäkone (moto)'!T17,"")</f>
        <v/>
      </c>
      <c r="I59" s="435"/>
      <c r="J59" s="435"/>
      <c r="K59" s="136">
        <f>IF(K43="k",'Metsäkone (ajokone)'!T17,"")</f>
        <v>100</v>
      </c>
      <c r="L59" s="435"/>
      <c r="M59" s="435"/>
      <c r="N59" s="139" t="str">
        <f>IF(N43="k",'Metsäkone (ajokone 2)'!T17,"")</f>
        <v/>
      </c>
      <c r="O59" s="479">
        <f t="shared" si="27"/>
        <v>100</v>
      </c>
      <c r="P59" s="517"/>
    </row>
    <row r="60" spans="1:16" x14ac:dyDescent="0.2">
      <c r="A60" s="251"/>
      <c r="B60" t="str">
        <f>'Metsäkone (moto)'!B18</f>
        <v>Vahinkovakuutus Kasko (Osakasko:Palo- ja varkausvakuutus) €/v</v>
      </c>
      <c r="H60" s="136">
        <f>IF(H43="k",'Metsäkone (moto)'!T18,"")</f>
        <v>1000</v>
      </c>
      <c r="I60" s="435"/>
      <c r="J60" s="435"/>
      <c r="K60" s="136">
        <f>IF(K43="k",'Metsäkone (ajokone)'!T18,"")</f>
        <v>1000</v>
      </c>
      <c r="L60" s="435"/>
      <c r="M60" s="435"/>
      <c r="N60" s="139" t="str">
        <f>IF(N43="k",'Metsäkone (ajokone 2)'!T18,"")</f>
        <v/>
      </c>
      <c r="O60" s="479">
        <f t="shared" si="27"/>
        <v>2000</v>
      </c>
      <c r="P60" s="517"/>
    </row>
    <row r="61" spans="1:16" x14ac:dyDescent="0.2">
      <c r="A61" s="251"/>
      <c r="B61" t="str">
        <f>'Metsäkone (moto)'!B19</f>
        <v>Muut yrityksen kulut hallinto yms. Jaa yhteiskustannus koneille</v>
      </c>
      <c r="H61" s="136">
        <f>IF(H43="k",'Metsäkone (moto)'!T19,"")</f>
        <v>20000</v>
      </c>
      <c r="I61" s="435"/>
      <c r="J61" s="435"/>
      <c r="K61" s="136">
        <f>IF(K43="k",'Metsäkone (ajokone)'!T19,"")</f>
        <v>20000</v>
      </c>
      <c r="L61" s="435"/>
      <c r="M61" s="435"/>
      <c r="N61" s="139" t="str">
        <f>IF(N43="k",'Metsäkone (ajokone 2)'!T19,"")</f>
        <v/>
      </c>
      <c r="O61" s="479">
        <f t="shared" si="27"/>
        <v>40000</v>
      </c>
      <c r="P61" s="517"/>
    </row>
    <row r="62" spans="1:16" hidden="1" x14ac:dyDescent="0.2">
      <c r="A62" s="251"/>
      <c r="H62" s="136">
        <f>'Metsäkone (moto)'!T20</f>
        <v>0</v>
      </c>
      <c r="I62" s="435"/>
      <c r="J62" s="435"/>
      <c r="K62" s="136">
        <f>'Metsäkone (ajokone)'!T20</f>
        <v>0</v>
      </c>
      <c r="L62" s="435"/>
      <c r="M62" s="435"/>
      <c r="N62" s="139">
        <f>'Metsäkone (ajokone 2)'!T20</f>
        <v>0</v>
      </c>
      <c r="O62" s="479">
        <f t="shared" si="27"/>
        <v>0</v>
      </c>
      <c r="P62" s="517"/>
    </row>
    <row r="63" spans="1:16" x14ac:dyDescent="0.2">
      <c r="A63" s="251"/>
      <c r="B63" t="str">
        <f>'Metsäkone (moto)'!B21</f>
        <v>Säilytyskustannus</v>
      </c>
      <c r="H63" s="136">
        <f>IF(H43="k",'Metsäkone (moto)'!T21,"")</f>
        <v>1195.2191235059761</v>
      </c>
      <c r="I63" s="435"/>
      <c r="J63" s="435"/>
      <c r="K63" s="136">
        <f>IF(K43="k",'Metsäkone (ajokone)'!T21,"")</f>
        <v>717.13147410358567</v>
      </c>
      <c r="L63" s="435"/>
      <c r="M63" s="435"/>
      <c r="N63" s="139" t="str">
        <f>IF(N43="k",'Metsäkone (ajokone 2)'!T21,"")</f>
        <v/>
      </c>
      <c r="O63" s="479">
        <f t="shared" si="27"/>
        <v>1912.3505976095616</v>
      </c>
      <c r="P63" s="517"/>
    </row>
    <row r="64" spans="1:16" x14ac:dyDescent="0.2">
      <c r="A64" s="251"/>
      <c r="B64" t="str">
        <f>'Metsäkone (moto)'!B22</f>
        <v>Kiinteät kustannukset yhteensä vuodessa</v>
      </c>
      <c r="G64" s="435">
        <f>IF($H$43="K",'Metsäkone (moto)'!U22,"")</f>
        <v>39.552097492383403</v>
      </c>
      <c r="H64" s="136">
        <f>IF(H43="k",'Metsäkone (moto)'!T22,"")</f>
        <v>84048.207171314731</v>
      </c>
      <c r="I64" s="435"/>
      <c r="J64" s="435">
        <f>IF($K$43="K",'Metsäkone (ajokone)'!U22,"")</f>
        <v>23.86206285967242</v>
      </c>
      <c r="K64" s="136">
        <f>IF(K43="k",'Metsäkone (ajokone)'!T22,"")</f>
        <v>53689.641434262943</v>
      </c>
      <c r="L64" s="435"/>
      <c r="M64" s="435" t="str">
        <f>IF($N$43="K",'Metsäkone (ajokone 2)'!U22,"")</f>
        <v/>
      </c>
      <c r="N64" s="139" t="str">
        <f>IF(N43="k",'Metsäkone (ajokone 2)'!T22,"")</f>
        <v/>
      </c>
      <c r="O64" s="479">
        <f t="shared" si="27"/>
        <v>137761.71066843736</v>
      </c>
      <c r="P64" s="517"/>
    </row>
    <row r="65" spans="1:16" x14ac:dyDescent="0.2">
      <c r="A65" s="314" t="str">
        <f>'Metsäkone (moto)'!A23</f>
        <v>Muuttuvat kustannukset €/v</v>
      </c>
      <c r="H65" s="599" t="str">
        <f>IF($H$43="e","X","")</f>
        <v/>
      </c>
      <c r="I65" s="435"/>
      <c r="J65" s="435"/>
      <c r="K65" s="599" t="str">
        <f>IF($K$43="e","X","")</f>
        <v/>
      </c>
      <c r="L65" s="435"/>
      <c r="M65" s="435"/>
      <c r="N65" s="599" t="str">
        <f>IF($N$43="e","X","")</f>
        <v>X</v>
      </c>
      <c r="O65" s="479"/>
      <c r="P65" s="517"/>
    </row>
    <row r="66" spans="1:16" x14ac:dyDescent="0.2">
      <c r="A66" s="251"/>
      <c r="B66" t="str">
        <f>'Metsäkone (moto)'!B24</f>
        <v>Kunnossapitokustannus €/v</v>
      </c>
      <c r="H66" s="136">
        <f>IF(H43="k",'Metsäkone (moto)'!T24,"")</f>
        <v>15000</v>
      </c>
      <c r="I66" s="435"/>
      <c r="J66" s="435"/>
      <c r="K66" s="136">
        <f>IF(K43="k",'Metsäkone (ajokone)'!T24,"")</f>
        <v>3000</v>
      </c>
      <c r="L66" s="435"/>
      <c r="M66" s="435"/>
      <c r="N66" s="139" t="str">
        <f>IF(N43="k",'Metsäkone (ajokone 2)'!T24,"")</f>
        <v/>
      </c>
      <c r="O66" s="479">
        <f t="shared" si="27"/>
        <v>18000</v>
      </c>
      <c r="P66" s="517"/>
    </row>
    <row r="67" spans="1:16" x14ac:dyDescent="0.2">
      <c r="A67" s="251"/>
      <c r="B67" t="str">
        <f>'Metsäkone (moto)'!B25</f>
        <v>Polttoaineen kulutus l/h hinta/l</v>
      </c>
      <c r="H67" s="136">
        <f>IF(H43="k",'Metsäkone (moto)'!T25,"")</f>
        <v>55000</v>
      </c>
      <c r="I67" s="435"/>
      <c r="J67" s="435"/>
      <c r="K67" s="136">
        <f>IF(K43="k",'Metsäkone (ajokone)'!T25,"")</f>
        <v>41250</v>
      </c>
      <c r="L67" s="435"/>
      <c r="M67" s="435"/>
      <c r="N67" s="139" t="str">
        <f>IF(N43="k",'Metsäkone (ajokone 2)'!T25,"")</f>
        <v/>
      </c>
      <c r="O67" s="479">
        <f t="shared" si="27"/>
        <v>96250</v>
      </c>
      <c r="P67" s="517"/>
    </row>
    <row r="68" spans="1:16" x14ac:dyDescent="0.2">
      <c r="A68" s="251"/>
      <c r="B68" t="str">
        <f>'Metsäkone (moto)'!B26</f>
        <v>Lisäaine</v>
      </c>
      <c r="H68" s="136">
        <f>IF(H43="k",'Metsäkone (moto)'!T26,"")</f>
        <v>0</v>
      </c>
      <c r="I68" s="435"/>
      <c r="J68" s="435"/>
      <c r="K68" s="136">
        <f>IF(K43="k",'Metsäkone (ajokone)'!T26,"")</f>
        <v>0</v>
      </c>
      <c r="L68" s="435"/>
      <c r="M68" s="435"/>
      <c r="N68" s="139" t="str">
        <f>IF(N43="k",'Metsäkone (ajokone 2)'!T26,"")</f>
        <v/>
      </c>
      <c r="O68" s="479">
        <f t="shared" si="27"/>
        <v>0</v>
      </c>
      <c r="P68" s="517"/>
    </row>
    <row r="69" spans="1:16" x14ac:dyDescent="0.2">
      <c r="A69" s="251"/>
      <c r="B69" t="str">
        <f>'Metsäkone (moto)'!B27</f>
        <v>AdBlue</v>
      </c>
      <c r="H69" s="136">
        <f>IF(H43="k",'Metsäkone (moto)'!T27,"")</f>
        <v>3500.0000000000005</v>
      </c>
      <c r="I69" s="435"/>
      <c r="J69" s="435"/>
      <c r="K69" s="136">
        <f>IF(K43="k",'Metsäkone (ajokone)'!T27,"")</f>
        <v>2625.0000000000005</v>
      </c>
      <c r="L69" s="435"/>
      <c r="M69" s="435"/>
      <c r="N69" s="139" t="str">
        <f>IF(N43="k",'Metsäkone (ajokone 2)'!T27,"")</f>
        <v/>
      </c>
      <c r="O69" s="479">
        <f t="shared" si="27"/>
        <v>6125.0000000000009</v>
      </c>
      <c r="P69" s="517"/>
    </row>
    <row r="70" spans="1:16" x14ac:dyDescent="0.2">
      <c r="A70" s="251"/>
      <c r="B70" t="str">
        <f>'Metsäkone (moto)'!B28</f>
        <v>Muut:</v>
      </c>
      <c r="H70" s="136">
        <f>IF(H43="k",'Metsäkone (moto)'!T28,"")</f>
        <v>7500</v>
      </c>
      <c r="I70" s="435"/>
      <c r="J70" s="435"/>
      <c r="K70" s="136">
        <f>IF(K43="k",'Metsäkone (ajokone)'!T28,"")</f>
        <v>7500</v>
      </c>
      <c r="L70" s="435"/>
      <c r="M70" s="435"/>
      <c r="N70" s="139" t="str">
        <f>IF(N43="k",'Metsäkone (ajokone 2)'!T28,"")</f>
        <v/>
      </c>
      <c r="O70" s="479">
        <f t="shared" si="27"/>
        <v>15000</v>
      </c>
      <c r="P70" s="517"/>
    </row>
    <row r="71" spans="1:16" x14ac:dyDescent="0.2">
      <c r="A71" s="251"/>
      <c r="B71" t="str">
        <f>'Metsäkone (moto)'!B29</f>
        <v>Muut:</v>
      </c>
      <c r="H71" s="136">
        <f>IF(H43="k",'Metsäkone (moto)'!T29,"")</f>
        <v>0</v>
      </c>
      <c r="I71" s="435"/>
      <c r="J71" s="435"/>
      <c r="K71" s="136">
        <f>IF(K43="k",'Metsäkone (ajokone)'!T29,"")</f>
        <v>0</v>
      </c>
      <c r="L71" s="435"/>
      <c r="M71" s="435"/>
      <c r="N71" s="139" t="str">
        <f>IF(N43="k",'Metsäkone (ajokone 2)'!T29,"")</f>
        <v/>
      </c>
      <c r="O71" s="479">
        <f t="shared" si="27"/>
        <v>0</v>
      </c>
      <c r="P71" s="517"/>
    </row>
    <row r="72" spans="1:16" x14ac:dyDescent="0.2">
      <c r="A72" s="251"/>
      <c r="B72" t="str">
        <f>'Metsäkone (moto)'!B30</f>
        <v>Muuttuvat kustannukset/vuosi</v>
      </c>
      <c r="G72" s="435">
        <f>IF($H$43="K",'Metsäkone (moto)'!U30,"")</f>
        <v>38.117647058823529</v>
      </c>
      <c r="H72" s="136">
        <f>IF(H43="k",'Metsäkone (moto)'!T30,"")</f>
        <v>81000</v>
      </c>
      <c r="I72" s="435"/>
      <c r="J72" s="435">
        <f>IF($K$43="K",'Metsäkone (ajokone)'!U30,"")</f>
        <v>24.166666666666668</v>
      </c>
      <c r="K72" s="136">
        <f>IF(K43="k",'Metsäkone (ajokone)'!T30,"")</f>
        <v>54375</v>
      </c>
      <c r="L72" s="435"/>
      <c r="M72" s="435" t="str">
        <f>IF($N$43="K",'Metsäkone (ajokone 2)'!U30,"")</f>
        <v/>
      </c>
      <c r="N72" s="139" t="str">
        <f>IF(N43="k",'Metsäkone (ajokone 2)'!T30,"")</f>
        <v/>
      </c>
      <c r="O72" s="479">
        <f t="shared" si="27"/>
        <v>135399.16666666669</v>
      </c>
      <c r="P72" s="517"/>
    </row>
    <row r="73" spans="1:16" x14ac:dyDescent="0.2">
      <c r="A73" s="314" t="str">
        <f>'Metsäkone (moto)'!A31</f>
        <v>Kustannukset yhteensä (kiinteät ja muuttuvat kustannukset) €/v</v>
      </c>
      <c r="H73" s="599" t="str">
        <f>IF($H$43="e","X","")</f>
        <v/>
      </c>
      <c r="I73" s="435"/>
      <c r="J73" s="435"/>
      <c r="K73" s="600" t="str">
        <f>IF(K43="e","X","")</f>
        <v/>
      </c>
      <c r="L73" s="435"/>
      <c r="M73" s="435"/>
      <c r="N73" s="600" t="str">
        <f>IF(N43="e","X","")</f>
        <v>X</v>
      </c>
      <c r="O73" s="479"/>
      <c r="P73" s="517"/>
    </row>
    <row r="74" spans="1:16" hidden="1" x14ac:dyDescent="0.2">
      <c r="A74" s="251"/>
      <c r="H74" s="136">
        <f>'Metsäkone (moto)'!T32</f>
        <v>0</v>
      </c>
      <c r="I74" s="435"/>
      <c r="J74" s="435"/>
      <c r="K74" s="136">
        <f>'Metsäkone (ajokone)'!T32</f>
        <v>0</v>
      </c>
      <c r="L74" s="435"/>
      <c r="M74" s="435"/>
      <c r="N74" s="139">
        <f>'Metsäkone (ajokone 2)'!T32</f>
        <v>0</v>
      </c>
      <c r="O74" s="479">
        <f t="shared" si="27"/>
        <v>0</v>
      </c>
      <c r="P74" s="517"/>
    </row>
    <row r="75" spans="1:16" x14ac:dyDescent="0.2">
      <c r="A75" s="251" t="str">
        <f>'Metsäkone (moto)'!A33</f>
        <v>Koneen työtunnin hinta (yrittäjän oma hinta)</v>
      </c>
      <c r="H75" s="136">
        <f>IF(H43="k",'Metsäkone (moto)'!T33,"")</f>
        <v>77.669744551206932</v>
      </c>
      <c r="I75" s="435"/>
      <c r="J75" s="435"/>
      <c r="K75" s="136">
        <f>IF(K43="k",'Metsäkone (ajokone)'!T33,"")</f>
        <v>48.028729526339085</v>
      </c>
      <c r="L75" s="435"/>
      <c r="M75" s="435"/>
      <c r="N75" s="139" t="str">
        <f>IF(N43="k",'Metsäkone (ajokone 2)'!T33,"")</f>
        <v/>
      </c>
      <c r="O75" s="479">
        <f t="shared" si="27"/>
        <v>125.69847407754602</v>
      </c>
      <c r="P75" s="517"/>
    </row>
    <row r="76" spans="1:16" x14ac:dyDescent="0.2">
      <c r="A76" s="251"/>
      <c r="B76" t="str">
        <f>'Metsäkone (moto)'!B34</f>
        <v>Voitto %</v>
      </c>
      <c r="H76" s="136">
        <f>IF(H43="k",'Metsäkone (moto)'!T34,"")</f>
        <v>19.41743613780173</v>
      </c>
      <c r="I76" s="435"/>
      <c r="J76" s="435"/>
      <c r="K76" s="136">
        <f>IF(K43="k",'Metsäkone (ajokone)'!T34,"")</f>
        <v>12.007182381584769</v>
      </c>
      <c r="L76" s="435"/>
      <c r="M76" s="435"/>
      <c r="N76" s="139" t="str">
        <f>IF(N43="k",'Metsäkone (ajokone 2)'!T34,"")</f>
        <v/>
      </c>
      <c r="O76" s="479">
        <f t="shared" si="27"/>
        <v>31.424618519386499</v>
      </c>
      <c r="P76" s="517"/>
    </row>
    <row r="77" spans="1:16" x14ac:dyDescent="0.2">
      <c r="A77" s="251"/>
      <c r="B77" t="str">
        <f>'Metsäkone (moto)'!B35</f>
        <v>Ajajan palkka sivukuluineen</v>
      </c>
      <c r="H77" s="136">
        <f>IF(H43="k",'Metsäkone (moto)'!T35,"")</f>
        <v>25</v>
      </c>
      <c r="I77" s="435"/>
      <c r="J77" s="435"/>
      <c r="K77" s="136">
        <f>IF(K43="k",'Metsäkone (ajokone)'!T35,"")</f>
        <v>18</v>
      </c>
      <c r="L77" s="435"/>
      <c r="M77" s="435"/>
      <c r="N77" s="139" t="str">
        <f>IF(N43="k",'Metsäkone (ajokone 2)'!T35,"")</f>
        <v/>
      </c>
      <c r="O77" s="479">
        <f t="shared" si="27"/>
        <v>43</v>
      </c>
      <c r="P77" s="517"/>
    </row>
    <row r="78" spans="1:16" x14ac:dyDescent="0.2">
      <c r="A78" s="251"/>
      <c r="B78" t="str">
        <f>'Metsäkone (moto)'!B36</f>
        <v>Yhteensä (hinta alv 0%)</v>
      </c>
      <c r="H78" s="145">
        <f>IF(H43="k",'Metsäkone (moto)'!T36,"")</f>
        <v>122.08718068900866</v>
      </c>
      <c r="K78" s="145">
        <f>IF(K43="k",'Metsäkone (ajokone)'!T36,"")</f>
        <v>78.035911907923861</v>
      </c>
      <c r="N78" s="146" t="str">
        <f>IF(N43="k",'Metsäkone (ajokone 2)'!T36,"")</f>
        <v/>
      </c>
      <c r="O78" s="479">
        <f t="shared" si="27"/>
        <v>200.12309259693251</v>
      </c>
      <c r="P78" s="517"/>
    </row>
    <row r="79" spans="1:16" x14ac:dyDescent="0.2">
      <c r="A79" s="251"/>
      <c r="B79" t="str">
        <f>'Metsäkone (moto)'!B37</f>
        <v>Alv</v>
      </c>
      <c r="H79" s="136">
        <f>IF(H43="k",'Metsäkone (moto)'!T37,"")</f>
        <v>31.132231075697209</v>
      </c>
      <c r="I79" s="435"/>
      <c r="J79" s="435"/>
      <c r="K79" s="136">
        <f>IF(K43="k",'Metsäkone (ajokone)'!T37,"")</f>
        <v>19.899157536520583</v>
      </c>
      <c r="L79" s="435"/>
      <c r="M79" s="435"/>
      <c r="N79" s="139" t="str">
        <f>IF(N43="k",'Metsäkone (ajokone 2)'!T37,"")</f>
        <v/>
      </c>
      <c r="O79" s="479">
        <f t="shared" si="27"/>
        <v>51.031388612217796</v>
      </c>
      <c r="P79" s="517"/>
    </row>
    <row r="80" spans="1:16" x14ac:dyDescent="0.2">
      <c r="A80" s="251"/>
      <c r="B80" t="str">
        <f>'Metsäkone (moto)'!B38</f>
        <v>Yhteensä (asiakkaalta perittävä hinta)</v>
      </c>
      <c r="H80" s="137">
        <f>IF(H43="k",'Metsäkone (moto)'!T38,"")</f>
        <v>153.21941176470588</v>
      </c>
      <c r="I80" s="435"/>
      <c r="J80" s="435"/>
      <c r="K80" s="137">
        <f>IF(K43="k",'Metsäkone (ajokone)'!T38,"")</f>
        <v>97.935069444444451</v>
      </c>
      <c r="L80" s="435"/>
      <c r="M80" s="435"/>
      <c r="N80" s="140" t="str">
        <f>IF(N43="k",'Metsäkone (ajokone 2)'!T38,"")</f>
        <v/>
      </c>
      <c r="O80" s="479">
        <f t="shared" si="27"/>
        <v>251.15448120915033</v>
      </c>
      <c r="P80" s="517"/>
    </row>
    <row r="81" spans="1:37" x14ac:dyDescent="0.2">
      <c r="A81" s="766" t="s">
        <v>151</v>
      </c>
      <c r="B81" s="475"/>
      <c r="C81" s="475"/>
      <c r="D81" s="475"/>
      <c r="E81" s="475"/>
      <c r="F81" s="475"/>
      <c r="G81" s="475"/>
      <c r="H81" s="602">
        <f>IF(H43="k",'Metsäkone (moto)'!Z26,0)</f>
        <v>53.2</v>
      </c>
      <c r="I81" s="767"/>
      <c r="J81" s="767"/>
      <c r="K81" s="602">
        <f>IF(K43="k",'Metsäkone (ajokone)'!Z26,0)</f>
        <v>39.9</v>
      </c>
      <c r="L81" s="767"/>
      <c r="M81" s="767"/>
      <c r="N81" s="603">
        <f>IF(N43="k",'Metsäkone (ajokone 2)'!Z26,0)</f>
        <v>0</v>
      </c>
      <c r="O81" s="601">
        <f>SUM(H81:N81)</f>
        <v>93.1</v>
      </c>
      <c r="P81" s="517"/>
    </row>
    <row r="82" spans="1:37" x14ac:dyDescent="0.2">
      <c r="A82" s="251"/>
      <c r="F82" s="1134" t="s">
        <v>152</v>
      </c>
      <c r="G82" s="1134"/>
      <c r="H82" s="135"/>
      <c r="I82" s="1134" t="s">
        <v>153</v>
      </c>
      <c r="J82" s="1134"/>
      <c r="K82" s="135"/>
      <c r="L82" s="1134" t="s">
        <v>154</v>
      </c>
      <c r="M82" s="1134"/>
      <c r="N82" s="141"/>
      <c r="O82" s="135"/>
      <c r="P82" s="517"/>
    </row>
    <row r="83" spans="1:37" x14ac:dyDescent="0.2">
      <c r="A83" s="314" t="s">
        <v>156</v>
      </c>
      <c r="E83" s="122"/>
      <c r="F83" s="122" t="s">
        <v>178</v>
      </c>
      <c r="G83" s="122" t="s">
        <v>158</v>
      </c>
      <c r="H83" s="625" t="str">
        <f>H44</f>
        <v>Moto</v>
      </c>
      <c r="I83" s="122" t="s">
        <v>178</v>
      </c>
      <c r="J83" s="122" t="s">
        <v>158</v>
      </c>
      <c r="K83" s="625" t="str">
        <f>K44</f>
        <v>Ajokone</v>
      </c>
      <c r="L83" s="122" t="s">
        <v>178</v>
      </c>
      <c r="M83" s="122" t="s">
        <v>158</v>
      </c>
      <c r="N83" s="626" t="str">
        <f>N44</f>
        <v>Ajokone 2</v>
      </c>
      <c r="O83" s="142" t="s">
        <v>82</v>
      </c>
      <c r="P83" s="448" t="s">
        <v>158</v>
      </c>
      <c r="AH83" s="170" t="s">
        <v>159</v>
      </c>
      <c r="AI83" s="122" t="s">
        <v>160</v>
      </c>
      <c r="AJ83" s="122" t="s">
        <v>475</v>
      </c>
      <c r="AK83" s="604">
        <v>0</v>
      </c>
    </row>
    <row r="84" spans="1:37" ht="15" x14ac:dyDescent="0.2">
      <c r="A84" s="1128" t="str">
        <f t="shared" ref="A84:A93" si="28">E10</f>
        <v>MäK</v>
      </c>
      <c r="B84" s="1129"/>
      <c r="C84" s="1129"/>
      <c r="D84" s="1129"/>
      <c r="E84" s="616" t="s">
        <v>228</v>
      </c>
      <c r="F84" s="627">
        <f t="shared" ref="F84:F93" si="29">K10</f>
        <v>0.16666666666666666</v>
      </c>
      <c r="G84" s="123">
        <f>$H$45</f>
        <v>1</v>
      </c>
      <c r="H84" s="598">
        <f t="shared" ref="H84:H97" si="30">IF($H$43="k",IF(F84&lt;&gt;"",H$78*F84*G84,0),"")</f>
        <v>20.347863448168109</v>
      </c>
      <c r="I84" s="627">
        <f t="shared" ref="I84:I93" si="31">IF(L10&gt;0,L10,0)</f>
        <v>8.666666666666667E-2</v>
      </c>
      <c r="J84" s="123">
        <f t="shared" ref="J84:J97" si="32">$K$45</f>
        <v>1</v>
      </c>
      <c r="K84" s="147">
        <f t="shared" ref="K84:K94" si="33">IF($K$43="k",IF(I84&lt;&gt;"",K$78*I84*J84,0),"")</f>
        <v>6.7631123653534013</v>
      </c>
      <c r="L84" s="627" t="str">
        <f t="shared" ref="L84:L93" si="34">M10</f>
        <v/>
      </c>
      <c r="M84" s="123">
        <f t="shared" ref="M84:M97" si="35">$N$45</f>
        <v>0</v>
      </c>
      <c r="N84" s="148" t="str">
        <f t="shared" ref="N84:N89" si="36">IF($N$43="k",IF(L84&lt;&gt;"",N$78*L84*M84,0),"")</f>
        <v/>
      </c>
      <c r="O84" s="143">
        <f>SUM(H84,K84,N84)</f>
        <v>27.11097581352151</v>
      </c>
      <c r="P84" s="768">
        <f>IF(O84&gt;0,O84/$O$99,0)</f>
        <v>0.22197020487603045</v>
      </c>
      <c r="AH84" s="169" t="e">
        <f>($H$81*F84*G84)+($K$81*I84*J84)+($N$81*L84*M84)</f>
        <v>#VALUE!</v>
      </c>
      <c r="AI84" s="127" t="e">
        <f t="shared" ref="AI84:AI98" si="37">IF($AH$99&gt;0,AH84/$AH$99,0)</f>
        <v>#VALUE!</v>
      </c>
      <c r="AJ84" s="605" t="e">
        <f t="shared" ref="AJ84:AJ98" si="38">IF(AH84&gt;0,_xlfn.RANK.EQ(AH84,$AH$84:$AH$98,$AK$83),"")</f>
        <v>#VALUE!</v>
      </c>
    </row>
    <row r="85" spans="1:37" ht="15" x14ac:dyDescent="0.2">
      <c r="A85" s="1128" t="str">
        <f t="shared" si="28"/>
        <v>KuK</v>
      </c>
      <c r="B85" s="1129"/>
      <c r="C85" s="1129"/>
      <c r="D85" s="1129"/>
      <c r="E85" s="616" t="s">
        <v>228</v>
      </c>
      <c r="F85" s="627">
        <f t="shared" si="29"/>
        <v>0.2</v>
      </c>
      <c r="G85" s="123">
        <f t="shared" ref="G85:G97" si="39">$H$45</f>
        <v>1</v>
      </c>
      <c r="H85" s="598">
        <f t="shared" si="30"/>
        <v>24.417436137801733</v>
      </c>
      <c r="I85" s="627">
        <f t="shared" si="31"/>
        <v>8.666666666666667E-2</v>
      </c>
      <c r="J85" s="123">
        <f t="shared" si="32"/>
        <v>1</v>
      </c>
      <c r="K85" s="147">
        <f t="shared" si="33"/>
        <v>6.7631123653534013</v>
      </c>
      <c r="L85" s="627" t="str">
        <f t="shared" si="34"/>
        <v/>
      </c>
      <c r="M85" s="123">
        <f t="shared" si="35"/>
        <v>0</v>
      </c>
      <c r="N85" s="148" t="str">
        <f t="shared" si="36"/>
        <v/>
      </c>
      <c r="O85" s="143">
        <f t="shared" ref="O85:O98" si="40">SUM(H85,K85,N85)</f>
        <v>31.180548503155133</v>
      </c>
      <c r="P85" s="768">
        <f>IF(O85&gt;0,O85/$O$99,0)</f>
        <v>0.25528969473464869</v>
      </c>
      <c r="AH85" s="169" t="e">
        <f t="shared" ref="AH85:AH98" si="41">IF(P85&gt;0,($H$81*F85*G85)+($K$81*I85*J85)+($N$81*L85*M85),0)</f>
        <v>#VALUE!</v>
      </c>
      <c r="AI85" s="127" t="e">
        <f t="shared" si="37"/>
        <v>#VALUE!</v>
      </c>
      <c r="AJ85" s="605" t="e">
        <f t="shared" si="38"/>
        <v>#VALUE!</v>
      </c>
    </row>
    <row r="86" spans="1:37" ht="15" x14ac:dyDescent="0.2">
      <c r="A86" s="1128" t="str">
        <f t="shared" si="28"/>
        <v>KoK</v>
      </c>
      <c r="B86" s="1129"/>
      <c r="C86" s="1129"/>
      <c r="D86" s="1129"/>
      <c r="E86" s="616" t="s">
        <v>228</v>
      </c>
      <c r="F86" s="627">
        <f t="shared" si="29"/>
        <v>0.16666666666666666</v>
      </c>
      <c r="G86" s="123">
        <f t="shared" si="39"/>
        <v>1</v>
      </c>
      <c r="H86" s="598">
        <f t="shared" si="30"/>
        <v>20.347863448168109</v>
      </c>
      <c r="I86" s="627">
        <f t="shared" si="31"/>
        <v>8.666666666666667E-2</v>
      </c>
      <c r="J86" s="123">
        <f t="shared" si="32"/>
        <v>1</v>
      </c>
      <c r="K86" s="147">
        <f t="shared" si="33"/>
        <v>6.7631123653534013</v>
      </c>
      <c r="L86" s="627" t="str">
        <f t="shared" si="34"/>
        <v/>
      </c>
      <c r="M86" s="123">
        <f t="shared" si="35"/>
        <v>0</v>
      </c>
      <c r="N86" s="148" t="str">
        <f t="shared" si="36"/>
        <v/>
      </c>
      <c r="O86" s="143">
        <f t="shared" si="40"/>
        <v>27.11097581352151</v>
      </c>
      <c r="P86" s="768">
        <f t="shared" ref="P86:P99" si="42">IF(O86&gt;0,O86/$O$99,0)</f>
        <v>0.22197020487603045</v>
      </c>
      <c r="AH86" s="169" t="e">
        <f t="shared" si="41"/>
        <v>#VALUE!</v>
      </c>
      <c r="AI86" s="127" t="e">
        <f t="shared" si="37"/>
        <v>#VALUE!</v>
      </c>
      <c r="AJ86" s="605" t="e">
        <f t="shared" si="38"/>
        <v>#VALUE!</v>
      </c>
    </row>
    <row r="87" spans="1:37" ht="15" x14ac:dyDescent="0.2">
      <c r="A87" s="1128" t="str">
        <f t="shared" si="28"/>
        <v>MäT</v>
      </c>
      <c r="B87" s="1129"/>
      <c r="C87" s="1129"/>
      <c r="D87" s="1129"/>
      <c r="E87" s="616" t="s">
        <v>228</v>
      </c>
      <c r="F87" s="627">
        <f t="shared" si="29"/>
        <v>0.05</v>
      </c>
      <c r="G87" s="123">
        <f t="shared" si="39"/>
        <v>1</v>
      </c>
      <c r="H87" s="598">
        <f t="shared" si="30"/>
        <v>6.1043590344504333</v>
      </c>
      <c r="I87" s="627">
        <f t="shared" si="31"/>
        <v>7.0000000000000007E-2</v>
      </c>
      <c r="J87" s="123">
        <f t="shared" si="32"/>
        <v>1</v>
      </c>
      <c r="K87" s="147">
        <f t="shared" si="33"/>
        <v>5.462513833554671</v>
      </c>
      <c r="L87" s="627" t="str">
        <f t="shared" si="34"/>
        <v/>
      </c>
      <c r="M87" s="123">
        <f t="shared" si="35"/>
        <v>0</v>
      </c>
      <c r="N87" s="148" t="str">
        <f t="shared" si="36"/>
        <v/>
      </c>
      <c r="O87" s="143">
        <f t="shared" si="40"/>
        <v>11.566872868005104</v>
      </c>
      <c r="P87" s="768">
        <f t="shared" si="42"/>
        <v>9.470338352799379E-2</v>
      </c>
      <c r="AH87" s="169" t="e">
        <f t="shared" si="41"/>
        <v>#VALUE!</v>
      </c>
      <c r="AI87" s="127" t="e">
        <f t="shared" si="37"/>
        <v>#VALUE!</v>
      </c>
      <c r="AJ87" s="605" t="e">
        <f t="shared" si="38"/>
        <v>#VALUE!</v>
      </c>
    </row>
    <row r="88" spans="1:37" ht="15" x14ac:dyDescent="0.2">
      <c r="A88" s="1128" t="str">
        <f t="shared" si="28"/>
        <v>KuT</v>
      </c>
      <c r="B88" s="1129"/>
      <c r="C88" s="1129"/>
      <c r="D88" s="1129"/>
      <c r="E88" s="616" t="s">
        <v>228</v>
      </c>
      <c r="F88" s="627">
        <f t="shared" si="29"/>
        <v>6.6666666666666666E-2</v>
      </c>
      <c r="G88" s="123">
        <f t="shared" si="39"/>
        <v>1</v>
      </c>
      <c r="H88" s="598">
        <f t="shared" si="30"/>
        <v>8.1391453792672444</v>
      </c>
      <c r="I88" s="627">
        <f t="shared" si="31"/>
        <v>7.0000000000000007E-2</v>
      </c>
      <c r="J88" s="123">
        <f t="shared" si="32"/>
        <v>1</v>
      </c>
      <c r="K88" s="147">
        <f t="shared" si="33"/>
        <v>5.462513833554671</v>
      </c>
      <c r="L88" s="627" t="str">
        <f t="shared" si="34"/>
        <v/>
      </c>
      <c r="M88" s="123">
        <f t="shared" si="35"/>
        <v>0</v>
      </c>
      <c r="N88" s="148" t="str">
        <f t="shared" si="36"/>
        <v/>
      </c>
      <c r="O88" s="143">
        <f t="shared" si="40"/>
        <v>13.601659212821914</v>
      </c>
      <c r="P88" s="768">
        <f t="shared" si="42"/>
        <v>0.11136312845730288</v>
      </c>
      <c r="AH88" s="169" t="e">
        <f t="shared" si="41"/>
        <v>#VALUE!</v>
      </c>
      <c r="AI88" s="127" t="e">
        <f t="shared" si="37"/>
        <v>#VALUE!</v>
      </c>
      <c r="AJ88" s="605" t="e">
        <f t="shared" si="38"/>
        <v>#VALUE!</v>
      </c>
    </row>
    <row r="89" spans="1:37" ht="15" x14ac:dyDescent="0.2">
      <c r="A89" s="1128" t="str">
        <f t="shared" si="28"/>
        <v>KoT</v>
      </c>
      <c r="B89" s="1129"/>
      <c r="C89" s="1129"/>
      <c r="D89" s="1129"/>
      <c r="E89" s="616" t="s">
        <v>228</v>
      </c>
      <c r="F89" s="627">
        <f t="shared" si="29"/>
        <v>0.05</v>
      </c>
      <c r="G89" s="123">
        <f t="shared" si="39"/>
        <v>1</v>
      </c>
      <c r="H89" s="598">
        <f t="shared" si="30"/>
        <v>6.1043590344504333</v>
      </c>
      <c r="I89" s="627">
        <f t="shared" si="31"/>
        <v>7.0000000000000007E-2</v>
      </c>
      <c r="J89" s="123">
        <f t="shared" si="32"/>
        <v>1</v>
      </c>
      <c r="K89" s="147">
        <f t="shared" si="33"/>
        <v>5.462513833554671</v>
      </c>
      <c r="L89" s="627" t="str">
        <f t="shared" si="34"/>
        <v/>
      </c>
      <c r="M89" s="123">
        <f t="shared" si="35"/>
        <v>0</v>
      </c>
      <c r="N89" s="148" t="str">
        <f t="shared" si="36"/>
        <v/>
      </c>
      <c r="O89" s="143">
        <f t="shared" si="40"/>
        <v>11.566872868005104</v>
      </c>
      <c r="P89" s="768">
        <f t="shared" si="42"/>
        <v>9.470338352799379E-2</v>
      </c>
      <c r="AH89" s="169" t="e">
        <f t="shared" si="41"/>
        <v>#VALUE!</v>
      </c>
      <c r="AI89" s="127" t="e">
        <f t="shared" si="37"/>
        <v>#VALUE!</v>
      </c>
      <c r="AJ89" s="605" t="e">
        <f t="shared" si="38"/>
        <v>#VALUE!</v>
      </c>
    </row>
    <row r="90" spans="1:37" ht="15" x14ac:dyDescent="0.2">
      <c r="A90" s="1128" t="str">
        <f t="shared" si="28"/>
        <v>Energiapuu seka</v>
      </c>
      <c r="B90" s="1129"/>
      <c r="C90" s="1129"/>
      <c r="D90" s="1129"/>
      <c r="E90" s="616" t="s">
        <v>228</v>
      </c>
      <c r="F90" s="627">
        <f t="shared" si="29"/>
        <v>0</v>
      </c>
      <c r="G90" s="123">
        <f t="shared" si="39"/>
        <v>1</v>
      </c>
      <c r="H90" s="598">
        <f t="shared" si="30"/>
        <v>0</v>
      </c>
      <c r="I90" s="627" t="str">
        <f t="shared" si="31"/>
        <v/>
      </c>
      <c r="J90" s="123">
        <f t="shared" si="32"/>
        <v>1</v>
      </c>
      <c r="K90" s="147">
        <f t="shared" si="33"/>
        <v>0</v>
      </c>
      <c r="L90" s="627" t="str">
        <f t="shared" si="34"/>
        <v/>
      </c>
      <c r="M90" s="123">
        <f t="shared" si="35"/>
        <v>0</v>
      </c>
      <c r="N90" s="148" t="str">
        <f>IF($N$43="k",IF(L90&lt;&gt;"",N$78*L90*M90,0),"")</f>
        <v/>
      </c>
      <c r="O90" s="143">
        <f t="shared" si="40"/>
        <v>0</v>
      </c>
      <c r="P90" s="768">
        <f t="shared" si="42"/>
        <v>0</v>
      </c>
      <c r="AH90" s="169">
        <f t="shared" si="41"/>
        <v>0</v>
      </c>
      <c r="AI90" s="127" t="e">
        <f t="shared" si="37"/>
        <v>#VALUE!</v>
      </c>
      <c r="AJ90" s="605" t="str">
        <f t="shared" si="38"/>
        <v/>
      </c>
    </row>
    <row r="91" spans="1:37" ht="15" x14ac:dyDescent="0.2">
      <c r="A91" s="1128" t="str">
        <f t="shared" si="28"/>
        <v>x</v>
      </c>
      <c r="B91" s="1129"/>
      <c r="C91" s="1129"/>
      <c r="D91" s="1129"/>
      <c r="E91" s="616" t="s">
        <v>228</v>
      </c>
      <c r="F91" s="627">
        <f t="shared" si="29"/>
        <v>0</v>
      </c>
      <c r="G91" s="123">
        <f t="shared" si="39"/>
        <v>1</v>
      </c>
      <c r="H91" s="598">
        <f t="shared" si="30"/>
        <v>0</v>
      </c>
      <c r="I91" s="627" t="str">
        <f t="shared" si="31"/>
        <v/>
      </c>
      <c r="J91" s="123">
        <f t="shared" si="32"/>
        <v>1</v>
      </c>
      <c r="K91" s="147">
        <f t="shared" si="33"/>
        <v>0</v>
      </c>
      <c r="L91" s="627" t="str">
        <f t="shared" si="34"/>
        <v/>
      </c>
      <c r="M91" s="123">
        <f t="shared" si="35"/>
        <v>0</v>
      </c>
      <c r="N91" s="148" t="str">
        <f t="shared" ref="N91:N97" si="43">IF($N$43="k",IF(L91&lt;&gt;"",N$78*L91*M91,0),"")</f>
        <v/>
      </c>
      <c r="O91" s="143">
        <f t="shared" si="40"/>
        <v>0</v>
      </c>
      <c r="P91" s="768">
        <f t="shared" si="42"/>
        <v>0</v>
      </c>
      <c r="AH91" s="169">
        <f t="shared" si="41"/>
        <v>0</v>
      </c>
      <c r="AI91" s="127" t="e">
        <f t="shared" si="37"/>
        <v>#VALUE!</v>
      </c>
      <c r="AJ91" s="605" t="str">
        <f t="shared" si="38"/>
        <v/>
      </c>
    </row>
    <row r="92" spans="1:37" ht="15" x14ac:dyDescent="0.2">
      <c r="A92" s="1128" t="str">
        <f t="shared" si="28"/>
        <v>x</v>
      </c>
      <c r="B92" s="1129"/>
      <c r="C92" s="1129"/>
      <c r="D92" s="1129"/>
      <c r="E92" s="616" t="s">
        <v>228</v>
      </c>
      <c r="F92" s="627">
        <f t="shared" si="29"/>
        <v>0</v>
      </c>
      <c r="G92" s="123">
        <f t="shared" si="39"/>
        <v>1</v>
      </c>
      <c r="H92" s="598">
        <f t="shared" si="30"/>
        <v>0</v>
      </c>
      <c r="I92" s="627" t="str">
        <f t="shared" si="31"/>
        <v/>
      </c>
      <c r="J92" s="123">
        <f t="shared" si="32"/>
        <v>1</v>
      </c>
      <c r="K92" s="147">
        <f t="shared" si="33"/>
        <v>0</v>
      </c>
      <c r="L92" s="627" t="str">
        <f t="shared" si="34"/>
        <v/>
      </c>
      <c r="M92" s="123">
        <f t="shared" si="35"/>
        <v>0</v>
      </c>
      <c r="N92" s="148" t="str">
        <f t="shared" si="43"/>
        <v/>
      </c>
      <c r="O92" s="143">
        <f t="shared" si="40"/>
        <v>0</v>
      </c>
      <c r="P92" s="768">
        <f t="shared" si="42"/>
        <v>0</v>
      </c>
      <c r="AH92" s="169">
        <f t="shared" si="41"/>
        <v>0</v>
      </c>
      <c r="AI92" s="127" t="e">
        <f t="shared" si="37"/>
        <v>#VALUE!</v>
      </c>
      <c r="AJ92" s="605" t="str">
        <f t="shared" si="38"/>
        <v/>
      </c>
    </row>
    <row r="93" spans="1:37" ht="15" x14ac:dyDescent="0.2">
      <c r="A93" s="1128" t="str">
        <f t="shared" si="28"/>
        <v>x</v>
      </c>
      <c r="B93" s="1129"/>
      <c r="C93" s="1129"/>
      <c r="D93" s="1129"/>
      <c r="E93" s="616" t="s">
        <v>228</v>
      </c>
      <c r="F93" s="627">
        <f t="shared" si="29"/>
        <v>0</v>
      </c>
      <c r="G93" s="123">
        <f t="shared" si="39"/>
        <v>1</v>
      </c>
      <c r="H93" s="598">
        <f t="shared" si="30"/>
        <v>0</v>
      </c>
      <c r="I93" s="627" t="str">
        <f t="shared" si="31"/>
        <v/>
      </c>
      <c r="J93" s="123">
        <f t="shared" si="32"/>
        <v>1</v>
      </c>
      <c r="K93" s="147">
        <f t="shared" si="33"/>
        <v>0</v>
      </c>
      <c r="L93" s="627" t="str">
        <f t="shared" si="34"/>
        <v/>
      </c>
      <c r="M93" s="123">
        <f t="shared" si="35"/>
        <v>0</v>
      </c>
      <c r="N93" s="148" t="str">
        <f t="shared" si="43"/>
        <v/>
      </c>
      <c r="O93" s="143">
        <f t="shared" si="40"/>
        <v>0</v>
      </c>
      <c r="P93" s="768">
        <f t="shared" si="42"/>
        <v>0</v>
      </c>
      <c r="AH93" s="169">
        <f t="shared" si="41"/>
        <v>0</v>
      </c>
      <c r="AI93" s="127" t="e">
        <f t="shared" si="37"/>
        <v>#VALUE!</v>
      </c>
      <c r="AJ93" s="605" t="str">
        <f t="shared" si="38"/>
        <v/>
      </c>
    </row>
    <row r="94" spans="1:37" ht="15" x14ac:dyDescent="0.2">
      <c r="A94" s="1155" t="s">
        <v>476</v>
      </c>
      <c r="B94" s="1156"/>
      <c r="C94" s="1156"/>
      <c r="D94" s="1156"/>
      <c r="E94" s="616" t="s">
        <v>228</v>
      </c>
      <c r="F94" s="124">
        <v>0</v>
      </c>
      <c r="G94" s="123">
        <f t="shared" si="39"/>
        <v>1</v>
      </c>
      <c r="H94" s="598">
        <f t="shared" si="30"/>
        <v>0</v>
      </c>
      <c r="I94" s="124">
        <v>0</v>
      </c>
      <c r="J94" s="123">
        <f t="shared" si="32"/>
        <v>1</v>
      </c>
      <c r="K94" s="147">
        <f t="shared" si="33"/>
        <v>0</v>
      </c>
      <c r="L94" s="124">
        <v>0</v>
      </c>
      <c r="M94" s="123">
        <f t="shared" si="35"/>
        <v>0</v>
      </c>
      <c r="N94" s="148" t="str">
        <f t="shared" si="43"/>
        <v/>
      </c>
      <c r="O94" s="143">
        <f t="shared" si="40"/>
        <v>0</v>
      </c>
      <c r="P94" s="768">
        <f t="shared" si="42"/>
        <v>0</v>
      </c>
      <c r="AH94" s="169">
        <f t="shared" si="41"/>
        <v>0</v>
      </c>
      <c r="AI94" s="127" t="e">
        <f t="shared" si="37"/>
        <v>#VALUE!</v>
      </c>
      <c r="AJ94" s="605" t="str">
        <f t="shared" si="38"/>
        <v/>
      </c>
    </row>
    <row r="95" spans="1:37" ht="15" x14ac:dyDescent="0.2">
      <c r="A95" s="1155" t="s">
        <v>477</v>
      </c>
      <c r="B95" s="1156"/>
      <c r="C95" s="1156"/>
      <c r="D95" s="1156"/>
      <c r="E95" s="616" t="s">
        <v>228</v>
      </c>
      <c r="F95" s="124">
        <v>0</v>
      </c>
      <c r="G95" s="123">
        <f t="shared" si="39"/>
        <v>1</v>
      </c>
      <c r="H95" s="598">
        <f t="shared" si="30"/>
        <v>0</v>
      </c>
      <c r="I95" s="124">
        <v>0</v>
      </c>
      <c r="J95" s="123">
        <f t="shared" si="32"/>
        <v>1</v>
      </c>
      <c r="K95" s="147">
        <f t="shared" ref="K95:K97" si="44">IF($K$43="k",IF(I95&lt;&gt;"",K$78*I95*J95,0),"")</f>
        <v>0</v>
      </c>
      <c r="L95" s="124">
        <v>0</v>
      </c>
      <c r="M95" s="123">
        <f t="shared" si="35"/>
        <v>0</v>
      </c>
      <c r="N95" s="148" t="str">
        <f t="shared" si="43"/>
        <v/>
      </c>
      <c r="O95" s="143">
        <f t="shared" si="40"/>
        <v>0</v>
      </c>
      <c r="P95" s="768">
        <f t="shared" si="42"/>
        <v>0</v>
      </c>
      <c r="AH95" s="169">
        <f t="shared" si="41"/>
        <v>0</v>
      </c>
      <c r="AI95" s="127" t="e">
        <f t="shared" si="37"/>
        <v>#VALUE!</v>
      </c>
      <c r="AJ95" s="605" t="str">
        <f t="shared" si="38"/>
        <v/>
      </c>
    </row>
    <row r="96" spans="1:37" ht="15" x14ac:dyDescent="0.2">
      <c r="A96" s="1155" t="s">
        <v>478</v>
      </c>
      <c r="B96" s="1156"/>
      <c r="C96" s="1156"/>
      <c r="D96" s="1156"/>
      <c r="E96" s="616" t="s">
        <v>228</v>
      </c>
      <c r="F96" s="124">
        <v>0</v>
      </c>
      <c r="G96" s="123">
        <f t="shared" si="39"/>
        <v>1</v>
      </c>
      <c r="H96" s="598">
        <f t="shared" si="30"/>
        <v>0</v>
      </c>
      <c r="I96" s="124">
        <v>0</v>
      </c>
      <c r="J96" s="123">
        <f t="shared" si="32"/>
        <v>1</v>
      </c>
      <c r="K96" s="147">
        <f t="shared" si="44"/>
        <v>0</v>
      </c>
      <c r="L96" s="124">
        <v>0</v>
      </c>
      <c r="M96" s="123">
        <f t="shared" si="35"/>
        <v>0</v>
      </c>
      <c r="N96" s="148" t="str">
        <f t="shared" si="43"/>
        <v/>
      </c>
      <c r="O96" s="143">
        <f t="shared" si="40"/>
        <v>0</v>
      </c>
      <c r="P96" s="768">
        <f t="shared" si="42"/>
        <v>0</v>
      </c>
      <c r="AH96" s="169">
        <f t="shared" si="41"/>
        <v>0</v>
      </c>
      <c r="AI96" s="127" t="e">
        <f t="shared" si="37"/>
        <v>#VALUE!</v>
      </c>
      <c r="AJ96" s="605" t="str">
        <f t="shared" si="38"/>
        <v/>
      </c>
    </row>
    <row r="97" spans="1:36" ht="15.75" thickBot="1" x14ac:dyDescent="0.25">
      <c r="A97" s="1157" t="s">
        <v>479</v>
      </c>
      <c r="B97" s="1158"/>
      <c r="C97" s="1158"/>
      <c r="D97" s="1158"/>
      <c r="E97" s="746" t="s">
        <v>228</v>
      </c>
      <c r="F97" s="674">
        <v>0</v>
      </c>
      <c r="G97" s="734">
        <f t="shared" si="39"/>
        <v>1</v>
      </c>
      <c r="H97" s="735">
        <f t="shared" si="30"/>
        <v>0</v>
      </c>
      <c r="I97" s="674">
        <v>0</v>
      </c>
      <c r="J97" s="734">
        <f t="shared" si="32"/>
        <v>1</v>
      </c>
      <c r="K97" s="736">
        <f t="shared" si="44"/>
        <v>0</v>
      </c>
      <c r="L97" s="674">
        <v>0</v>
      </c>
      <c r="M97" s="734">
        <f t="shared" si="35"/>
        <v>0</v>
      </c>
      <c r="N97" s="737" t="str">
        <f t="shared" si="43"/>
        <v/>
      </c>
      <c r="O97" s="143">
        <f t="shared" si="40"/>
        <v>0</v>
      </c>
      <c r="P97" s="768">
        <f t="shared" si="42"/>
        <v>0</v>
      </c>
      <c r="AH97" s="169">
        <f t="shared" si="41"/>
        <v>0</v>
      </c>
      <c r="AI97" s="127" t="e">
        <f t="shared" si="37"/>
        <v>#VALUE!</v>
      </c>
      <c r="AJ97" s="738" t="str">
        <f t="shared" si="38"/>
        <v/>
      </c>
    </row>
    <row r="98" spans="1:36" ht="16.5" thickBot="1" x14ac:dyDescent="0.25">
      <c r="A98" s="1159" t="s">
        <v>509</v>
      </c>
      <c r="B98" s="1160"/>
      <c r="C98" s="1160"/>
      <c r="D98" s="1160"/>
      <c r="E98" s="747" t="s">
        <v>73</v>
      </c>
      <c r="F98" s="740">
        <v>1</v>
      </c>
      <c r="G98" s="741"/>
      <c r="H98" s="748">
        <v>0</v>
      </c>
      <c r="I98" s="740">
        <v>1</v>
      </c>
      <c r="J98" s="741"/>
      <c r="K98" s="748">
        <v>0</v>
      </c>
      <c r="L98" s="740">
        <v>1</v>
      </c>
      <c r="M98" s="741"/>
      <c r="N98" s="748">
        <v>0</v>
      </c>
      <c r="O98" s="742">
        <f t="shared" si="40"/>
        <v>0</v>
      </c>
      <c r="P98" s="769">
        <f t="shared" si="42"/>
        <v>0</v>
      </c>
      <c r="AH98" s="744">
        <f t="shared" si="41"/>
        <v>0</v>
      </c>
      <c r="AI98" s="743" t="e">
        <f t="shared" si="37"/>
        <v>#VALUE!</v>
      </c>
      <c r="AJ98" s="745" t="str">
        <f t="shared" si="38"/>
        <v/>
      </c>
    </row>
    <row r="99" spans="1:36" x14ac:dyDescent="0.2">
      <c r="A99" s="314"/>
      <c r="F99" s="125">
        <f>IF(H43="K",SUM(F84:F97),0)</f>
        <v>0.70000000000000007</v>
      </c>
      <c r="H99" s="422">
        <f>SUM(H84:H98)</f>
        <v>85.461026482306082</v>
      </c>
      <c r="I99" s="125">
        <f>IF(K43="K",SUM(I84:I97),0)</f>
        <v>0.47000000000000003</v>
      </c>
      <c r="K99" s="422">
        <f>SUM(K84:K98)</f>
        <v>36.676878596724215</v>
      </c>
      <c r="L99" s="125">
        <f>IF(N43="K",SUM(L84:L97),0)</f>
        <v>0</v>
      </c>
      <c r="N99" s="422">
        <f>SUM(N84:N98)</f>
        <v>0</v>
      </c>
      <c r="O99" s="144">
        <f>SUM(O84:O98)</f>
        <v>122.13790507903028</v>
      </c>
      <c r="P99" s="768">
        <f t="shared" si="42"/>
        <v>1</v>
      </c>
      <c r="AH99" s="5" t="e">
        <f>SUM(AH84:AH98)</f>
        <v>#VALUE!</v>
      </c>
      <c r="AI99" s="173" t="e">
        <f>SUM(AI84:AI98)</f>
        <v>#VALUE!</v>
      </c>
      <c r="AJ99" s="739"/>
    </row>
    <row r="100" spans="1:36" ht="13.5" thickBot="1" x14ac:dyDescent="0.25">
      <c r="A100" s="1161" t="s">
        <v>480</v>
      </c>
      <c r="B100" s="1162"/>
      <c r="C100" s="1162"/>
      <c r="D100" s="1162"/>
      <c r="E100" s="770" t="str">
        <f>IF(H43="K",H44&amp;" + ","")&amp;" "&amp;IF(K43="K",K44&amp;" + ","")&amp;" "&amp;IF(N43="K",N44,"")</f>
        <v xml:space="preserve">Moto +  Ajokone +  </v>
      </c>
      <c r="F100" s="440"/>
      <c r="G100" s="440"/>
      <c r="H100" s="440"/>
      <c r="I100" s="771" t="s">
        <v>186</v>
      </c>
      <c r="J100" s="440"/>
      <c r="K100" s="440"/>
      <c r="L100" s="440"/>
      <c r="M100" s="440"/>
      <c r="N100" s="440"/>
      <c r="O100" s="440"/>
      <c r="P100" s="521"/>
    </row>
    <row r="102" spans="1:36" ht="18.75" thickBot="1" x14ac:dyDescent="0.3">
      <c r="A102" s="733" t="s">
        <v>514</v>
      </c>
    </row>
    <row r="103" spans="1:36" x14ac:dyDescent="0.2">
      <c r="A103" s="443"/>
      <c r="B103" s="14"/>
      <c r="C103" s="14"/>
      <c r="D103" s="14"/>
      <c r="E103" s="14"/>
      <c r="F103" s="14"/>
      <c r="G103" s="14"/>
      <c r="H103" s="14"/>
      <c r="I103" s="14" t="s">
        <v>481</v>
      </c>
      <c r="J103" s="14"/>
      <c r="K103" s="14"/>
      <c r="L103" s="14"/>
      <c r="M103" s="14"/>
      <c r="N103" s="14"/>
      <c r="O103" s="750">
        <f>SUM(O25:O34)</f>
        <v>122.13790507903028</v>
      </c>
      <c r="P103" s="462"/>
    </row>
    <row r="104" spans="1:36" x14ac:dyDescent="0.2">
      <c r="A104" s="250" t="s">
        <v>515</v>
      </c>
      <c r="I104" s="154" t="s">
        <v>482</v>
      </c>
      <c r="O104" s="422">
        <f>O99</f>
        <v>122.13790507903028</v>
      </c>
      <c r="P104" s="517"/>
    </row>
    <row r="105" spans="1:36" x14ac:dyDescent="0.2">
      <c r="A105" s="250" t="s">
        <v>516</v>
      </c>
      <c r="I105" s="154" t="s">
        <v>483</v>
      </c>
      <c r="O105" s="422">
        <f>O103-O104</f>
        <v>0</v>
      </c>
      <c r="P105" s="517"/>
    </row>
    <row r="106" spans="1:36" x14ac:dyDescent="0.2">
      <c r="A106" s="251"/>
      <c r="I106" s="154" t="s">
        <v>502</v>
      </c>
      <c r="P106" s="517" t="str">
        <f>IF(OR(O105&gt;199,O105&lt;-199),"Tarkista tunnit ketjutuksestasi!","")</f>
        <v/>
      </c>
    </row>
    <row r="107" spans="1:36" x14ac:dyDescent="0.2">
      <c r="A107" s="251"/>
      <c r="I107" s="154" t="s">
        <v>501</v>
      </c>
      <c r="P107" s="517"/>
    </row>
    <row r="108" spans="1:36" x14ac:dyDescent="0.2">
      <c r="A108" s="251"/>
      <c r="I108" s="154" t="s">
        <v>503</v>
      </c>
      <c r="P108" s="517"/>
    </row>
    <row r="109" spans="1:36" x14ac:dyDescent="0.2">
      <c r="A109" s="251"/>
      <c r="I109" s="154" t="s">
        <v>517</v>
      </c>
      <c r="P109" s="517"/>
    </row>
    <row r="110" spans="1:36" x14ac:dyDescent="0.2">
      <c r="A110" s="251"/>
      <c r="I110" s="154" t="s">
        <v>484</v>
      </c>
      <c r="O110" s="730">
        <f>N20</f>
        <v>1.1700000000000002</v>
      </c>
      <c r="P110" s="517"/>
    </row>
    <row r="111" spans="1:36" x14ac:dyDescent="0.2">
      <c r="A111" s="251"/>
      <c r="I111" s="154" t="s">
        <v>485</v>
      </c>
      <c r="O111" s="730">
        <f>F99+I99+L99</f>
        <v>1.1700000000000002</v>
      </c>
      <c r="P111" s="517"/>
    </row>
    <row r="112" spans="1:36" ht="13.5" thickBot="1" x14ac:dyDescent="0.25">
      <c r="A112" s="525"/>
      <c r="B112" s="440"/>
      <c r="C112" s="440"/>
      <c r="D112" s="440"/>
      <c r="E112" s="440"/>
      <c r="F112" s="440"/>
      <c r="G112" s="440"/>
      <c r="H112" s="440"/>
      <c r="I112" s="751" t="s">
        <v>483</v>
      </c>
      <c r="J112" s="440"/>
      <c r="K112" s="440"/>
      <c r="L112" s="440"/>
      <c r="M112" s="440"/>
      <c r="N112" s="440"/>
      <c r="O112" s="752">
        <f>O110-O111</f>
        <v>0</v>
      </c>
      <c r="P112" s="521"/>
    </row>
    <row r="113" spans="1:16" ht="24" customHeight="1" thickBot="1" x14ac:dyDescent="0.3">
      <c r="A113" s="753" t="s">
        <v>518</v>
      </c>
      <c r="B113" s="14"/>
      <c r="C113" s="14"/>
      <c r="D113" s="14"/>
      <c r="E113" s="14"/>
      <c r="F113" s="1153" t="s">
        <v>540</v>
      </c>
      <c r="G113" s="1154"/>
      <c r="H113" s="14"/>
      <c r="I113" s="754"/>
      <c r="J113" s="14"/>
      <c r="K113" s="14"/>
      <c r="L113" s="14"/>
      <c r="M113" s="14"/>
      <c r="N113" s="14"/>
      <c r="O113" s="755"/>
      <c r="P113" s="462"/>
    </row>
    <row r="114" spans="1:16" ht="18" x14ac:dyDescent="0.25">
      <c r="A114" s="251"/>
      <c r="B114" s="733"/>
      <c r="F114" s="1"/>
      <c r="G114" s="788"/>
      <c r="H114" s="773"/>
      <c r="I114" s="773"/>
      <c r="J114" s="773"/>
      <c r="K114" s="773"/>
      <c r="L114" s="773"/>
      <c r="M114" s="774"/>
      <c r="N114" s="773"/>
      <c r="O114" s="775"/>
      <c r="P114" s="776"/>
    </row>
    <row r="115" spans="1:16" x14ac:dyDescent="0.2">
      <c r="A115" s="250" t="s">
        <v>519</v>
      </c>
      <c r="F115" s="1"/>
      <c r="G115" s="789"/>
      <c r="H115" s="1"/>
      <c r="I115" s="1"/>
      <c r="J115" s="1"/>
      <c r="K115" s="1"/>
      <c r="L115" s="1"/>
      <c r="M115" s="1"/>
      <c r="N115" s="1"/>
      <c r="O115" s="1"/>
      <c r="P115" s="635" t="str">
        <f>IF(OR(O112&gt;2,O112&lt;-2),"Tarkista tunnit ketjutuksestasi!","")</f>
        <v/>
      </c>
    </row>
    <row r="116" spans="1:16" ht="20.25" x14ac:dyDescent="0.3">
      <c r="A116" s="756" t="s">
        <v>486</v>
      </c>
      <c r="F116" s="1"/>
      <c r="G116" s="789"/>
      <c r="H116" s="1"/>
      <c r="I116" s="1"/>
      <c r="J116" s="1"/>
      <c r="K116" s="1"/>
      <c r="L116" s="1"/>
      <c r="M116" s="192"/>
      <c r="N116" s="1"/>
      <c r="O116" s="426"/>
      <c r="P116" s="635"/>
    </row>
    <row r="117" spans="1:16" x14ac:dyDescent="0.2">
      <c r="A117" s="251"/>
      <c r="F117" s="126" t="s">
        <v>178</v>
      </c>
      <c r="G117" s="791" t="s">
        <v>34</v>
      </c>
      <c r="H117" s="126" t="s">
        <v>82</v>
      </c>
      <c r="I117" s="126" t="s">
        <v>178</v>
      </c>
      <c r="J117" s="628" t="s">
        <v>34</v>
      </c>
      <c r="K117" s="126" t="s">
        <v>82</v>
      </c>
      <c r="L117" s="126" t="s">
        <v>178</v>
      </c>
      <c r="M117" s="628" t="s">
        <v>34</v>
      </c>
      <c r="N117" s="126" t="s">
        <v>82</v>
      </c>
      <c r="O117" s="629" t="s">
        <v>487</v>
      </c>
      <c r="P117" s="635"/>
    </row>
    <row r="118" spans="1:16" ht="15.75" x14ac:dyDescent="0.25">
      <c r="A118" s="757" t="s">
        <v>199</v>
      </c>
      <c r="F118" s="186">
        <f>I20</f>
        <v>6</v>
      </c>
      <c r="G118" s="792" t="s">
        <v>244</v>
      </c>
      <c r="H118" s="718">
        <f>IF(H43="K",K25*G25+K26*G26+K27*G27+K28*G28+K29*G29+K30*G30+K31*G31+K32*G32+K33*G33+K34*G34,0)</f>
        <v>85.461026482306082</v>
      </c>
      <c r="I118" s="186">
        <f>I20*L9</f>
        <v>6</v>
      </c>
      <c r="J118" s="399" t="s">
        <v>244</v>
      </c>
      <c r="K118" s="718">
        <f>IF(K43="K",G25*L25+G26*L26+G27*L27+G28*L28+G29*L29+G30*L30+G31*L31+G32*L32+G33*L33+G34*L34,0)</f>
        <v>36.676878596724215</v>
      </c>
      <c r="L118" s="186">
        <f>I20*M9</f>
        <v>0</v>
      </c>
      <c r="M118" s="399" t="s">
        <v>244</v>
      </c>
      <c r="N118" s="717">
        <f>IF(N43="K",G25*M25+G26*M26+G27*M27+G28*M28+G29*M29+G30*M30+G31*M31+G32*M32+G33*M33+G34*M34,0)</f>
        <v>0</v>
      </c>
      <c r="O118" s="280">
        <f>SUM(H118,K118,N118)</f>
        <v>122.1379050790303</v>
      </c>
      <c r="P118" s="777">
        <f>IF(N118&gt;0,O118/$O$118,0)</f>
        <v>0</v>
      </c>
    </row>
    <row r="119" spans="1:16" ht="15" x14ac:dyDescent="0.2">
      <c r="A119" s="757" t="s">
        <v>202</v>
      </c>
      <c r="B119" s="470"/>
      <c r="C119" s="470"/>
      <c r="D119" s="470"/>
      <c r="F119" s="731">
        <f>F99</f>
        <v>0.70000000000000007</v>
      </c>
      <c r="G119" s="792" t="s">
        <v>228</v>
      </c>
      <c r="H119" s="717">
        <f>IF(H43="K",F119*G72,0)</f>
        <v>26.682352941176472</v>
      </c>
      <c r="I119" s="731">
        <f>L20</f>
        <v>0.47000000000000003</v>
      </c>
      <c r="J119" s="399" t="s">
        <v>228</v>
      </c>
      <c r="K119" s="315">
        <f>IF(K43="K",I119*J64,0)</f>
        <v>11.215169544046038</v>
      </c>
      <c r="L119" s="731">
        <f>M20</f>
        <v>0</v>
      </c>
      <c r="M119" s="399" t="s">
        <v>228</v>
      </c>
      <c r="N119" s="717">
        <f>IF(N43="K",L119*M72,0)</f>
        <v>0</v>
      </c>
      <c r="O119" s="717">
        <f>SUM(H119,K119,N119)</f>
        <v>37.89752248522251</v>
      </c>
      <c r="P119" s="777">
        <f t="shared" ref="P119:P128" si="45">IF(N119&gt;0,O119/$O$118,0)</f>
        <v>0</v>
      </c>
    </row>
    <row r="120" spans="1:16" ht="15" x14ac:dyDescent="0.2">
      <c r="A120" s="1151" t="s">
        <v>510</v>
      </c>
      <c r="B120" s="1152"/>
      <c r="C120" s="1152"/>
      <c r="D120" s="1152"/>
      <c r="E120" s="1152"/>
      <c r="F120" s="124">
        <v>1</v>
      </c>
      <c r="G120" s="792" t="s">
        <v>73</v>
      </c>
      <c r="H120" s="749">
        <f>IF(H43="K",H98,0)</f>
        <v>0</v>
      </c>
      <c r="I120" s="124">
        <f>F120</f>
        <v>1</v>
      </c>
      <c r="J120" s="399" t="s">
        <v>73</v>
      </c>
      <c r="K120" s="749">
        <f>IF(K43="K",K98,0)</f>
        <v>0</v>
      </c>
      <c r="L120" s="124">
        <f>I120</f>
        <v>1</v>
      </c>
      <c r="M120" s="399" t="s">
        <v>73</v>
      </c>
      <c r="N120" s="749">
        <f>IF(N43="K",N98,0)</f>
        <v>0</v>
      </c>
      <c r="O120" s="717"/>
      <c r="P120" s="777">
        <f t="shared" si="45"/>
        <v>0</v>
      </c>
    </row>
    <row r="121" spans="1:16" ht="15" x14ac:dyDescent="0.2">
      <c r="A121" s="963" t="s">
        <v>488</v>
      </c>
      <c r="B121" s="963"/>
      <c r="C121" s="963"/>
      <c r="D121" s="963"/>
      <c r="E121" s="963"/>
      <c r="F121" s="672"/>
      <c r="G121" s="789"/>
      <c r="H121" s="630">
        <v>0</v>
      </c>
      <c r="I121" s="672"/>
      <c r="J121" s="1"/>
      <c r="K121" s="630">
        <v>0</v>
      </c>
      <c r="L121" s="672"/>
      <c r="M121" s="1"/>
      <c r="N121" s="630">
        <v>0</v>
      </c>
      <c r="O121" s="280">
        <f>SUM(H121,K121,N121)</f>
        <v>0</v>
      </c>
      <c r="P121" s="777">
        <f t="shared" si="45"/>
        <v>0</v>
      </c>
    </row>
    <row r="122" spans="1:16" ht="15.75" x14ac:dyDescent="0.25">
      <c r="A122" s="259" t="s">
        <v>204</v>
      </c>
      <c r="F122" s="672"/>
      <c r="G122" s="789"/>
      <c r="H122" s="717">
        <f>H118-H119-H120-H121</f>
        <v>58.778673541129606</v>
      </c>
      <c r="I122" s="672"/>
      <c r="J122" s="1"/>
      <c r="K122" s="717">
        <f>K118-K119-K120-K121</f>
        <v>25.461709052678177</v>
      </c>
      <c r="L122" s="672"/>
      <c r="M122" s="1"/>
      <c r="N122" s="717">
        <f>N118-N119-N120-N121</f>
        <v>0</v>
      </c>
      <c r="O122" s="280">
        <f>O118-O119-O121</f>
        <v>84.240382593807794</v>
      </c>
      <c r="P122" s="777">
        <f t="shared" si="45"/>
        <v>0</v>
      </c>
    </row>
    <row r="123" spans="1:16" ht="15" x14ac:dyDescent="0.2">
      <c r="A123" s="757" t="s">
        <v>205</v>
      </c>
      <c r="F123" s="731">
        <f>K20</f>
        <v>0.70000000000000007</v>
      </c>
      <c r="G123" s="792" t="s">
        <v>228</v>
      </c>
      <c r="H123" s="280">
        <f>IF(H43="K",F123*H77,0)</f>
        <v>17.5</v>
      </c>
      <c r="I123" s="731">
        <f>I119</f>
        <v>0.47000000000000003</v>
      </c>
      <c r="J123" s="399" t="s">
        <v>228</v>
      </c>
      <c r="K123" s="280">
        <f>IF(K43="K",I123*K77,0)</f>
        <v>8.4600000000000009</v>
      </c>
      <c r="L123" s="731">
        <f>L119</f>
        <v>0</v>
      </c>
      <c r="M123" s="399" t="s">
        <v>228</v>
      </c>
      <c r="N123" s="315">
        <f>IF(N43="K",L123*N77,0)</f>
        <v>0</v>
      </c>
      <c r="O123" s="280">
        <f>SUM(H123,K123,N123)</f>
        <v>25.96</v>
      </c>
      <c r="P123" s="777">
        <f t="shared" si="45"/>
        <v>0</v>
      </c>
    </row>
    <row r="124" spans="1:16" ht="15" x14ac:dyDescent="0.2">
      <c r="A124" s="757" t="s">
        <v>206</v>
      </c>
      <c r="F124" s="731">
        <f>F123</f>
        <v>0.70000000000000007</v>
      </c>
      <c r="G124" s="792" t="s">
        <v>228</v>
      </c>
      <c r="H124" s="280">
        <f>IF(H43="K",F124*G64,0)</f>
        <v>27.686468244668387</v>
      </c>
      <c r="I124" s="731">
        <f>I123</f>
        <v>0.47000000000000003</v>
      </c>
      <c r="J124" s="399" t="s">
        <v>228</v>
      </c>
      <c r="K124" s="280">
        <f>IF(K43="K",I124*J64,0)</f>
        <v>11.215169544046038</v>
      </c>
      <c r="L124" s="731">
        <f>L123</f>
        <v>0</v>
      </c>
      <c r="M124" s="399" t="s">
        <v>228</v>
      </c>
      <c r="N124" s="315">
        <f>IF(N43="K",L124*M64,0)</f>
        <v>0</v>
      </c>
      <c r="O124" s="280">
        <f>SUM(H124,K124,N124)</f>
        <v>38.901637788714424</v>
      </c>
      <c r="P124" s="777">
        <f t="shared" si="45"/>
        <v>0</v>
      </c>
    </row>
    <row r="125" spans="1:16" ht="15" x14ac:dyDescent="0.2">
      <c r="A125" s="757" t="s">
        <v>507</v>
      </c>
      <c r="F125" s="672"/>
      <c r="G125" s="792" t="s">
        <v>506</v>
      </c>
      <c r="H125" s="719">
        <v>0</v>
      </c>
      <c r="I125" s="672"/>
      <c r="J125" s="399" t="s">
        <v>506</v>
      </c>
      <c r="K125" s="719">
        <v>0</v>
      </c>
      <c r="L125" s="672"/>
      <c r="M125" s="399" t="s">
        <v>506</v>
      </c>
      <c r="N125" s="719">
        <v>0</v>
      </c>
      <c r="O125" s="280">
        <f t="shared" ref="O125:O127" si="46">SUM(H125,K125,N125)</f>
        <v>0</v>
      </c>
      <c r="P125" s="777">
        <f t="shared" si="45"/>
        <v>0</v>
      </c>
    </row>
    <row r="126" spans="1:16" ht="15" x14ac:dyDescent="0.2">
      <c r="A126" s="757" t="s">
        <v>207</v>
      </c>
      <c r="F126" s="672"/>
      <c r="G126" s="789"/>
      <c r="H126" s="313">
        <f>H122-H123-H124-H125</f>
        <v>13.59220529646122</v>
      </c>
      <c r="I126" s="672"/>
      <c r="J126" s="1"/>
      <c r="K126" s="313">
        <f>K122-K123-K124-K125</f>
        <v>5.7865395086321385</v>
      </c>
      <c r="L126" s="672"/>
      <c r="M126" s="1"/>
      <c r="N126" s="313">
        <f>N122-N123-N124-N125</f>
        <v>0</v>
      </c>
      <c r="O126" s="280">
        <f t="shared" si="46"/>
        <v>19.378744805093358</v>
      </c>
      <c r="P126" s="777">
        <f t="shared" si="45"/>
        <v>0</v>
      </c>
    </row>
    <row r="127" spans="1:16" ht="15" x14ac:dyDescent="0.2">
      <c r="A127" s="757" t="s">
        <v>208</v>
      </c>
      <c r="F127" s="732">
        <v>0.2</v>
      </c>
      <c r="G127" s="789"/>
      <c r="H127" s="280">
        <f>IF(H126&gt;0,F127*H126,0)</f>
        <v>2.7184410592922443</v>
      </c>
      <c r="I127" s="732">
        <f>F127</f>
        <v>0.2</v>
      </c>
      <c r="J127" s="1"/>
      <c r="K127" s="280">
        <f>IF(K126&gt;0,I127*K126,0)</f>
        <v>1.1573079017264278</v>
      </c>
      <c r="L127" s="732">
        <f>F127</f>
        <v>0.2</v>
      </c>
      <c r="M127" s="1"/>
      <c r="N127" s="280">
        <f>IF(N126&gt;0,L127*N126,0)</f>
        <v>0</v>
      </c>
      <c r="O127" s="280">
        <f t="shared" si="46"/>
        <v>3.8757489610186724</v>
      </c>
      <c r="P127" s="777">
        <f t="shared" si="45"/>
        <v>0</v>
      </c>
    </row>
    <row r="128" spans="1:16" ht="16.5" thickBot="1" x14ac:dyDescent="0.3">
      <c r="A128" s="758" t="s">
        <v>209</v>
      </c>
      <c r="B128" s="440"/>
      <c r="C128" s="440"/>
      <c r="D128" s="440"/>
      <c r="E128" s="440"/>
      <c r="F128" s="778"/>
      <c r="G128" s="790"/>
      <c r="H128" s="759">
        <f>H126-H127</f>
        <v>10.873764237168976</v>
      </c>
      <c r="I128" s="779"/>
      <c r="J128" s="778"/>
      <c r="K128" s="759">
        <f>K126-K127</f>
        <v>4.6292316069057104</v>
      </c>
      <c r="L128" s="779"/>
      <c r="M128" s="778"/>
      <c r="N128" s="759">
        <f>N126-N127</f>
        <v>0</v>
      </c>
      <c r="O128" s="759">
        <f>SUM(H128,K128,N128)</f>
        <v>15.502995844074686</v>
      </c>
      <c r="P128" s="780">
        <f t="shared" si="45"/>
        <v>0</v>
      </c>
    </row>
    <row r="129" spans="14:16" x14ac:dyDescent="0.2">
      <c r="P129" s="720"/>
    </row>
    <row r="130" spans="14:16" x14ac:dyDescent="0.2">
      <c r="N130" s="721" t="str">
        <f>IF(O128&gt;0,"Voitollinen tulos, hyvä!","Tappiollinen tulos, tarkista koneiden tuloksen tekokyky eli tuotos m3/h!")</f>
        <v>Voitollinen tulos, hyvä!</v>
      </c>
    </row>
  </sheetData>
  <sheetProtection algorithmName="SHA-512" hashValue="zBAPN7X0B31/3/D8/v7tC3UCTB5DSoNxXHbfRvj25FWtB3vhKyd6fxQUkahhYZ8GaGoch09typ8GHnp+Yrigew==" saltValue="70PjSLeeDSnSr369Y4i4Yg==" spinCount="100000" sheet="1" formatCells="0" formatColumns="0" formatRows="0"/>
  <mergeCells count="57">
    <mergeCell ref="L45:M45"/>
    <mergeCell ref="E24:F24"/>
    <mergeCell ref="A120:E120"/>
    <mergeCell ref="F113:G113"/>
    <mergeCell ref="A121:E121"/>
    <mergeCell ref="A84:D84"/>
    <mergeCell ref="A85:D85"/>
    <mergeCell ref="A86:D86"/>
    <mergeCell ref="A96:D96"/>
    <mergeCell ref="A97:D97"/>
    <mergeCell ref="A98:D98"/>
    <mergeCell ref="A94:D94"/>
    <mergeCell ref="A100:D100"/>
    <mergeCell ref="A95:D95"/>
    <mergeCell ref="A89:D89"/>
    <mergeCell ref="I82:J82"/>
    <mergeCell ref="A7:A8"/>
    <mergeCell ref="B7:B8"/>
    <mergeCell ref="C7:C8"/>
    <mergeCell ref="A87:D87"/>
    <mergeCell ref="A88:D88"/>
    <mergeCell ref="L82:M82"/>
    <mergeCell ref="E13:F13"/>
    <mergeCell ref="A6:C6"/>
    <mergeCell ref="D7:D8"/>
    <mergeCell ref="A45:G45"/>
    <mergeCell ref="F82:G82"/>
    <mergeCell ref="E12:F12"/>
    <mergeCell ref="E25:F25"/>
    <mergeCell ref="E26:F26"/>
    <mergeCell ref="E27:F27"/>
    <mergeCell ref="E28:F28"/>
    <mergeCell ref="E29:F29"/>
    <mergeCell ref="E30:F30"/>
    <mergeCell ref="E31:F31"/>
    <mergeCell ref="E32:F32"/>
    <mergeCell ref="E19:F19"/>
    <mergeCell ref="A90:D90"/>
    <mergeCell ref="A91:D91"/>
    <mergeCell ref="A92:D92"/>
    <mergeCell ref="A93:D93"/>
    <mergeCell ref="E33:F33"/>
    <mergeCell ref="E34:F34"/>
    <mergeCell ref="X7:Z7"/>
    <mergeCell ref="V7:W7"/>
    <mergeCell ref="R8:T8"/>
    <mergeCell ref="O8:Q8"/>
    <mergeCell ref="K7:M7"/>
    <mergeCell ref="E18:F18"/>
    <mergeCell ref="E8:F8"/>
    <mergeCell ref="E10:F10"/>
    <mergeCell ref="E11:F11"/>
    <mergeCell ref="G7:G8"/>
    <mergeCell ref="E14:F14"/>
    <mergeCell ref="E15:F15"/>
    <mergeCell ref="E16:F16"/>
    <mergeCell ref="E17:F17"/>
  </mergeCells>
  <phoneticPr fontId="7" type="noConversion"/>
  <pageMargins left="0.7" right="0.7" top="0.75" bottom="0.75" header="0.3" footer="0.3"/>
  <pageSetup paperSize="9" scale="53" orientation="landscape" horizontalDpi="4294967293" verticalDpi="4294967293"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134E956-1BB0-4814-B9EB-85776CBDA3C4}">
          <x14:formula1>
            <xm:f>Laskentayksikot!$B$2:$B$14</xm:f>
          </x14:formula1>
          <xm:sqref>J118:J120 G118:G120 M123:M124 G123:G124 J123:J124 M118:M120 E84:E98</xm:sqref>
        </x14:dataValidation>
        <x14:dataValidation type="list" allowBlank="1" showInputMessage="1" showErrorMessage="1" xr:uid="{71A3B49D-03DE-4B6E-8C1D-A9757704F385}">
          <x14:formula1>
            <xm:f>Laskentayksikot!$E$2:$E$3</xm:f>
          </x14:formula1>
          <xm:sqref>H43 K43 N43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3C25-170F-418F-B82D-AA92226D8E8B}">
  <sheetPr>
    <pageSetUpPr fitToPage="1"/>
  </sheetPr>
  <dimension ref="A1:AG92"/>
  <sheetViews>
    <sheetView zoomScale="90" zoomScaleNormal="90" workbookViewId="0">
      <selection activeCell="B44" sqref="B44:C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3" width="10.140625" style="4" customWidth="1"/>
    <col min="14" max="14" width="13.85546875" style="4" customWidth="1"/>
    <col min="15" max="15" width="12.42578125" style="4" customWidth="1"/>
    <col min="16" max="16" width="8.42578125" style="4" customWidth="1"/>
    <col min="17" max="17" width="9.140625" style="4" customWidth="1"/>
    <col min="18" max="18" width="16" style="4" customWidth="1"/>
    <col min="19" max="19" width="13" style="4" customWidth="1"/>
    <col min="20" max="20" width="16.5703125" style="4" customWidth="1"/>
    <col min="21" max="21" width="12.7109375" style="4" customWidth="1"/>
    <col min="22" max="22" width="15.42578125" style="4" customWidth="1"/>
    <col min="23" max="23" width="12" style="4" customWidth="1"/>
    <col min="24" max="24" width="14.28515625" style="4" customWidth="1"/>
    <col min="25" max="25" width="14.42578125" style="4" customWidth="1"/>
    <col min="26" max="26" width="20.28515625" style="4" customWidth="1"/>
    <col min="27" max="27" width="13.7109375" style="4" customWidth="1"/>
    <col min="28" max="28" width="13.85546875" style="4" customWidth="1"/>
    <col min="29" max="29" width="12.5703125" style="4" customWidth="1"/>
    <col min="30" max="30" width="13.140625" style="4" customWidth="1"/>
    <col min="31" max="31" width="15.85546875" style="4" customWidth="1"/>
    <col min="32" max="32" width="13.7109375" style="4" customWidth="1"/>
    <col min="33" max="33" width="15.42578125" style="4" customWidth="1"/>
    <col min="34" max="16384" width="9.140625" style="4"/>
  </cols>
  <sheetData>
    <row r="1" spans="1:29" ht="39" thickBot="1" x14ac:dyDescent="0.25">
      <c r="A1" s="6" t="s">
        <v>79</v>
      </c>
      <c r="C1" s="6"/>
      <c r="E1" s="917" t="s">
        <v>80</v>
      </c>
      <c r="F1" s="917"/>
      <c r="G1" s="917"/>
      <c r="H1" s="918" t="s">
        <v>81</v>
      </c>
      <c r="I1" s="918"/>
      <c r="J1" s="918"/>
      <c r="L1" s="918" t="s">
        <v>81</v>
      </c>
      <c r="M1" s="918"/>
      <c r="N1" s="918"/>
      <c r="P1" s="918" t="s">
        <v>81</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22</v>
      </c>
      <c r="B2" s="912"/>
      <c r="C2" s="4" t="s">
        <v>90</v>
      </c>
      <c r="D2" s="70" t="s">
        <v>69</v>
      </c>
      <c r="E2" s="913" t="s">
        <v>60</v>
      </c>
      <c r="F2" s="914"/>
      <c r="G2" s="72"/>
      <c r="H2" s="402"/>
      <c r="I2" s="913" t="s">
        <v>60</v>
      </c>
      <c r="J2" s="914"/>
      <c r="K2" s="71"/>
      <c r="L2" s="402"/>
      <c r="M2" s="913" t="s">
        <v>62</v>
      </c>
      <c r="N2" s="914"/>
      <c r="O2" s="71"/>
      <c r="P2" s="402"/>
      <c r="Q2" s="913" t="s">
        <v>62</v>
      </c>
      <c r="R2" s="914"/>
      <c r="S2" s="71"/>
    </row>
    <row r="3" spans="1:29" ht="13.5" thickBot="1" x14ac:dyDescent="0.25">
      <c r="C3" s="10" t="s">
        <v>91</v>
      </c>
      <c r="E3" s="921" t="s">
        <v>710</v>
      </c>
      <c r="F3" s="922"/>
      <c r="H3" s="403"/>
      <c r="I3" s="923" t="s">
        <v>395</v>
      </c>
      <c r="J3" s="916"/>
      <c r="K3" s="73"/>
      <c r="L3" s="403"/>
      <c r="M3" s="923" t="s">
        <v>728</v>
      </c>
      <c r="N3" s="916"/>
      <c r="O3" s="73"/>
      <c r="P3" s="403"/>
      <c r="Q3" s="923" t="s">
        <v>94</v>
      </c>
      <c r="R3" s="916"/>
      <c r="S3" s="73"/>
      <c r="T3" s="6" t="str">
        <f>"Kytketty koneet: "&amp;IF(E2="k",E3&amp;" ","")&amp;IF(I2="k",I3&amp;" ","")&amp;IF(M2="k",M3&amp;" ","")&amp;(IF(Q2="k",Q3&amp;" ",""))</f>
        <v xml:space="preserve">Kytketty koneet: Hitachi 16 t Paikannusjärjestelmä </v>
      </c>
    </row>
    <row r="4" spans="1:29" x14ac:dyDescent="0.2">
      <c r="A4" s="4" t="s">
        <v>95</v>
      </c>
      <c r="E4" s="4" t="s">
        <v>96</v>
      </c>
      <c r="F4" s="75">
        <v>6</v>
      </c>
      <c r="H4" s="119"/>
      <c r="I4" s="4" t="s">
        <v>96</v>
      </c>
      <c r="J4" s="75">
        <v>6</v>
      </c>
      <c r="K4" s="73"/>
      <c r="L4" s="119"/>
      <c r="M4" s="4" t="s">
        <v>96</v>
      </c>
      <c r="N4" s="75">
        <v>12</v>
      </c>
      <c r="O4" s="73"/>
      <c r="P4" s="119"/>
      <c r="Q4" s="4" t="s">
        <v>96</v>
      </c>
      <c r="R4" s="75">
        <v>8</v>
      </c>
      <c r="S4" s="73"/>
      <c r="T4" s="160" t="s">
        <v>97</v>
      </c>
    </row>
    <row r="5" spans="1:29" ht="13.5" thickBot="1" x14ac:dyDescent="0.25">
      <c r="A5" s="4" t="s">
        <v>98</v>
      </c>
      <c r="E5" s="4" t="s">
        <v>99</v>
      </c>
      <c r="F5" s="640">
        <v>900</v>
      </c>
      <c r="H5" s="119"/>
      <c r="I5" s="4" t="s">
        <v>99</v>
      </c>
      <c r="J5" s="640">
        <v>800</v>
      </c>
      <c r="K5" s="73"/>
      <c r="L5" s="119"/>
      <c r="M5" s="4" t="s">
        <v>99</v>
      </c>
      <c r="N5" s="640">
        <v>1100</v>
      </c>
      <c r="O5" s="73"/>
      <c r="P5" s="119"/>
      <c r="Q5" s="4" t="s">
        <v>99</v>
      </c>
      <c r="R5" s="640">
        <v>105</v>
      </c>
      <c r="S5" s="73"/>
      <c r="T5" s="641">
        <f>IF($E$2="k",(F5),0)+IF($I$2="k",(J5),0)+IF($M$2="k",(N5),0)+IF($Q$2="k",(R5),0)</f>
        <v>1700</v>
      </c>
    </row>
    <row r="6" spans="1:29" ht="13.5" thickBot="1" x14ac:dyDescent="0.25">
      <c r="A6" s="160" t="s">
        <v>545</v>
      </c>
      <c r="E6" s="795">
        <v>0.85</v>
      </c>
      <c r="F6" s="794">
        <f>E6*F5</f>
        <v>765</v>
      </c>
      <c r="G6" s="793"/>
      <c r="I6" s="795">
        <v>0.5</v>
      </c>
      <c r="J6" s="794">
        <f>I6*J5</f>
        <v>400</v>
      </c>
      <c r="K6" s="73"/>
      <c r="M6" s="795">
        <v>0.85</v>
      </c>
      <c r="N6" s="794">
        <f>M6*N5</f>
        <v>935</v>
      </c>
      <c r="O6" s="73"/>
      <c r="Q6" s="795">
        <f>M6</f>
        <v>0.85</v>
      </c>
      <c r="R6" s="794">
        <f>Q6*R5</f>
        <v>89.25</v>
      </c>
      <c r="S6" s="73"/>
      <c r="T6" s="641">
        <f>IF($E$2="k",(F6),0)+IF($I$2="k",(J6),0)+IF($M$2="k",(N6),0)+IF($Q$2="k",(R6),0)</f>
        <v>1165</v>
      </c>
    </row>
    <row r="7" spans="1:29" x14ac:dyDescent="0.2">
      <c r="A7" s="4" t="s">
        <v>100</v>
      </c>
      <c r="F7" s="77">
        <v>170000</v>
      </c>
      <c r="H7" s="119"/>
      <c r="J7" s="77">
        <v>10000</v>
      </c>
      <c r="K7" s="73"/>
      <c r="L7" s="119"/>
      <c r="N7" s="77">
        <v>60000</v>
      </c>
      <c r="O7" s="73"/>
      <c r="P7" s="119"/>
      <c r="R7" s="77">
        <v>18000</v>
      </c>
      <c r="S7" s="73"/>
    </row>
    <row r="8" spans="1:29" x14ac:dyDescent="0.2">
      <c r="A8" s="4" t="s">
        <v>101</v>
      </c>
      <c r="E8" s="596">
        <v>0.255</v>
      </c>
      <c r="F8" s="222">
        <f>F7/(100%+E8)*E8</f>
        <v>34541.832669322714</v>
      </c>
      <c r="G8" s="7"/>
      <c r="H8" s="404"/>
      <c r="I8" s="596">
        <f>E8</f>
        <v>0.255</v>
      </c>
      <c r="J8" s="222">
        <f>J7/(100%+I8)*I8</f>
        <v>2031.8725099601595</v>
      </c>
      <c r="K8" s="79"/>
      <c r="L8" s="404"/>
      <c r="M8" s="596">
        <f>I8</f>
        <v>0.255</v>
      </c>
      <c r="N8" s="222">
        <f>N7/(100%+M8)*M8</f>
        <v>12191.235059760957</v>
      </c>
      <c r="O8" s="79"/>
      <c r="P8" s="404"/>
      <c r="Q8" s="596">
        <f>M8</f>
        <v>0.255</v>
      </c>
      <c r="R8" s="222">
        <f>R7/(100%+Q8)*Q8</f>
        <v>3657.370517928287</v>
      </c>
      <c r="S8" s="79"/>
    </row>
    <row r="9" spans="1:29" x14ac:dyDescent="0.2">
      <c r="A9" s="4" t="s">
        <v>102</v>
      </c>
      <c r="F9" s="80">
        <f>F7-F8</f>
        <v>135458.16733067727</v>
      </c>
      <c r="H9" s="119"/>
      <c r="J9" s="80">
        <f>J7-J8</f>
        <v>7968.1274900398403</v>
      </c>
      <c r="K9" s="73"/>
      <c r="L9" s="119"/>
      <c r="N9" s="80">
        <f>N7-N8</f>
        <v>47808.764940239045</v>
      </c>
      <c r="O9" s="73"/>
      <c r="P9" s="119"/>
      <c r="R9" s="80">
        <f>R7-R8</f>
        <v>14342.629482071712</v>
      </c>
      <c r="S9" s="73"/>
    </row>
    <row r="10" spans="1:29" x14ac:dyDescent="0.2">
      <c r="A10" s="4" t="s">
        <v>103</v>
      </c>
      <c r="E10" s="225">
        <v>0.5</v>
      </c>
      <c r="F10" s="222">
        <f>E10*F9</f>
        <v>67729.083665338636</v>
      </c>
      <c r="H10" s="119"/>
      <c r="I10" s="225">
        <v>0</v>
      </c>
      <c r="J10" s="222">
        <f>I10*J9</f>
        <v>0</v>
      </c>
      <c r="K10" s="73"/>
      <c r="L10" s="119"/>
      <c r="M10" s="225">
        <v>0.25</v>
      </c>
      <c r="N10" s="222">
        <f>M10*N9</f>
        <v>11952.191235059761</v>
      </c>
      <c r="O10" s="73"/>
      <c r="P10" s="119"/>
      <c r="Q10" s="225">
        <v>0</v>
      </c>
      <c r="R10" s="222">
        <f>Q10*R9</f>
        <v>0</v>
      </c>
      <c r="S10" s="73"/>
    </row>
    <row r="11" spans="1:29" x14ac:dyDescent="0.2">
      <c r="A11" s="4" t="s">
        <v>104</v>
      </c>
      <c r="F11" s="81">
        <f>F9-F10</f>
        <v>67729.083665338636</v>
      </c>
      <c r="H11" s="119"/>
      <c r="J11" s="81">
        <f>J9-J10</f>
        <v>7968.1274900398403</v>
      </c>
      <c r="K11" s="73"/>
      <c r="L11" s="119"/>
      <c r="N11" s="81">
        <f>N9-N10</f>
        <v>35856.573705179282</v>
      </c>
      <c r="O11" s="73"/>
      <c r="P11" s="119"/>
      <c r="R11" s="81">
        <f>R9-R10</f>
        <v>14342.629482071712</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14674.634794156704</v>
      </c>
      <c r="H13" s="119"/>
      <c r="I13" s="226">
        <v>0.05</v>
      </c>
      <c r="J13" s="222">
        <f>IF(I2="k",IF($D$2="A",ABS(PMT(I13,J4,-J9,I10*J9,0)),SUM(J14:J15)),0)</f>
        <v>1527.2244355909695</v>
      </c>
      <c r="K13" s="73"/>
      <c r="L13" s="119"/>
      <c r="M13" s="226">
        <v>0.05</v>
      </c>
      <c r="N13" s="222">
        <f>IF(M2="k",IF($D$2="A",ABS(PMT(M13,N4,-N9,M10*N9,0)),SUM(N14:N15)),0)</f>
        <v>0</v>
      </c>
      <c r="O13" s="73"/>
      <c r="P13" s="119"/>
      <c r="Q13" s="226">
        <v>0.05</v>
      </c>
      <c r="R13" s="222">
        <f>IF(Q2="k",IF($D$2="A",ABS(PMT(Q13,R4,-R9,Q10*R9,0)),SUM(R14:R15)),0)</f>
        <v>0</v>
      </c>
      <c r="S13" s="73"/>
      <c r="T13" s="36">
        <f>SUM(F13,J13,N13,R13)</f>
        <v>16201.859229747673</v>
      </c>
    </row>
    <row r="14" spans="1:29" x14ac:dyDescent="0.2">
      <c r="B14" s="30" t="s">
        <v>109</v>
      </c>
      <c r="F14" s="84">
        <f>IF(E2="k",IF(D2="A",E13*F9,F9/2*E13),0)</f>
        <v>3386.454183266932</v>
      </c>
      <c r="G14" s="10"/>
      <c r="H14" s="405"/>
      <c r="J14" s="84">
        <f>IF(I2="k",IF($D$2="A",I13*J9,J9/2*I13),0)</f>
        <v>199.20318725099602</v>
      </c>
      <c r="K14" s="85"/>
      <c r="L14" s="405"/>
      <c r="N14" s="84">
        <f>IF(M2="k",IF($D$2="A",M13*N9,N9/2*M13),0)</f>
        <v>0</v>
      </c>
      <c r="O14" s="85"/>
      <c r="P14" s="405"/>
      <c r="R14" s="84">
        <f>IF(Q2="k",IF($D$2="A",Q13*R9,R9/2*Q13),0)</f>
        <v>0</v>
      </c>
      <c r="S14" s="85"/>
      <c r="T14" s="36">
        <f t="shared" ref="T14:T25" si="0">SUM(F14,J14,N14,R14)</f>
        <v>3585.657370517928</v>
      </c>
    </row>
    <row r="15" spans="1:29" ht="13.5" thickBot="1" x14ac:dyDescent="0.25">
      <c r="B15" s="32" t="s">
        <v>110</v>
      </c>
      <c r="C15" s="33"/>
      <c r="D15" s="33"/>
      <c r="E15" s="33"/>
      <c r="F15" s="86">
        <f>IF(E2="k",IF(D2="A",F13-F14,F11/F4),0)</f>
        <v>11288.180610889773</v>
      </c>
      <c r="H15" s="119"/>
      <c r="J15" s="86">
        <f>IF(I2="k",IF($D$2="A",J13-J14,J11/J4),0)</f>
        <v>1328.0212483399735</v>
      </c>
      <c r="K15" s="73"/>
      <c r="L15" s="119"/>
      <c r="N15" s="86">
        <f>IF(M2="k",IF($D$2="A",N13-N14,N11/N4),0)</f>
        <v>0</v>
      </c>
      <c r="O15" s="73"/>
      <c r="P15" s="119"/>
      <c r="R15" s="86">
        <f>IF(Q2="k",IF($D$2="A",R13-R14,R11/R4),0)</f>
        <v>0</v>
      </c>
      <c r="S15" s="73"/>
      <c r="T15" s="36">
        <f t="shared" si="0"/>
        <v>12616.201859229746</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240</v>
      </c>
      <c r="O17" s="85"/>
      <c r="P17" s="405"/>
      <c r="Q17" s="44"/>
      <c r="R17" s="77">
        <v>0</v>
      </c>
      <c r="S17" s="85"/>
      <c r="T17" s="8">
        <f>IF($E$2="k",F17)+IF($I$2="k",J17)+IF($M$2="k",N17)+IF($Q$2="k",R17)</f>
        <v>240</v>
      </c>
    </row>
    <row r="18" spans="1:29" x14ac:dyDescent="0.2">
      <c r="B18" s="40" t="s">
        <v>112</v>
      </c>
      <c r="D18" s="44"/>
      <c r="E18" s="899"/>
      <c r="F18" s="88">
        <v>1000</v>
      </c>
      <c r="G18" s="10"/>
      <c r="H18" s="405"/>
      <c r="J18" s="77">
        <v>0</v>
      </c>
      <c r="K18" s="85"/>
      <c r="L18" s="405"/>
      <c r="N18" s="77">
        <v>200</v>
      </c>
      <c r="O18" s="85"/>
      <c r="P18" s="405"/>
      <c r="R18" s="77">
        <v>0</v>
      </c>
      <c r="S18" s="85"/>
      <c r="T18" s="8">
        <f>IF($E$2="k",F18)+IF($I$2="k",J18)+IF($M$2="k",N18)+IF($Q$2="k",R18)</f>
        <v>1000</v>
      </c>
    </row>
    <row r="19" spans="1:29" x14ac:dyDescent="0.2">
      <c r="B19" s="35" t="s">
        <v>113</v>
      </c>
      <c r="C19" s="986" t="s">
        <v>691</v>
      </c>
      <c r="D19" s="986"/>
      <c r="E19" s="986"/>
      <c r="F19" s="77">
        <v>5000</v>
      </c>
      <c r="G19" s="10"/>
      <c r="H19" s="405"/>
      <c r="J19" s="77"/>
      <c r="K19" s="85"/>
      <c r="L19" s="405"/>
      <c r="N19" s="77">
        <v>5000</v>
      </c>
      <c r="O19" s="85"/>
      <c r="P19" s="405"/>
      <c r="R19" s="77"/>
      <c r="S19" s="85"/>
      <c r="T19" s="8">
        <f>IF($E$2="k",F19)+IF($I$2="k",J19)+IF($M$2="k",N19)+IF($Q$2="k",R19)</f>
        <v>5000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406.37450199203181</v>
      </c>
      <c r="G21" s="10"/>
      <c r="H21" s="405"/>
      <c r="I21" s="226">
        <v>3.0000000000000001E-3</v>
      </c>
      <c r="J21" s="290">
        <f>IF(I2="k",I21*J9,0)</f>
        <v>23.904382470119522</v>
      </c>
      <c r="K21" s="85"/>
      <c r="L21" s="405"/>
      <c r="M21" s="226">
        <v>3.0000000000000001E-3</v>
      </c>
      <c r="N21" s="290">
        <f>IF(M2="k",M21*N9,0)</f>
        <v>0</v>
      </c>
      <c r="O21" s="85"/>
      <c r="P21" s="405"/>
      <c r="Q21" s="226">
        <v>3.0000000000000001E-3</v>
      </c>
      <c r="R21" s="19">
        <f>IF(Q2="k",Q21*R9,0)</f>
        <v>0</v>
      </c>
      <c r="S21" s="85"/>
      <c r="T21" s="36">
        <f t="shared" si="0"/>
        <v>430.27888446215132</v>
      </c>
    </row>
    <row r="22" spans="1:29" ht="13.5" thickBot="1" x14ac:dyDescent="0.25">
      <c r="B22" s="50" t="s">
        <v>115</v>
      </c>
      <c r="C22" s="51"/>
      <c r="D22" s="51"/>
      <c r="E22" s="52"/>
      <c r="F22" s="91">
        <f>IF(E2="k",SUM(F14:F21),0)</f>
        <v>21321.009296148735</v>
      </c>
      <c r="G22" s="209">
        <f>IF(E$6=0%,F22/F$5,F22/F$6)</f>
        <v>27.870600387122529</v>
      </c>
      <c r="H22" s="406"/>
      <c r="J22" s="91">
        <f>IF(I2="k",SUM(J14:J21),0)</f>
        <v>1551.1288180610891</v>
      </c>
      <c r="K22" s="209">
        <f>IF(I$6=0%,J22/J$5,J22/J$6)</f>
        <v>3.8778220451527226</v>
      </c>
      <c r="L22" s="406"/>
      <c r="N22" s="91">
        <f>IF(M2="k",SUM(N14:N21),0)</f>
        <v>0</v>
      </c>
      <c r="O22" s="209">
        <f>IF(M$6=0%,N22/N$5,N22/N$6)</f>
        <v>0</v>
      </c>
      <c r="P22" s="406"/>
      <c r="R22" s="93">
        <f>IF(Q2="k",SUM(R14:R21),0)</f>
        <v>0</v>
      </c>
      <c r="S22" s="209">
        <f>IF(Q$6=0%,R22/R$5,R22/R$6)</f>
        <v>0</v>
      </c>
      <c r="T22" s="94">
        <f t="shared" si="0"/>
        <v>22872.138114209825</v>
      </c>
      <c r="U22" s="425">
        <f>SUM(G22,K22,O22,S22)</f>
        <v>31.748422432275252</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3500</v>
      </c>
      <c r="G24" s="47"/>
      <c r="H24" s="409"/>
      <c r="J24" s="77">
        <v>100</v>
      </c>
      <c r="K24" s="99"/>
      <c r="L24" s="409"/>
      <c r="N24" s="77">
        <v>5500</v>
      </c>
      <c r="O24" s="99"/>
      <c r="P24" s="409"/>
      <c r="R24" s="77">
        <v>800</v>
      </c>
      <c r="S24" s="99"/>
      <c r="T24" s="8">
        <f>IF($E$2="k",F24)+IF($I$2="k",J24)+IF($M$2="k",N24)+IF($Q$2="k",R24)</f>
        <v>3600</v>
      </c>
    </row>
    <row r="25" spans="1:29" ht="15.75" x14ac:dyDescent="0.2">
      <c r="B25" s="11" t="s">
        <v>118</v>
      </c>
      <c r="C25" s="196">
        <v>15</v>
      </c>
      <c r="D25" s="197">
        <v>1.5</v>
      </c>
      <c r="E25" s="289"/>
      <c r="F25" s="100">
        <f>IF(E2="k",C25*D25*F5,0)</f>
        <v>20250</v>
      </c>
      <c r="G25" s="39"/>
      <c r="H25" s="410">
        <v>0</v>
      </c>
      <c r="I25" s="102">
        <f>$D$25</f>
        <v>1.5</v>
      </c>
      <c r="J25" s="100">
        <f>IF(I2="k",H25*I25*J5,0)</f>
        <v>0</v>
      </c>
      <c r="K25" s="101"/>
      <c r="L25" s="410">
        <v>15</v>
      </c>
      <c r="M25" s="102">
        <f>$D$25</f>
        <v>1.5</v>
      </c>
      <c r="N25" s="100">
        <f>IF(M2="k",L25*M25*N5,0)</f>
        <v>0</v>
      </c>
      <c r="O25" s="101"/>
      <c r="P25" s="410">
        <v>0</v>
      </c>
      <c r="Q25" s="102">
        <f>$D$25</f>
        <v>1.5</v>
      </c>
      <c r="R25" s="100">
        <f>IF(Q2="k",P25*Q25*R5,0)</f>
        <v>0</v>
      </c>
      <c r="S25" s="101"/>
      <c r="T25" s="36">
        <f t="shared" si="0"/>
        <v>20250</v>
      </c>
      <c r="V25" s="165" t="s">
        <v>37</v>
      </c>
      <c r="W25" s="642">
        <f>IF($E$2="k",(C25*F5),0)+IF($I$2="k",(H25*J5),0)+IF($M$2="k",(L25*N5),0)+IF($Q$2="k",(P25*R5),0)</f>
        <v>13500</v>
      </c>
      <c r="X25" s="642">
        <f>W25/159</f>
        <v>84.905660377358487</v>
      </c>
      <c r="Y25" s="161">
        <f>VLOOKUP(V25,Ohjeet!A63:F68,6,FALSE)</f>
        <v>2.66</v>
      </c>
      <c r="Z25" s="168">
        <f>W25*Y25</f>
        <v>35910</v>
      </c>
      <c r="AA25" s="164">
        <f>Z25/1000</f>
        <v>35.909999999999997</v>
      </c>
      <c r="AB25" s="162">
        <f>Z25*0.27</f>
        <v>9695.7000000000007</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21.123529411764707</v>
      </c>
    </row>
    <row r="27" spans="1:29" x14ac:dyDescent="0.2">
      <c r="B27" s="195" t="s">
        <v>124</v>
      </c>
      <c r="C27" s="393">
        <v>7.0000000000000007E-2</v>
      </c>
      <c r="D27" s="643">
        <f>C25*F5*C27</f>
        <v>945.00000000000011</v>
      </c>
      <c r="E27" s="644">
        <v>1</v>
      </c>
      <c r="F27" s="397">
        <f>IF(E2="K",IF(G27&gt;0,G27,D27*E27),0)</f>
        <v>945.00000000000011</v>
      </c>
      <c r="G27" s="645">
        <v>0</v>
      </c>
      <c r="H27" s="411"/>
      <c r="I27" s="400">
        <f>H25*$C$27</f>
        <v>0</v>
      </c>
      <c r="J27" s="397">
        <f>IF(I2="K",IF(K27&gt;0,K27,I27*$E$27),0)</f>
        <v>0</v>
      </c>
      <c r="K27" s="646">
        <v>0</v>
      </c>
      <c r="L27" s="411"/>
      <c r="M27" s="400">
        <f>L25*$C$27</f>
        <v>1.05</v>
      </c>
      <c r="N27" s="397">
        <f>IF(M2="K",IF(O27&gt;0,O27,M27*$E$27),0)</f>
        <v>0</v>
      </c>
      <c r="O27" s="646">
        <v>0</v>
      </c>
      <c r="P27" s="411"/>
      <c r="Q27" s="400">
        <f>P25*$C$27</f>
        <v>0</v>
      </c>
      <c r="R27" s="397">
        <f>IF(Q2="K",IF(S27&gt;0,S27,Q27*$E$27),0)</f>
        <v>0</v>
      </c>
      <c r="S27" s="646">
        <v>0</v>
      </c>
      <c r="T27" s="8">
        <f>IF($E$2="k",F27)+IF($I$2="k",J27)+IF($M$2="k",N27)+IF($Q$2="k",R27)</f>
        <v>945.00000000000011</v>
      </c>
    </row>
    <row r="28" spans="1:29" x14ac:dyDescent="0.2">
      <c r="B28" s="396" t="s">
        <v>125</v>
      </c>
      <c r="C28" s="919" t="s">
        <v>396</v>
      </c>
      <c r="D28" s="920"/>
      <c r="E28" s="920"/>
      <c r="F28" s="77">
        <v>2000</v>
      </c>
      <c r="G28" s="39"/>
      <c r="H28" s="411"/>
      <c r="I28" s="412" t="str">
        <f>$B$28</f>
        <v>Muut:</v>
      </c>
      <c r="J28" s="77">
        <v>100</v>
      </c>
      <c r="K28" s="101"/>
      <c r="L28" s="411"/>
      <c r="M28" s="412" t="str">
        <f>$B$28</f>
        <v>Muut:</v>
      </c>
      <c r="N28" s="77">
        <v>2500</v>
      </c>
      <c r="O28" s="101"/>
      <c r="P28" s="411"/>
      <c r="Q28" s="412" t="str">
        <f>$B$28</f>
        <v>Muut:</v>
      </c>
      <c r="R28" s="77">
        <v>0</v>
      </c>
      <c r="S28" s="101"/>
      <c r="T28" s="8">
        <f>IF($E$2="k",F28)+IF($I$2="k",J28)+IF($M$2="k",N28)+IF($Q$2="k",R28)</f>
        <v>2100</v>
      </c>
    </row>
    <row r="29" spans="1:29" ht="13.5" thickBot="1" x14ac:dyDescent="0.25">
      <c r="B29" s="396" t="s">
        <v>125</v>
      </c>
      <c r="C29" s="919" t="s">
        <v>397</v>
      </c>
      <c r="D29" s="920"/>
      <c r="E29" s="920"/>
      <c r="F29" s="77">
        <v>3000</v>
      </c>
      <c r="G29" s="39"/>
      <c r="H29" s="411"/>
      <c r="I29" s="412" t="str">
        <f>$B$29</f>
        <v>Muut:</v>
      </c>
      <c r="J29" s="77"/>
      <c r="K29" s="101"/>
      <c r="L29" s="411"/>
      <c r="M29" s="412" t="str">
        <f>$B$29</f>
        <v>Muut:</v>
      </c>
      <c r="N29" s="77">
        <v>2800</v>
      </c>
      <c r="O29" s="101"/>
      <c r="P29" s="411"/>
      <c r="Q29" s="412" t="str">
        <f>$B$29</f>
        <v>Muut:</v>
      </c>
      <c r="R29" s="77">
        <v>0</v>
      </c>
      <c r="S29" s="101"/>
      <c r="T29" s="8">
        <f>IF($E$2="k",F29)+IF($I$2="k",J29)+IF($M$2="k",N29)+IF($Q$2="k",R29)</f>
        <v>3000</v>
      </c>
    </row>
    <row r="30" spans="1:29" ht="13.5" thickBot="1" x14ac:dyDescent="0.25">
      <c r="B30" s="60" t="s">
        <v>127</v>
      </c>
      <c r="C30" s="51"/>
      <c r="D30" s="51"/>
      <c r="E30" s="51"/>
      <c r="F30" s="55">
        <f>IF(E2="k",SUM(F24:F29),0)</f>
        <v>29695</v>
      </c>
      <c r="G30" s="209">
        <f>IF(E$6=0%,F30/F$5,F30/F$6)</f>
        <v>38.816993464052288</v>
      </c>
      <c r="H30" s="413"/>
      <c r="J30" s="55">
        <f>IF(I2="k",SUM(J24:J29),0)</f>
        <v>200</v>
      </c>
      <c r="K30" s="209">
        <f>IF(I$6=0%,J30/J$5,J30/J$6)</f>
        <v>0.5</v>
      </c>
      <c r="L30" s="413"/>
      <c r="N30" s="55">
        <f>IF(M2="k",SUM(N24:N29),0)</f>
        <v>0</v>
      </c>
      <c r="O30" s="209">
        <f>IF(M$6=0%,N30/N$5,N30/N$6)</f>
        <v>0</v>
      </c>
      <c r="P30" s="413"/>
      <c r="R30" s="55">
        <f>IF(Q2="k",SUM(R24:R29),0)</f>
        <v>0</v>
      </c>
      <c r="S30" s="209">
        <f>IF(Q$6=0%,R30/R$5,R30/R$6)</f>
        <v>0</v>
      </c>
      <c r="T30" s="94">
        <f t="shared" ref="T30:T38" si="1">SUM(F30,J30,N30,R30)</f>
        <v>29895</v>
      </c>
      <c r="U30" s="105">
        <f>SUM(G30,K30,O30,S30)</f>
        <v>39.316993464052288</v>
      </c>
    </row>
    <row r="31" spans="1:29" ht="13.5" thickBot="1" x14ac:dyDescent="0.25">
      <c r="A31" s="6" t="s">
        <v>128</v>
      </c>
      <c r="F31" s="106">
        <f>F22+F30</f>
        <v>51016.009296148739</v>
      </c>
      <c r="G31" s="12"/>
      <c r="H31" s="415"/>
      <c r="J31" s="55">
        <f>IF(I2="k",J22+J30,0)</f>
        <v>1751.1288180610891</v>
      </c>
      <c r="K31" s="107"/>
      <c r="L31" s="415"/>
      <c r="N31" s="55">
        <f>IF(M2="k",N22+N30,0)</f>
        <v>0</v>
      </c>
      <c r="O31" s="107"/>
      <c r="P31" s="415"/>
      <c r="R31" s="55">
        <f>IF(Q2="k",R22+R30,0)</f>
        <v>0</v>
      </c>
      <c r="S31" s="107"/>
      <c r="T31" s="94">
        <f t="shared" si="1"/>
        <v>52767.138114209825</v>
      </c>
    </row>
    <row r="32" spans="1:29" ht="13.5" thickBot="1" x14ac:dyDescent="0.25">
      <c r="F32" s="7"/>
      <c r="H32" s="119"/>
      <c r="J32" s="7"/>
      <c r="K32" s="73"/>
      <c r="L32" s="119"/>
      <c r="N32" s="7"/>
      <c r="O32" s="73"/>
      <c r="P32" s="119"/>
      <c r="R32" s="7"/>
      <c r="S32" s="73"/>
    </row>
    <row r="33" spans="1:33" ht="13.5" thickBot="1" x14ac:dyDescent="0.25">
      <c r="A33" s="6" t="s">
        <v>129</v>
      </c>
      <c r="F33" s="235">
        <f>IF(E2="k",IF(E6=0%,F31/F5,F31/F6),0)</f>
        <v>66.687593851174825</v>
      </c>
      <c r="G33" s="12"/>
      <c r="H33" s="415"/>
      <c r="J33" s="235">
        <f>IF(I2="k",IF(I6=0%,J31/J5,J31/J6),0)</f>
        <v>4.3778220451527226</v>
      </c>
      <c r="K33" s="107"/>
      <c r="L33" s="415"/>
      <c r="N33" s="235">
        <f>IF(M2="k",IF(M6=0%,N31/N5,N31/N6),0)</f>
        <v>0</v>
      </c>
      <c r="O33" s="107"/>
      <c r="P33" s="415"/>
      <c r="R33" s="235">
        <f>IF(Q2="k",IF(Q6=0%,R31/R5,R31/R6),0)</f>
        <v>0</v>
      </c>
      <c r="S33" s="107"/>
      <c r="T33" s="108">
        <f t="shared" si="1"/>
        <v>71.065415896327551</v>
      </c>
    </row>
    <row r="34" spans="1:33" x14ac:dyDescent="0.2">
      <c r="B34" s="6" t="s">
        <v>130</v>
      </c>
      <c r="E34" s="203">
        <v>0.2</v>
      </c>
      <c r="F34" s="234">
        <f>IF(E2="k",((100%/(100%-E34))*F33)-F33,0)</f>
        <v>16.671898462793706</v>
      </c>
      <c r="G34" s="10"/>
      <c r="H34" s="405"/>
      <c r="I34" s="295">
        <f>E34</f>
        <v>0.2</v>
      </c>
      <c r="J34" s="234">
        <f>IF(I2="k",((100%/(100%-I34))*J33)-J33,0)</f>
        <v>1.0944555112881806</v>
      </c>
      <c r="K34" s="85"/>
      <c r="L34" s="405"/>
      <c r="M34" s="295">
        <f>I34</f>
        <v>0.2</v>
      </c>
      <c r="N34" s="234">
        <f>IF(M2="k",((100%/(100%-M34))*N33)-N33,0)</f>
        <v>0</v>
      </c>
      <c r="O34" s="85"/>
      <c r="P34" s="405"/>
      <c r="Q34" s="295">
        <f>M34</f>
        <v>0.2</v>
      </c>
      <c r="R34" s="234">
        <f>IF(Q2="k",((100%/(100%-Q34))*R33)-R33,0)</f>
        <v>0</v>
      </c>
      <c r="S34" s="85"/>
      <c r="T34" s="36">
        <f t="shared" si="1"/>
        <v>17.766353974081888</v>
      </c>
    </row>
    <row r="35" spans="1:33" ht="13.5" thickBot="1" x14ac:dyDescent="0.25">
      <c r="B35" s="4" t="s">
        <v>131</v>
      </c>
      <c r="C35" s="160" t="s">
        <v>132</v>
      </c>
      <c r="F35" s="292">
        <v>25</v>
      </c>
      <c r="G35" s="10"/>
      <c r="H35" s="405"/>
      <c r="I35" s="109" t="s">
        <v>133</v>
      </c>
      <c r="J35" s="609">
        <v>0</v>
      </c>
      <c r="K35" s="85"/>
      <c r="L35" s="405"/>
      <c r="M35" s="109" t="str">
        <f>I35</f>
        <v>Traktorissa</v>
      </c>
      <c r="N35" s="292">
        <v>25</v>
      </c>
      <c r="O35" s="85"/>
      <c r="P35" s="405"/>
      <c r="Q35" s="109" t="str">
        <f>M35</f>
        <v>Traktorissa</v>
      </c>
      <c r="R35" s="292">
        <v>0</v>
      </c>
      <c r="S35" s="85"/>
      <c r="T35" s="8">
        <f>IF($E$2="k",F35)+IF($I$2="k",J35)+IF($M$2="k",N35)+IF($Q$2="k",R35)</f>
        <v>25</v>
      </c>
    </row>
    <row r="36" spans="1:33" ht="18" x14ac:dyDescent="0.25">
      <c r="B36" s="116" t="s">
        <v>134</v>
      </c>
      <c r="C36" s="115"/>
      <c r="D36" s="115"/>
      <c r="E36" s="115"/>
      <c r="F36" s="293">
        <f>IF(E2="K",SUM(F33:F35),0)</f>
        <v>108.35949231396853</v>
      </c>
      <c r="G36" s="10"/>
      <c r="H36" s="405"/>
      <c r="J36" s="117">
        <f>IF(I2="K",SUM(J33:J35),0)</f>
        <v>5.4722775564409032</v>
      </c>
      <c r="K36" s="85"/>
      <c r="L36" s="405"/>
      <c r="N36" s="293">
        <f>IF(M2="K",SUM(N33:N35),0)</f>
        <v>0</v>
      </c>
      <c r="O36" s="85"/>
      <c r="P36" s="405"/>
      <c r="R36" s="293">
        <f>IF(Q2="K",SUM(R33:R35),0)</f>
        <v>0</v>
      </c>
      <c r="S36" s="10"/>
      <c r="T36" s="855">
        <f>SUM(F36,J36,N36,R36)</f>
        <v>113.83176987040943</v>
      </c>
    </row>
    <row r="37" spans="1:33" ht="13.5" thickBot="1" x14ac:dyDescent="0.25">
      <c r="B37" s="119" t="s">
        <v>135</v>
      </c>
      <c r="E37" s="592">
        <v>0.255</v>
      </c>
      <c r="F37" s="291">
        <f>E37*F36</f>
        <v>27.631670540061975</v>
      </c>
      <c r="G37" s="401"/>
      <c r="H37" s="405"/>
      <c r="I37" s="593">
        <f>$E$37</f>
        <v>0.255</v>
      </c>
      <c r="J37" s="291">
        <f>I37*J36</f>
        <v>1.3954307768924303</v>
      </c>
      <c r="K37" s="85"/>
      <c r="L37" s="405"/>
      <c r="M37" s="593">
        <f>$E$37</f>
        <v>0.255</v>
      </c>
      <c r="N37" s="291">
        <f>M37*N36</f>
        <v>0</v>
      </c>
      <c r="O37" s="85"/>
      <c r="P37" s="405"/>
      <c r="Q37" s="593">
        <f>$E$37</f>
        <v>0.255</v>
      </c>
      <c r="R37" s="291">
        <f>Q37*R36</f>
        <v>0</v>
      </c>
      <c r="S37" s="85"/>
      <c r="T37" s="120">
        <f>SUM(F37,J37,N37,R37)</f>
        <v>29.027101316954404</v>
      </c>
    </row>
    <row r="38" spans="1:33" ht="13.5" thickBot="1" x14ac:dyDescent="0.25">
      <c r="B38" s="121" t="s">
        <v>136</v>
      </c>
      <c r="C38" s="114"/>
      <c r="D38" s="114"/>
      <c r="E38" s="114"/>
      <c r="F38" s="110">
        <f>IF(E2="k",SUM(F36:F37),0)</f>
        <v>135.99116285403051</v>
      </c>
      <c r="G38" s="113"/>
      <c r="H38" s="416"/>
      <c r="I38" s="114"/>
      <c r="J38" s="110">
        <f>IF(I2="k",SUM(J36:J37),0)</f>
        <v>6.8677083333333337</v>
      </c>
      <c r="K38" s="112"/>
      <c r="L38" s="416"/>
      <c r="M38" s="114"/>
      <c r="N38" s="110">
        <f>IF(M2="k",SUM(N36:N37),0)</f>
        <v>0</v>
      </c>
      <c r="O38" s="112"/>
      <c r="P38" s="416"/>
      <c r="Q38" s="114"/>
      <c r="R38" s="110">
        <f>IF(Q2="k",SUM(R36:R37),0)</f>
        <v>0</v>
      </c>
      <c r="S38" s="112"/>
      <c r="T38" s="108">
        <f t="shared" si="1"/>
        <v>142.85887118736383</v>
      </c>
    </row>
    <row r="39" spans="1:33" ht="13.5" thickBot="1" x14ac:dyDescent="0.25"/>
    <row r="40" spans="1:33" ht="26.25" customHeight="1" thickBot="1" x14ac:dyDescent="0.25">
      <c r="B40" s="1040" t="str">
        <f>T3</f>
        <v xml:space="preserve">Kytketty koneet: Hitachi 16 t Paikannusjärjestelmä </v>
      </c>
      <c r="C40" s="1041"/>
      <c r="D40" s="1163"/>
      <c r="E40" s="1164"/>
      <c r="F40" s="877">
        <v>1</v>
      </c>
      <c r="M40" s="1043">
        <v>2</v>
      </c>
      <c r="N40" s="1043"/>
      <c r="O40" s="1043"/>
      <c r="P40" s="1043"/>
      <c r="Q40" s="1043"/>
      <c r="R40" s="1044">
        <v>6</v>
      </c>
      <c r="S40" s="1045"/>
      <c r="T40" s="1046"/>
      <c r="U40" s="1047">
        <v>4</v>
      </c>
      <c r="V40" s="1048"/>
      <c r="W40" s="360">
        <v>3</v>
      </c>
      <c r="X40" s="1049">
        <v>5</v>
      </c>
      <c r="Y40" s="1049"/>
      <c r="Z40" s="1049">
        <v>7</v>
      </c>
      <c r="AA40" s="1049"/>
      <c r="AB40" s="1049"/>
      <c r="AC40" s="882">
        <v>8</v>
      </c>
      <c r="AD40" s="883"/>
      <c r="AE40" s="883"/>
      <c r="AF40" s="884"/>
      <c r="AG40" s="863">
        <v>9</v>
      </c>
    </row>
    <row r="41" spans="1:33" ht="12.75" customHeight="1" x14ac:dyDescent="0.25">
      <c r="A41" s="992" t="s">
        <v>651</v>
      </c>
      <c r="B41" s="994" t="s">
        <v>556</v>
      </c>
      <c r="C41" s="994"/>
      <c r="D41" s="987" t="s">
        <v>704</v>
      </c>
      <c r="E41" s="987"/>
      <c r="F41" s="987"/>
      <c r="G41" s="1169" t="s">
        <v>698</v>
      </c>
      <c r="H41" s="1059" t="s">
        <v>627</v>
      </c>
      <c r="I41" s="1012" t="s">
        <v>693</v>
      </c>
      <c r="J41" s="1015" t="s">
        <v>694</v>
      </c>
      <c r="K41" s="1016" t="s">
        <v>618</v>
      </c>
      <c r="L41" s="1022" t="s">
        <v>647</v>
      </c>
      <c r="M41" s="1004" t="s">
        <v>631</v>
      </c>
      <c r="N41" s="1022" t="s">
        <v>649</v>
      </c>
      <c r="O41" s="1004" t="s">
        <v>632</v>
      </c>
      <c r="P41" s="1022" t="s">
        <v>648</v>
      </c>
      <c r="Q41" s="1004" t="s">
        <v>633</v>
      </c>
      <c r="R41" s="1062" t="s">
        <v>611</v>
      </c>
      <c r="S41" s="1063"/>
      <c r="T41" s="1064"/>
      <c r="U41" s="1050" t="s">
        <v>558</v>
      </c>
      <c r="V41" s="1051"/>
      <c r="W41" s="836"/>
      <c r="X41" s="1052" t="s">
        <v>617</v>
      </c>
      <c r="Y41" s="1053"/>
      <c r="Z41" s="890" t="s">
        <v>209</v>
      </c>
      <c r="AC41" s="875"/>
      <c r="AD41" s="875"/>
      <c r="AE41" s="875"/>
      <c r="AF41" s="875"/>
      <c r="AG41" s="876"/>
    </row>
    <row r="42" spans="1:33" ht="63.75" customHeight="1" x14ac:dyDescent="0.2">
      <c r="A42" s="993"/>
      <c r="B42" s="995"/>
      <c r="C42" s="995"/>
      <c r="D42" s="902" t="s">
        <v>705</v>
      </c>
      <c r="E42" s="902" t="s">
        <v>706</v>
      </c>
      <c r="F42" s="902" t="s">
        <v>707</v>
      </c>
      <c r="G42" s="1061"/>
      <c r="H42" s="1059"/>
      <c r="I42" s="1013"/>
      <c r="J42" s="1015"/>
      <c r="K42" s="1017"/>
      <c r="L42" s="1022"/>
      <c r="M42" s="1005"/>
      <c r="N42" s="1022"/>
      <c r="O42" s="1005"/>
      <c r="P42" s="1022"/>
      <c r="Q42" s="1005"/>
      <c r="R42" s="1018" t="s">
        <v>697</v>
      </c>
      <c r="S42" s="1165" t="s">
        <v>696</v>
      </c>
      <c r="T42" s="1167" t="s">
        <v>695</v>
      </c>
      <c r="U42" s="1054" t="s">
        <v>623</v>
      </c>
      <c r="V42" s="1012" t="s">
        <v>624</v>
      </c>
      <c r="W42" s="1055" t="s">
        <v>610</v>
      </c>
      <c r="X42" s="1012" t="s">
        <v>614</v>
      </c>
      <c r="Y42" s="1057" t="s">
        <v>612</v>
      </c>
      <c r="Z42" s="1031" t="s">
        <v>674</v>
      </c>
      <c r="AA42" s="1032" t="s">
        <v>659</v>
      </c>
      <c r="AB42" s="1004" t="s">
        <v>660</v>
      </c>
      <c r="AC42" s="872" t="s">
        <v>622</v>
      </c>
      <c r="AD42" s="872" t="s">
        <v>629</v>
      </c>
      <c r="AE42" s="872" t="s">
        <v>628</v>
      </c>
      <c r="AF42" s="872" t="s">
        <v>630</v>
      </c>
      <c r="AG42" s="870" t="s">
        <v>621</v>
      </c>
    </row>
    <row r="43" spans="1:33" ht="48" customHeight="1" thickBot="1" x14ac:dyDescent="0.25">
      <c r="A43" s="993"/>
      <c r="B43" s="995"/>
      <c r="C43" s="995"/>
      <c r="D43" s="988" t="s">
        <v>703</v>
      </c>
      <c r="E43" s="989"/>
      <c r="F43" s="901" t="s">
        <v>703</v>
      </c>
      <c r="G43" s="903" t="s">
        <v>708</v>
      </c>
      <c r="H43" s="1059"/>
      <c r="I43" s="1014"/>
      <c r="J43" s="1015"/>
      <c r="K43" s="835" t="s">
        <v>613</v>
      </c>
      <c r="L43" s="1022"/>
      <c r="M43" s="1005"/>
      <c r="N43" s="1022"/>
      <c r="O43" s="1005"/>
      <c r="P43" s="1022"/>
      <c r="Q43" s="1005"/>
      <c r="R43" s="1019"/>
      <c r="S43" s="1166"/>
      <c r="T43" s="1168"/>
      <c r="U43" s="1054"/>
      <c r="V43" s="1014"/>
      <c r="W43" s="1056"/>
      <c r="X43" s="1014"/>
      <c r="Y43" s="1058"/>
      <c r="Z43" s="1031"/>
      <c r="AA43" s="1033"/>
      <c r="AB43" s="1004"/>
      <c r="AC43" s="873"/>
      <c r="AD43" s="873"/>
      <c r="AE43" s="873"/>
      <c r="AF43" s="873"/>
      <c r="AG43" s="871"/>
    </row>
    <row r="44" spans="1:33" ht="24.95" customHeight="1" x14ac:dyDescent="0.2">
      <c r="A44" s="869" t="s">
        <v>48</v>
      </c>
      <c r="B44" s="991" t="s">
        <v>692</v>
      </c>
      <c r="C44" s="991"/>
      <c r="D44" s="124">
        <v>45</v>
      </c>
      <c r="E44" s="124">
        <v>100</v>
      </c>
      <c r="F44" s="731">
        <f>IF($A44="","",IF(AND(D44&gt;0,E44&gt;0),(AVERAGE(D44:E44)),""))</f>
        <v>72.5</v>
      </c>
      <c r="G44" s="149">
        <v>1</v>
      </c>
      <c r="H44" s="149">
        <v>1</v>
      </c>
      <c r="I44" s="351">
        <v>1</v>
      </c>
      <c r="J44" s="894">
        <v>1</v>
      </c>
      <c r="K44" s="823"/>
      <c r="L44" s="895"/>
      <c r="M44" s="854">
        <f>IF($A44="","",IF(D44&gt;0,IF(L44&gt;0,L44,$T$36),0))</f>
        <v>113.83176987040943</v>
      </c>
      <c r="N44" s="895"/>
      <c r="O44" s="821">
        <f>IF($A44="","",IF(D44&gt;0,IF(N44&gt;0,N44,$U$30),0))</f>
        <v>39.316993464052288</v>
      </c>
      <c r="P44" s="895"/>
      <c r="Q44" s="821">
        <f>IF($A44="","",IF(D44&gt;0,IF(P44&gt;0,P44,$U$22),0))</f>
        <v>31.748422432275252</v>
      </c>
      <c r="R44" s="897">
        <f t="shared" ref="R44:R48" si="2">IF($A44="","",IF(X44&gt;0,X44/W44,0))</f>
        <v>2.5295948860090984</v>
      </c>
      <c r="S44" s="905">
        <f t="shared" ref="S44:S48" si="3">IF($A44="","",IF(Y44&gt;0,Y44/W44,0))</f>
        <v>1.1383176987040944</v>
      </c>
      <c r="T44" s="906">
        <f t="shared" ref="T44:T48" si="4">IF($A44="","",IF(U44&gt;0,W44/F44*M44/W44*H44,0))</f>
        <v>1.5700933775228887</v>
      </c>
      <c r="U44" s="303">
        <f>IF($A44="","",IF(D44&gt;0,W44/D44*H44,0))</f>
        <v>2.2222222222222223E-2</v>
      </c>
      <c r="V44" s="839">
        <f>IF($A44="","",IF(E44&gt;0,W44/E44*H44,0))</f>
        <v>0.01</v>
      </c>
      <c r="W44" s="860">
        <f>IF($A44="","",IF(AND(G44&gt;0,M44&gt;0),G44*I44*J44,0))</f>
        <v>1</v>
      </c>
      <c r="X44" s="821">
        <f>IF($A44="","",IF(U44&gt;0,U44*M44,0))</f>
        <v>2.5295948860090984</v>
      </c>
      <c r="Y44" s="861">
        <f>IF($A44="","",IF(V44&gt;0,V44*M44,0))</f>
        <v>1.1383176987040944</v>
      </c>
      <c r="Z44" s="864">
        <f>IF($A44="","",T44*W44)</f>
        <v>1.5700933775228887</v>
      </c>
      <c r="AA44" s="885">
        <f>IF($A44="","",K44*J44)</f>
        <v>0</v>
      </c>
      <c r="AB44" s="889">
        <f>SUM(Z44:AA44)</f>
        <v>1.5700933775228887</v>
      </c>
      <c r="AC44" s="821">
        <f t="shared" ref="AC44:AC57" si="5">IF($A44="","",IF(T44&gt;0,O44*(AVERAGE(U44:V44)),0))</f>
        <v>0.63344045025417572</v>
      </c>
      <c r="AD44" s="821">
        <f t="shared" ref="AD44:AD57" si="6">IF($A44="","",IF(Z44&gt;0,Q44*(AVERAGE(U44:V44)),0))</f>
        <v>0.51150236140887906</v>
      </c>
      <c r="AE44" s="821">
        <f>IF($A44="","",IF(Z44&gt;0,$T$35*(AVERAGE(U44:V44)),0))</f>
        <v>0.40277777777777779</v>
      </c>
      <c r="AF44" s="821">
        <f t="shared" ref="AF44:AF57" si="7">IF($A44="","",SUM(AC44:AE44))</f>
        <v>1.5477205894408326</v>
      </c>
      <c r="AG44" s="865">
        <f>IF($A44="","",IF(AB44&gt;0,AB44-AF44,0))</f>
        <v>2.2372788082056116E-2</v>
      </c>
    </row>
    <row r="45" spans="1:33" ht="24.95" customHeight="1" x14ac:dyDescent="0.2">
      <c r="A45" s="869" t="s">
        <v>48</v>
      </c>
      <c r="B45" s="991" t="s">
        <v>709</v>
      </c>
      <c r="C45" s="991"/>
      <c r="D45" s="124">
        <v>30</v>
      </c>
      <c r="E45" s="124">
        <v>50</v>
      </c>
      <c r="F45" s="731">
        <f t="shared" ref="F45:F57" si="8">IF($A45="","",IF(AND(D45&gt;0,E45&gt;0),(AVERAGE(D45:E45)),""))</f>
        <v>40</v>
      </c>
      <c r="G45" s="149">
        <v>1</v>
      </c>
      <c r="H45" s="149">
        <v>1</v>
      </c>
      <c r="I45" s="351">
        <v>2</v>
      </c>
      <c r="J45" s="894">
        <v>1</v>
      </c>
      <c r="K45" s="822">
        <v>0</v>
      </c>
      <c r="L45" s="895"/>
      <c r="M45" s="854">
        <f t="shared" ref="M45:M57" si="9">IF($A45="","",IF(D45&gt;0,IF(L45&gt;0,L45,$T$36),0))</f>
        <v>113.83176987040943</v>
      </c>
      <c r="N45" s="895"/>
      <c r="O45" s="821">
        <f t="shared" ref="O45:O57" si="10">IF($A45="","",IF(D45&gt;0,IF(N45&gt;0,N45,$U$30),0))</f>
        <v>39.316993464052288</v>
      </c>
      <c r="P45" s="895"/>
      <c r="Q45" s="821">
        <f t="shared" ref="Q45:Q57" si="11">IF($A45="","",IF(D45&gt;0,IF(P45&gt;0,P45,$U$22),0))</f>
        <v>31.748422432275252</v>
      </c>
      <c r="R45" s="897">
        <f>IF($A45="","",IF(X45&gt;0,X45/W45,0))</f>
        <v>3.7943923290136476</v>
      </c>
      <c r="S45" s="905">
        <f t="shared" si="3"/>
        <v>2.2766353974081888</v>
      </c>
      <c r="T45" s="906">
        <f t="shared" si="4"/>
        <v>2.845794246760236</v>
      </c>
      <c r="U45" s="303">
        <f t="shared" ref="U45:U57" si="12">IF($A45="","",IF(D45&gt;0,W45/D45*H45,0))</f>
        <v>6.6666666666666666E-2</v>
      </c>
      <c r="V45" s="839">
        <f t="shared" ref="V45:V57" si="13">IF($A45="","",IF(E45&gt;0,W45/E45*H45,0))</f>
        <v>0.04</v>
      </c>
      <c r="W45" s="860">
        <f t="shared" ref="W45:W57" si="14">IF($A45="","",IF(AND(G45&gt;0,M45&gt;0),G45*I45*J45,0))</f>
        <v>2</v>
      </c>
      <c r="X45" s="821">
        <f>IF($A45="","",IF(U45&gt;0,U45*M45,0))</f>
        <v>7.5887846580272953</v>
      </c>
      <c r="Y45" s="861">
        <f t="shared" ref="Y45:Y57" si="15">IF($A45="","",IF(V45&gt;0,V45*M45,0))</f>
        <v>4.5532707948163775</v>
      </c>
      <c r="Z45" s="864">
        <f t="shared" ref="Z45:Z57" si="16">IF($A45="","",T45*W45)</f>
        <v>5.6915884935204719</v>
      </c>
      <c r="AA45" s="885">
        <f t="shared" ref="AA45:AA57" si="17">IF($A45="","",K45*J45)</f>
        <v>0</v>
      </c>
      <c r="AB45" s="889">
        <f t="shared" ref="AB45:AB57" si="18">SUM(Z45:AA45)</f>
        <v>5.6915884935204719</v>
      </c>
      <c r="AC45" s="821">
        <f t="shared" si="5"/>
        <v>2.0969063180827887</v>
      </c>
      <c r="AD45" s="821">
        <f t="shared" si="6"/>
        <v>1.6932491963880134</v>
      </c>
      <c r="AE45" s="821">
        <f t="shared" ref="AE45:AE57" si="19">IF($A45="","",IF(Z45&gt;0,$T$35*(AVERAGE(U45:V45)),0))</f>
        <v>1.3333333333333333</v>
      </c>
      <c r="AF45" s="821">
        <f t="shared" si="7"/>
        <v>5.1234888478041354</v>
      </c>
      <c r="AG45" s="865">
        <f t="shared" ref="AG45:AG46" si="20">IF($A45="","",IF(AB45&gt;0,AB45-AF45,0))</f>
        <v>0.56809964571633653</v>
      </c>
    </row>
    <row r="46" spans="1:33" ht="24.95" customHeight="1" x14ac:dyDescent="0.2">
      <c r="A46" s="869" t="s">
        <v>48</v>
      </c>
      <c r="B46" s="996" t="s">
        <v>727</v>
      </c>
      <c r="C46" s="997"/>
      <c r="D46" s="633">
        <v>20</v>
      </c>
      <c r="E46" s="633">
        <v>50</v>
      </c>
      <c r="F46" s="731">
        <f t="shared" si="8"/>
        <v>35</v>
      </c>
      <c r="G46" s="149">
        <v>1</v>
      </c>
      <c r="H46" s="149">
        <v>1.2</v>
      </c>
      <c r="I46" s="351">
        <v>1</v>
      </c>
      <c r="J46" s="894">
        <v>1</v>
      </c>
      <c r="K46" s="822">
        <v>0</v>
      </c>
      <c r="L46" s="895"/>
      <c r="M46" s="854">
        <f t="shared" si="9"/>
        <v>113.83176987040943</v>
      </c>
      <c r="N46" s="895"/>
      <c r="O46" s="821">
        <f t="shared" si="10"/>
        <v>39.316993464052288</v>
      </c>
      <c r="P46" s="895"/>
      <c r="Q46" s="821">
        <f t="shared" si="11"/>
        <v>31.748422432275252</v>
      </c>
      <c r="R46" s="897">
        <f t="shared" si="2"/>
        <v>6.8299061922245654</v>
      </c>
      <c r="S46" s="905">
        <f t="shared" si="3"/>
        <v>2.7319624768898265</v>
      </c>
      <c r="T46" s="906">
        <f t="shared" si="4"/>
        <v>3.9028035384140374</v>
      </c>
      <c r="U46" s="303">
        <f t="shared" si="12"/>
        <v>0.06</v>
      </c>
      <c r="V46" s="839">
        <f t="shared" si="13"/>
        <v>2.4E-2</v>
      </c>
      <c r="W46" s="860">
        <f t="shared" si="14"/>
        <v>1</v>
      </c>
      <c r="X46" s="821">
        <f t="shared" ref="X46:X57" si="21">IF($A46="","",IF(U46&gt;0,U46*M46,0))</f>
        <v>6.8299061922245654</v>
      </c>
      <c r="Y46" s="861">
        <f t="shared" si="15"/>
        <v>2.7319624768898265</v>
      </c>
      <c r="Z46" s="864">
        <f t="shared" si="16"/>
        <v>3.9028035384140374</v>
      </c>
      <c r="AA46" s="885">
        <f t="shared" si="17"/>
        <v>0</v>
      </c>
      <c r="AB46" s="889">
        <f t="shared" si="18"/>
        <v>3.9028035384140374</v>
      </c>
      <c r="AC46" s="821">
        <f t="shared" si="5"/>
        <v>1.6513137254901959</v>
      </c>
      <c r="AD46" s="821">
        <f t="shared" si="6"/>
        <v>1.3334337421555604</v>
      </c>
      <c r="AE46" s="821">
        <f t="shared" si="19"/>
        <v>1.0499999999999998</v>
      </c>
      <c r="AF46" s="821">
        <f t="shared" si="7"/>
        <v>4.0347474676457562</v>
      </c>
      <c r="AG46" s="865">
        <f t="shared" si="20"/>
        <v>-0.13194392923171883</v>
      </c>
    </row>
    <row r="47" spans="1:33" ht="24.95" customHeight="1" x14ac:dyDescent="0.2">
      <c r="A47" s="869" t="s">
        <v>48</v>
      </c>
      <c r="B47" s="991" t="s">
        <v>729</v>
      </c>
      <c r="C47" s="991"/>
      <c r="D47" s="124">
        <v>5</v>
      </c>
      <c r="E47" s="124">
        <v>8</v>
      </c>
      <c r="F47" s="731">
        <f t="shared" si="8"/>
        <v>6.5</v>
      </c>
      <c r="G47" s="149">
        <v>1</v>
      </c>
      <c r="H47" s="149">
        <v>1</v>
      </c>
      <c r="I47" s="351">
        <v>1</v>
      </c>
      <c r="J47" s="894">
        <v>1</v>
      </c>
      <c r="K47" s="822"/>
      <c r="L47" s="896">
        <v>0</v>
      </c>
      <c r="M47" s="854">
        <f t="shared" si="9"/>
        <v>113.83176987040943</v>
      </c>
      <c r="N47" s="896">
        <v>0</v>
      </c>
      <c r="O47" s="821">
        <f t="shared" si="10"/>
        <v>39.316993464052288</v>
      </c>
      <c r="P47" s="896">
        <v>0</v>
      </c>
      <c r="Q47" s="821">
        <f t="shared" si="11"/>
        <v>31.748422432275252</v>
      </c>
      <c r="R47" s="897">
        <f t="shared" si="2"/>
        <v>22.766353974081888</v>
      </c>
      <c r="S47" s="905">
        <f t="shared" si="3"/>
        <v>14.228971233801179</v>
      </c>
      <c r="T47" s="906">
        <f t="shared" si="4"/>
        <v>17.512579980062991</v>
      </c>
      <c r="U47" s="303">
        <f t="shared" si="12"/>
        <v>0.2</v>
      </c>
      <c r="V47" s="839">
        <f t="shared" si="13"/>
        <v>0.125</v>
      </c>
      <c r="W47" s="860">
        <f t="shared" si="14"/>
        <v>1</v>
      </c>
      <c r="X47" s="821">
        <f t="shared" si="21"/>
        <v>22.766353974081888</v>
      </c>
      <c r="Y47" s="861">
        <f t="shared" si="15"/>
        <v>14.228971233801179</v>
      </c>
      <c r="Z47" s="864">
        <f>IF($A47="","",T47*W47)</f>
        <v>17.512579980062991</v>
      </c>
      <c r="AA47" s="885">
        <f t="shared" si="17"/>
        <v>0</v>
      </c>
      <c r="AB47" s="889">
        <f>SUM(Z47:AA47)</f>
        <v>17.512579980062991</v>
      </c>
      <c r="AC47" s="821">
        <f>IF($A47="","",IF(T47&gt;0,O47*(AVERAGE(U47:V47)),0))</f>
        <v>6.389011437908497</v>
      </c>
      <c r="AD47" s="821">
        <f t="shared" si="6"/>
        <v>5.1591186452447282</v>
      </c>
      <c r="AE47" s="821">
        <f t="shared" si="19"/>
        <v>4.0625</v>
      </c>
      <c r="AF47" s="821">
        <f t="shared" si="7"/>
        <v>15.610630083153225</v>
      </c>
      <c r="AG47" s="865">
        <f>IF($A47="","",IF(AB47&gt;0,AB47-AF47,0))</f>
        <v>1.9019498969097661</v>
      </c>
    </row>
    <row r="48" spans="1:33" ht="24.95" customHeight="1" x14ac:dyDescent="0.2">
      <c r="A48" s="869" t="s">
        <v>48</v>
      </c>
      <c r="B48" s="991" t="s">
        <v>730</v>
      </c>
      <c r="C48" s="991"/>
      <c r="D48" s="124">
        <v>15</v>
      </c>
      <c r="E48" s="124">
        <v>20</v>
      </c>
      <c r="F48" s="731">
        <f t="shared" si="8"/>
        <v>17.5</v>
      </c>
      <c r="G48" s="149">
        <v>1</v>
      </c>
      <c r="H48" s="149">
        <v>1</v>
      </c>
      <c r="I48" s="351">
        <v>2</v>
      </c>
      <c r="J48" s="894">
        <v>1</v>
      </c>
      <c r="K48" s="822">
        <v>0</v>
      </c>
      <c r="L48" s="895"/>
      <c r="M48" s="854">
        <f t="shared" si="9"/>
        <v>113.83176987040943</v>
      </c>
      <c r="N48" s="895"/>
      <c r="O48" s="821">
        <f t="shared" si="10"/>
        <v>39.316993464052288</v>
      </c>
      <c r="P48" s="895"/>
      <c r="Q48" s="821">
        <f t="shared" si="11"/>
        <v>31.748422432275252</v>
      </c>
      <c r="R48" s="897">
        <f t="shared" si="2"/>
        <v>7.5887846580272953</v>
      </c>
      <c r="S48" s="905">
        <f t="shared" si="3"/>
        <v>5.6915884935204719</v>
      </c>
      <c r="T48" s="906">
        <f t="shared" si="4"/>
        <v>6.5046725640233962</v>
      </c>
      <c r="U48" s="303">
        <f t="shared" si="12"/>
        <v>0.13333333333333333</v>
      </c>
      <c r="V48" s="839">
        <f t="shared" si="13"/>
        <v>0.1</v>
      </c>
      <c r="W48" s="860">
        <f t="shared" si="14"/>
        <v>2</v>
      </c>
      <c r="X48" s="821">
        <f t="shared" si="21"/>
        <v>15.177569316054591</v>
      </c>
      <c r="Y48" s="861">
        <f t="shared" si="15"/>
        <v>11.383176987040944</v>
      </c>
      <c r="Z48" s="864">
        <f t="shared" si="16"/>
        <v>13.009345128046792</v>
      </c>
      <c r="AA48" s="885">
        <f t="shared" si="17"/>
        <v>0</v>
      </c>
      <c r="AB48" s="889">
        <f t="shared" si="18"/>
        <v>13.009345128046792</v>
      </c>
      <c r="AC48" s="821">
        <f t="shared" si="5"/>
        <v>4.5869825708061001</v>
      </c>
      <c r="AD48" s="821">
        <f t="shared" si="6"/>
        <v>3.7039826170987795</v>
      </c>
      <c r="AE48" s="821">
        <f t="shared" si="19"/>
        <v>2.9166666666666665</v>
      </c>
      <c r="AF48" s="821">
        <f t="shared" si="7"/>
        <v>11.207631854571545</v>
      </c>
      <c r="AG48" s="865">
        <f t="shared" ref="AG48:AG57" si="22">IF($A48="","",IF(AB48&gt;0,AB48-AF48,0))</f>
        <v>1.8017132734752472</v>
      </c>
    </row>
    <row r="49" spans="1:33" ht="24.95" customHeight="1" x14ac:dyDescent="0.2">
      <c r="A49" s="869"/>
      <c r="B49" s="996"/>
      <c r="C49" s="997"/>
      <c r="D49" s="124"/>
      <c r="E49" s="124"/>
      <c r="F49" s="731" t="str">
        <f t="shared" si="8"/>
        <v/>
      </c>
      <c r="G49" s="149">
        <v>1</v>
      </c>
      <c r="H49" s="149">
        <v>1</v>
      </c>
      <c r="I49" s="351">
        <v>2</v>
      </c>
      <c r="J49" s="894">
        <v>1</v>
      </c>
      <c r="K49" s="822">
        <v>0</v>
      </c>
      <c r="L49" s="895"/>
      <c r="M49" s="854" t="str">
        <f t="shared" si="9"/>
        <v/>
      </c>
      <c r="N49" s="895"/>
      <c r="O49" s="821" t="str">
        <f t="shared" si="10"/>
        <v/>
      </c>
      <c r="P49" s="895"/>
      <c r="Q49" s="821" t="str">
        <f t="shared" si="11"/>
        <v/>
      </c>
      <c r="R49" s="897" t="str">
        <f>IF($A49="","",IF(X49&gt;0,X49/W49,0))</f>
        <v/>
      </c>
      <c r="S49" s="905" t="str">
        <f>IF($A49="","",IF(Y49&gt;0,Y49/W49,0))</f>
        <v/>
      </c>
      <c r="T49" s="906" t="str">
        <f>IF($A49="","",IF(U49&gt;0,W49/F49*M49/W49*H49,0))</f>
        <v/>
      </c>
      <c r="U49" s="303" t="str">
        <f t="shared" si="12"/>
        <v/>
      </c>
      <c r="V49" s="839" t="str">
        <f t="shared" si="13"/>
        <v/>
      </c>
      <c r="W49" s="860" t="str">
        <f t="shared" si="14"/>
        <v/>
      </c>
      <c r="X49" s="821" t="str">
        <f t="shared" si="21"/>
        <v/>
      </c>
      <c r="Y49" s="861" t="str">
        <f t="shared" si="15"/>
        <v/>
      </c>
      <c r="Z49" s="864" t="str">
        <f>IF($A49="","",T49*W49)</f>
        <v/>
      </c>
      <c r="AA49" s="885" t="str">
        <f t="shared" si="17"/>
        <v/>
      </c>
      <c r="AB49" s="889">
        <f t="shared" si="18"/>
        <v>0</v>
      </c>
      <c r="AC49" s="821" t="str">
        <f t="shared" si="5"/>
        <v/>
      </c>
      <c r="AD49" s="821" t="str">
        <f t="shared" si="6"/>
        <v/>
      </c>
      <c r="AE49" s="821" t="str">
        <f t="shared" si="19"/>
        <v/>
      </c>
      <c r="AF49" s="821" t="str">
        <f t="shared" si="7"/>
        <v/>
      </c>
      <c r="AG49" s="865" t="str">
        <f t="shared" si="22"/>
        <v/>
      </c>
    </row>
    <row r="50" spans="1:33" ht="24.95" customHeight="1" x14ac:dyDescent="0.2">
      <c r="A50" s="869"/>
      <c r="B50" s="996"/>
      <c r="C50" s="997"/>
      <c r="D50" s="124"/>
      <c r="E50" s="124"/>
      <c r="F50" s="731" t="str">
        <f t="shared" si="8"/>
        <v/>
      </c>
      <c r="G50" s="149">
        <v>1</v>
      </c>
      <c r="H50" s="149">
        <v>1</v>
      </c>
      <c r="I50" s="351">
        <v>2</v>
      </c>
      <c r="J50" s="894">
        <v>1</v>
      </c>
      <c r="K50" s="822">
        <v>0</v>
      </c>
      <c r="L50" s="895"/>
      <c r="M50" s="854" t="str">
        <f t="shared" si="9"/>
        <v/>
      </c>
      <c r="N50" s="895"/>
      <c r="O50" s="821" t="str">
        <f t="shared" si="10"/>
        <v/>
      </c>
      <c r="P50" s="895"/>
      <c r="Q50" s="821" t="str">
        <f t="shared" si="11"/>
        <v/>
      </c>
      <c r="R50" s="897" t="str">
        <f t="shared" ref="R50:R57" si="23">IF($A50="","",IF(X50&gt;0,X50/W50,0))</f>
        <v/>
      </c>
      <c r="S50" s="905" t="str">
        <f t="shared" ref="S50:S57" si="24">IF($A50="","",IF(Y50&gt;0,Y50/W50,0))</f>
        <v/>
      </c>
      <c r="T50" s="906" t="str">
        <f t="shared" ref="T50:T57" si="25">IF($A50="","",IF(U50&gt;0,W50/F50*M50/W50*H50,0))</f>
        <v/>
      </c>
      <c r="U50" s="303" t="str">
        <f t="shared" si="12"/>
        <v/>
      </c>
      <c r="V50" s="839" t="str">
        <f t="shared" si="13"/>
        <v/>
      </c>
      <c r="W50" s="860" t="str">
        <f t="shared" si="14"/>
        <v/>
      </c>
      <c r="X50" s="821" t="str">
        <f t="shared" si="21"/>
        <v/>
      </c>
      <c r="Y50" s="861" t="str">
        <f t="shared" si="15"/>
        <v/>
      </c>
      <c r="Z50" s="864" t="str">
        <f t="shared" si="16"/>
        <v/>
      </c>
      <c r="AA50" s="885" t="str">
        <f t="shared" si="17"/>
        <v/>
      </c>
      <c r="AB50" s="889">
        <f t="shared" si="18"/>
        <v>0</v>
      </c>
      <c r="AC50" s="821" t="str">
        <f t="shared" si="5"/>
        <v/>
      </c>
      <c r="AD50" s="821" t="str">
        <f t="shared" si="6"/>
        <v/>
      </c>
      <c r="AE50" s="821" t="str">
        <f t="shared" si="19"/>
        <v/>
      </c>
      <c r="AF50" s="821" t="str">
        <f t="shared" si="7"/>
        <v/>
      </c>
      <c r="AG50" s="865" t="str">
        <f t="shared" si="22"/>
        <v/>
      </c>
    </row>
    <row r="51" spans="1:33" ht="24.95" customHeight="1" x14ac:dyDescent="0.2">
      <c r="A51" s="869"/>
      <c r="B51" s="996"/>
      <c r="C51" s="997"/>
      <c r="D51" s="124"/>
      <c r="E51" s="124"/>
      <c r="F51" s="731" t="str">
        <f t="shared" si="8"/>
        <v/>
      </c>
      <c r="G51" s="149">
        <v>1</v>
      </c>
      <c r="H51" s="149">
        <v>1</v>
      </c>
      <c r="I51" s="351">
        <v>2</v>
      </c>
      <c r="J51" s="894">
        <v>1</v>
      </c>
      <c r="K51" s="822">
        <v>0</v>
      </c>
      <c r="L51" s="895"/>
      <c r="M51" s="854" t="str">
        <f t="shared" si="9"/>
        <v/>
      </c>
      <c r="N51" s="895"/>
      <c r="O51" s="821" t="str">
        <f t="shared" si="10"/>
        <v/>
      </c>
      <c r="P51" s="895"/>
      <c r="Q51" s="821" t="str">
        <f t="shared" si="11"/>
        <v/>
      </c>
      <c r="R51" s="897" t="str">
        <f t="shared" si="23"/>
        <v/>
      </c>
      <c r="S51" s="905" t="str">
        <f t="shared" si="24"/>
        <v/>
      </c>
      <c r="T51" s="906" t="str">
        <f t="shared" si="25"/>
        <v/>
      </c>
      <c r="U51" s="303" t="str">
        <f t="shared" si="12"/>
        <v/>
      </c>
      <c r="V51" s="839" t="str">
        <f t="shared" si="13"/>
        <v/>
      </c>
      <c r="W51" s="860" t="str">
        <f t="shared" si="14"/>
        <v/>
      </c>
      <c r="X51" s="821" t="str">
        <f t="shared" si="21"/>
        <v/>
      </c>
      <c r="Y51" s="861" t="str">
        <f t="shared" si="15"/>
        <v/>
      </c>
      <c r="Z51" s="864" t="str">
        <f t="shared" si="16"/>
        <v/>
      </c>
      <c r="AA51" s="885" t="str">
        <f t="shared" si="17"/>
        <v/>
      </c>
      <c r="AB51" s="889">
        <f t="shared" si="18"/>
        <v>0</v>
      </c>
      <c r="AC51" s="821" t="str">
        <f t="shared" si="5"/>
        <v/>
      </c>
      <c r="AD51" s="821" t="str">
        <f t="shared" si="6"/>
        <v/>
      </c>
      <c r="AE51" s="821" t="str">
        <f t="shared" si="19"/>
        <v/>
      </c>
      <c r="AF51" s="821" t="str">
        <f t="shared" si="7"/>
        <v/>
      </c>
      <c r="AG51" s="865" t="str">
        <f t="shared" si="22"/>
        <v/>
      </c>
    </row>
    <row r="52" spans="1:33" ht="24.95" customHeight="1" x14ac:dyDescent="0.2">
      <c r="A52" s="869"/>
      <c r="B52" s="996"/>
      <c r="C52" s="997"/>
      <c r="D52" s="124"/>
      <c r="E52" s="124"/>
      <c r="F52" s="731" t="str">
        <f t="shared" si="8"/>
        <v/>
      </c>
      <c r="G52" s="149">
        <v>1</v>
      </c>
      <c r="H52" s="149">
        <v>1</v>
      </c>
      <c r="I52" s="351">
        <v>2</v>
      </c>
      <c r="J52" s="894">
        <v>1</v>
      </c>
      <c r="K52" s="822">
        <v>0</v>
      </c>
      <c r="L52" s="895"/>
      <c r="M52" s="854" t="str">
        <f t="shared" si="9"/>
        <v/>
      </c>
      <c r="N52" s="895"/>
      <c r="O52" s="821" t="str">
        <f t="shared" si="10"/>
        <v/>
      </c>
      <c r="P52" s="895"/>
      <c r="Q52" s="821" t="str">
        <f t="shared" si="11"/>
        <v/>
      </c>
      <c r="R52" s="897" t="str">
        <f t="shared" si="23"/>
        <v/>
      </c>
      <c r="S52" s="905" t="str">
        <f t="shared" si="24"/>
        <v/>
      </c>
      <c r="T52" s="906" t="str">
        <f t="shared" si="25"/>
        <v/>
      </c>
      <c r="U52" s="303" t="str">
        <f t="shared" si="12"/>
        <v/>
      </c>
      <c r="V52" s="839" t="str">
        <f t="shared" si="13"/>
        <v/>
      </c>
      <c r="W52" s="860" t="str">
        <f t="shared" si="14"/>
        <v/>
      </c>
      <c r="X52" s="821" t="str">
        <f t="shared" si="21"/>
        <v/>
      </c>
      <c r="Y52" s="861" t="str">
        <f t="shared" si="15"/>
        <v/>
      </c>
      <c r="Z52" s="864" t="str">
        <f t="shared" si="16"/>
        <v/>
      </c>
      <c r="AA52" s="885" t="str">
        <f t="shared" si="17"/>
        <v/>
      </c>
      <c r="AB52" s="889">
        <f t="shared" si="18"/>
        <v>0</v>
      </c>
      <c r="AC52" s="821" t="str">
        <f t="shared" si="5"/>
        <v/>
      </c>
      <c r="AD52" s="821" t="str">
        <f t="shared" si="6"/>
        <v/>
      </c>
      <c r="AE52" s="821" t="str">
        <f t="shared" si="19"/>
        <v/>
      </c>
      <c r="AF52" s="821" t="str">
        <f t="shared" si="7"/>
        <v/>
      </c>
      <c r="AG52" s="865" t="str">
        <f t="shared" si="22"/>
        <v/>
      </c>
    </row>
    <row r="53" spans="1:33" ht="24.95" customHeight="1" x14ac:dyDescent="0.2">
      <c r="A53" s="869"/>
      <c r="B53" s="996"/>
      <c r="C53" s="997"/>
      <c r="D53" s="124"/>
      <c r="E53" s="124"/>
      <c r="F53" s="731" t="str">
        <f t="shared" si="8"/>
        <v/>
      </c>
      <c r="G53" s="149">
        <v>1</v>
      </c>
      <c r="H53" s="149">
        <v>1</v>
      </c>
      <c r="I53" s="351">
        <v>2</v>
      </c>
      <c r="J53" s="894">
        <v>1</v>
      </c>
      <c r="K53" s="822">
        <v>0</v>
      </c>
      <c r="L53" s="895"/>
      <c r="M53" s="854" t="str">
        <f t="shared" si="9"/>
        <v/>
      </c>
      <c r="N53" s="895"/>
      <c r="O53" s="821" t="str">
        <f t="shared" si="10"/>
        <v/>
      </c>
      <c r="P53" s="895"/>
      <c r="Q53" s="821" t="str">
        <f t="shared" si="11"/>
        <v/>
      </c>
      <c r="R53" s="897" t="str">
        <f t="shared" si="23"/>
        <v/>
      </c>
      <c r="S53" s="905" t="str">
        <f t="shared" si="24"/>
        <v/>
      </c>
      <c r="T53" s="906" t="str">
        <f t="shared" si="25"/>
        <v/>
      </c>
      <c r="U53" s="303" t="str">
        <f t="shared" si="12"/>
        <v/>
      </c>
      <c r="V53" s="839" t="str">
        <f t="shared" si="13"/>
        <v/>
      </c>
      <c r="W53" s="860" t="str">
        <f t="shared" si="14"/>
        <v/>
      </c>
      <c r="X53" s="821" t="str">
        <f t="shared" si="21"/>
        <v/>
      </c>
      <c r="Y53" s="861" t="str">
        <f t="shared" si="15"/>
        <v/>
      </c>
      <c r="Z53" s="864" t="str">
        <f t="shared" si="16"/>
        <v/>
      </c>
      <c r="AA53" s="885" t="str">
        <f t="shared" si="17"/>
        <v/>
      </c>
      <c r="AB53" s="889">
        <f t="shared" si="18"/>
        <v>0</v>
      </c>
      <c r="AC53" s="821" t="str">
        <f t="shared" si="5"/>
        <v/>
      </c>
      <c r="AD53" s="821" t="str">
        <f t="shared" si="6"/>
        <v/>
      </c>
      <c r="AE53" s="821" t="str">
        <f t="shared" si="19"/>
        <v/>
      </c>
      <c r="AF53" s="821" t="str">
        <f t="shared" si="7"/>
        <v/>
      </c>
      <c r="AG53" s="865" t="str">
        <f t="shared" si="22"/>
        <v/>
      </c>
    </row>
    <row r="54" spans="1:33" ht="24.95" customHeight="1" x14ac:dyDescent="0.2">
      <c r="A54" s="869"/>
      <c r="B54" s="996"/>
      <c r="C54" s="997"/>
      <c r="D54" s="124"/>
      <c r="E54" s="124"/>
      <c r="F54" s="731" t="str">
        <f t="shared" si="8"/>
        <v/>
      </c>
      <c r="G54" s="149">
        <v>1</v>
      </c>
      <c r="H54" s="149">
        <v>1</v>
      </c>
      <c r="I54" s="351">
        <v>2</v>
      </c>
      <c r="J54" s="894">
        <v>1</v>
      </c>
      <c r="K54" s="822">
        <v>0</v>
      </c>
      <c r="L54" s="895"/>
      <c r="M54" s="854" t="str">
        <f t="shared" si="9"/>
        <v/>
      </c>
      <c r="N54" s="895"/>
      <c r="O54" s="821" t="str">
        <f t="shared" si="10"/>
        <v/>
      </c>
      <c r="P54" s="895"/>
      <c r="Q54" s="821" t="str">
        <f t="shared" si="11"/>
        <v/>
      </c>
      <c r="R54" s="897" t="str">
        <f t="shared" si="23"/>
        <v/>
      </c>
      <c r="S54" s="905" t="str">
        <f t="shared" si="24"/>
        <v/>
      </c>
      <c r="T54" s="906" t="str">
        <f t="shared" si="25"/>
        <v/>
      </c>
      <c r="U54" s="303" t="str">
        <f t="shared" si="12"/>
        <v/>
      </c>
      <c r="V54" s="839" t="str">
        <f t="shared" si="13"/>
        <v/>
      </c>
      <c r="W54" s="860" t="str">
        <f t="shared" si="14"/>
        <v/>
      </c>
      <c r="X54" s="821" t="str">
        <f t="shared" si="21"/>
        <v/>
      </c>
      <c r="Y54" s="861" t="str">
        <f t="shared" si="15"/>
        <v/>
      </c>
      <c r="Z54" s="864" t="str">
        <f t="shared" si="16"/>
        <v/>
      </c>
      <c r="AA54" s="885" t="str">
        <f t="shared" si="17"/>
        <v/>
      </c>
      <c r="AB54" s="889">
        <f t="shared" si="18"/>
        <v>0</v>
      </c>
      <c r="AC54" s="821" t="str">
        <f t="shared" si="5"/>
        <v/>
      </c>
      <c r="AD54" s="821" t="str">
        <f t="shared" si="6"/>
        <v/>
      </c>
      <c r="AE54" s="821" t="str">
        <f t="shared" si="19"/>
        <v/>
      </c>
      <c r="AF54" s="821" t="str">
        <f t="shared" si="7"/>
        <v/>
      </c>
      <c r="AG54" s="865" t="str">
        <f t="shared" si="22"/>
        <v/>
      </c>
    </row>
    <row r="55" spans="1:33" ht="24.95" customHeight="1" x14ac:dyDescent="0.2">
      <c r="A55" s="869"/>
      <c r="B55" s="996"/>
      <c r="C55" s="997"/>
      <c r="D55" s="124"/>
      <c r="E55" s="124"/>
      <c r="F55" s="731" t="str">
        <f t="shared" si="8"/>
        <v/>
      </c>
      <c r="G55" s="149">
        <v>1</v>
      </c>
      <c r="H55" s="149">
        <v>1</v>
      </c>
      <c r="I55" s="351">
        <v>2</v>
      </c>
      <c r="J55" s="894">
        <v>1</v>
      </c>
      <c r="K55" s="822">
        <v>0</v>
      </c>
      <c r="L55" s="895"/>
      <c r="M55" s="854" t="str">
        <f t="shared" si="9"/>
        <v/>
      </c>
      <c r="N55" s="895"/>
      <c r="O55" s="821" t="str">
        <f t="shared" si="10"/>
        <v/>
      </c>
      <c r="P55" s="895"/>
      <c r="Q55" s="821" t="str">
        <f t="shared" si="11"/>
        <v/>
      </c>
      <c r="R55" s="897" t="str">
        <f t="shared" si="23"/>
        <v/>
      </c>
      <c r="S55" s="905" t="str">
        <f t="shared" si="24"/>
        <v/>
      </c>
      <c r="T55" s="906" t="str">
        <f t="shared" si="25"/>
        <v/>
      </c>
      <c r="U55" s="303" t="str">
        <f t="shared" si="12"/>
        <v/>
      </c>
      <c r="V55" s="839" t="str">
        <f t="shared" si="13"/>
        <v/>
      </c>
      <c r="W55" s="860" t="str">
        <f t="shared" si="14"/>
        <v/>
      </c>
      <c r="X55" s="821" t="str">
        <f t="shared" si="21"/>
        <v/>
      </c>
      <c r="Y55" s="861" t="str">
        <f t="shared" si="15"/>
        <v/>
      </c>
      <c r="Z55" s="864" t="str">
        <f t="shared" si="16"/>
        <v/>
      </c>
      <c r="AA55" s="885" t="str">
        <f t="shared" si="17"/>
        <v/>
      </c>
      <c r="AB55" s="889">
        <f t="shared" si="18"/>
        <v>0</v>
      </c>
      <c r="AC55" s="821" t="str">
        <f t="shared" si="5"/>
        <v/>
      </c>
      <c r="AD55" s="821" t="str">
        <f t="shared" si="6"/>
        <v/>
      </c>
      <c r="AE55" s="821" t="str">
        <f t="shared" si="19"/>
        <v/>
      </c>
      <c r="AF55" s="821" t="str">
        <f t="shared" si="7"/>
        <v/>
      </c>
      <c r="AG55" s="865" t="str">
        <f t="shared" si="22"/>
        <v/>
      </c>
    </row>
    <row r="56" spans="1:33" ht="24.95" customHeight="1" x14ac:dyDescent="0.2">
      <c r="A56" s="869"/>
      <c r="B56" s="996"/>
      <c r="C56" s="997"/>
      <c r="D56" s="124"/>
      <c r="E56" s="124"/>
      <c r="F56" s="731" t="str">
        <f t="shared" si="8"/>
        <v/>
      </c>
      <c r="G56" s="149">
        <v>1</v>
      </c>
      <c r="H56" s="149">
        <v>1</v>
      </c>
      <c r="I56" s="351">
        <v>2</v>
      </c>
      <c r="J56" s="894">
        <v>1</v>
      </c>
      <c r="K56" s="822">
        <v>0</v>
      </c>
      <c r="L56" s="895"/>
      <c r="M56" s="854" t="str">
        <f t="shared" si="9"/>
        <v/>
      </c>
      <c r="N56" s="895"/>
      <c r="O56" s="821" t="str">
        <f t="shared" si="10"/>
        <v/>
      </c>
      <c r="P56" s="895"/>
      <c r="Q56" s="821" t="str">
        <f t="shared" si="11"/>
        <v/>
      </c>
      <c r="R56" s="897" t="str">
        <f t="shared" si="23"/>
        <v/>
      </c>
      <c r="S56" s="905" t="str">
        <f t="shared" si="24"/>
        <v/>
      </c>
      <c r="T56" s="906" t="str">
        <f t="shared" si="25"/>
        <v/>
      </c>
      <c r="U56" s="303" t="str">
        <f t="shared" si="12"/>
        <v/>
      </c>
      <c r="V56" s="839" t="str">
        <f t="shared" si="13"/>
        <v/>
      </c>
      <c r="W56" s="860" t="str">
        <f t="shared" si="14"/>
        <v/>
      </c>
      <c r="X56" s="821" t="str">
        <f t="shared" si="21"/>
        <v/>
      </c>
      <c r="Y56" s="861" t="str">
        <f t="shared" si="15"/>
        <v/>
      </c>
      <c r="Z56" s="864" t="str">
        <f t="shared" si="16"/>
        <v/>
      </c>
      <c r="AA56" s="885" t="str">
        <f t="shared" si="17"/>
        <v/>
      </c>
      <c r="AB56" s="889">
        <f t="shared" si="18"/>
        <v>0</v>
      </c>
      <c r="AC56" s="821" t="str">
        <f t="shared" si="5"/>
        <v/>
      </c>
      <c r="AD56" s="821" t="str">
        <f t="shared" si="6"/>
        <v/>
      </c>
      <c r="AE56" s="821" t="str">
        <f t="shared" si="19"/>
        <v/>
      </c>
      <c r="AF56" s="821" t="str">
        <f t="shared" si="7"/>
        <v/>
      </c>
      <c r="AG56" s="865" t="str">
        <f t="shared" si="22"/>
        <v/>
      </c>
    </row>
    <row r="57" spans="1:33" ht="24.95" customHeight="1" x14ac:dyDescent="0.2">
      <c r="A57" s="869"/>
      <c r="B57" s="996"/>
      <c r="C57" s="997"/>
      <c r="D57" s="124"/>
      <c r="E57" s="124"/>
      <c r="F57" s="731" t="str">
        <f t="shared" si="8"/>
        <v/>
      </c>
      <c r="G57" s="149">
        <v>1</v>
      </c>
      <c r="H57" s="149">
        <v>1</v>
      </c>
      <c r="I57" s="351">
        <v>2</v>
      </c>
      <c r="J57" s="894">
        <v>1</v>
      </c>
      <c r="K57" s="822">
        <v>0</v>
      </c>
      <c r="L57" s="895"/>
      <c r="M57" s="854" t="str">
        <f t="shared" si="9"/>
        <v/>
      </c>
      <c r="N57" s="895"/>
      <c r="O57" s="821" t="str">
        <f t="shared" si="10"/>
        <v/>
      </c>
      <c r="P57" s="895"/>
      <c r="Q57" s="821" t="str">
        <f t="shared" si="11"/>
        <v/>
      </c>
      <c r="R57" s="897" t="str">
        <f t="shared" si="23"/>
        <v/>
      </c>
      <c r="S57" s="905" t="str">
        <f t="shared" si="24"/>
        <v/>
      </c>
      <c r="T57" s="906" t="str">
        <f t="shared" si="25"/>
        <v/>
      </c>
      <c r="U57" s="303" t="str">
        <f t="shared" si="12"/>
        <v/>
      </c>
      <c r="V57" s="839" t="str">
        <f t="shared" si="13"/>
        <v/>
      </c>
      <c r="W57" s="860" t="str">
        <f t="shared" si="14"/>
        <v/>
      </c>
      <c r="X57" s="821" t="str">
        <f t="shared" si="21"/>
        <v/>
      </c>
      <c r="Y57" s="861" t="str">
        <f t="shared" si="15"/>
        <v/>
      </c>
      <c r="Z57" s="864" t="str">
        <f t="shared" si="16"/>
        <v/>
      </c>
      <c r="AA57" s="885" t="str">
        <f t="shared" si="17"/>
        <v/>
      </c>
      <c r="AB57" s="889">
        <f t="shared" si="18"/>
        <v>0</v>
      </c>
      <c r="AC57" s="821" t="str">
        <f t="shared" si="5"/>
        <v/>
      </c>
      <c r="AD57" s="821" t="str">
        <f t="shared" si="6"/>
        <v/>
      </c>
      <c r="AE57" s="821" t="str">
        <f t="shared" si="19"/>
        <v/>
      </c>
      <c r="AF57" s="821" t="str">
        <f t="shared" si="7"/>
        <v/>
      </c>
      <c r="AG57" s="865" t="str">
        <f t="shared" si="22"/>
        <v/>
      </c>
    </row>
    <row r="58" spans="1:33" ht="21" customHeight="1" x14ac:dyDescent="0.2">
      <c r="F58" s="825" t="s">
        <v>82</v>
      </c>
      <c r="G58" s="824">
        <f>SUM(G44:G57)</f>
        <v>14</v>
      </c>
      <c r="J58" s="881" t="s">
        <v>505</v>
      </c>
      <c r="K58" s="880">
        <f>IF(SUM(K44:K57)&gt;0,AVERAGEIF(K44:K57,"&gt;0"),0)</f>
        <v>0</v>
      </c>
      <c r="L58" s="842"/>
      <c r="M58" s="827">
        <f t="shared" ref="M58" si="26">AVERAGEIF(M44:M57,"&gt;0")</f>
        <v>113.83176987040943</v>
      </c>
      <c r="O58" s="827">
        <f t="shared" ref="O58" si="27">AVERAGEIF(O44:O57,"&gt;0")</f>
        <v>39.316993464052288</v>
      </c>
      <c r="Q58" s="827">
        <f t="shared" ref="Q58:T58" si="28">AVERAGEIF(Q44:Q57,"&gt;0")</f>
        <v>31.748422432275255</v>
      </c>
      <c r="R58" s="898">
        <f>AVERAGEIF(R44:R57,"&gt;0")</f>
        <v>8.7018064078712989</v>
      </c>
      <c r="S58" s="907">
        <f t="shared" si="28"/>
        <v>5.2134950600647514</v>
      </c>
      <c r="T58" s="907">
        <f t="shared" si="28"/>
        <v>6.4671887413567095</v>
      </c>
      <c r="U58" s="317">
        <f t="shared" ref="U58:Z58" si="29">SUM(U44:U57)</f>
        <v>0.48222222222222222</v>
      </c>
      <c r="V58" s="317">
        <f t="shared" si="29"/>
        <v>0.29900000000000004</v>
      </c>
      <c r="W58" s="837">
        <f t="shared" si="29"/>
        <v>7</v>
      </c>
      <c r="X58" s="826">
        <f t="shared" si="29"/>
        <v>54.892209026397438</v>
      </c>
      <c r="Y58" s="862">
        <f t="shared" si="29"/>
        <v>34.035699191252419</v>
      </c>
      <c r="Z58" s="886">
        <f t="shared" si="29"/>
        <v>41.686410517567182</v>
      </c>
      <c r="AA58" s="886">
        <f t="shared" ref="AA58:AB58" si="30">SUM(AA44:AA57)</f>
        <v>0</v>
      </c>
      <c r="AB58" s="886">
        <f t="shared" si="30"/>
        <v>41.686410517567182</v>
      </c>
      <c r="AC58" s="887">
        <f>SUM(AC44:AC57)</f>
        <v>15.357654502541758</v>
      </c>
      <c r="AD58" s="887">
        <f>SUM(AD44:AD57)</f>
        <v>12.40128656229596</v>
      </c>
      <c r="AE58" s="887">
        <f>SUM(AE44:AE57)</f>
        <v>9.7652777777777775</v>
      </c>
      <c r="AF58" s="887">
        <f>SUM(AF44:AF57)</f>
        <v>37.524218842615497</v>
      </c>
      <c r="AG58" s="888">
        <f>SUM(AG44:AG57)</f>
        <v>4.1621916749516874</v>
      </c>
    </row>
    <row r="59" spans="1:33" ht="27" customHeight="1" x14ac:dyDescent="0.4">
      <c r="B59" s="583" t="s">
        <v>625</v>
      </c>
      <c r="C59"/>
      <c r="D59"/>
      <c r="E59"/>
      <c r="F59"/>
      <c r="G59" s="998" t="str">
        <f>T3</f>
        <v xml:space="preserve">Kytketty koneet: Hitachi 16 t Paikannusjärjestelmä </v>
      </c>
      <c r="H59" s="998"/>
      <c r="I59" s="998"/>
      <c r="J59" s="998"/>
      <c r="K59" s="998"/>
      <c r="L59" s="998"/>
      <c r="M59" s="998"/>
      <c r="N59" s="998"/>
      <c r="O59" s="998"/>
      <c r="P59" s="998"/>
      <c r="Q59" s="998"/>
      <c r="R59" s="1004" t="s">
        <v>653</v>
      </c>
      <c r="S59" s="1005"/>
      <c r="T59" s="1005"/>
      <c r="U59" s="1035" t="s">
        <v>652</v>
      </c>
      <c r="V59" s="1036"/>
      <c r="W59" s="1036"/>
      <c r="X59" s="1036"/>
      <c r="Y59" s="1037"/>
      <c r="Z59" s="1004" t="s">
        <v>661</v>
      </c>
      <c r="AA59" s="1005"/>
      <c r="AB59" s="1005"/>
      <c r="AC59" s="1005"/>
      <c r="AD59" s="1005"/>
      <c r="AE59" s="1005"/>
      <c r="AF59" s="1005"/>
      <c r="AG59" s="1005"/>
    </row>
    <row r="60" spans="1:33" ht="25.5" x14ac:dyDescent="0.25">
      <c r="B60" s="279" t="s">
        <v>646</v>
      </c>
      <c r="C60"/>
      <c r="D60"/>
      <c r="E60"/>
      <c r="F60" s="833" t="s">
        <v>637</v>
      </c>
      <c r="G60" s="828" t="s">
        <v>178</v>
      </c>
      <c r="H60" s="857" t="s">
        <v>34</v>
      </c>
      <c r="I60" s="844" t="s">
        <v>638</v>
      </c>
      <c r="J60" s="840" t="s">
        <v>189</v>
      </c>
      <c r="K60" s="841" t="s">
        <v>635</v>
      </c>
      <c r="L60" s="995" t="s">
        <v>82</v>
      </c>
      <c r="M60" s="995"/>
      <c r="N60" s="360" t="s">
        <v>158</v>
      </c>
    </row>
    <row r="61" spans="1:33" x14ac:dyDescent="0.2">
      <c r="A61" s="856" t="str">
        <f>IF(A44="","",A44)</f>
        <v>x</v>
      </c>
      <c r="B61" s="990" t="str">
        <f>IF(B44&lt;&gt;"",B44,"")</f>
        <v>Ojan kaivaminen metrihinnalla</v>
      </c>
      <c r="C61" s="990"/>
      <c r="D61" s="990"/>
      <c r="E61" s="990"/>
      <c r="F61" s="830">
        <v>0</v>
      </c>
      <c r="G61" s="843">
        <f t="shared" ref="G61:G74" si="31">IF(F61&gt;0,F61,W44)</f>
        <v>1</v>
      </c>
      <c r="H61" s="280" t="s">
        <v>699</v>
      </c>
      <c r="I61" s="838">
        <v>0</v>
      </c>
      <c r="J61" s="834">
        <f>IF(I61&gt;0,I61,T44)</f>
        <v>1.5700933775228887</v>
      </c>
      <c r="K61" s="318">
        <v>1</v>
      </c>
      <c r="L61" s="1000">
        <f>IF(G61&lt;&gt;"",G61*J61*K61,0)</f>
        <v>1.5700933775228887</v>
      </c>
      <c r="M61" s="1001"/>
      <c r="N61" s="846">
        <f t="shared" ref="N61:N72" si="32">IF(J61&lt;&gt;"",L61/$L$78,0)</f>
        <v>3.7664393696387737E-2</v>
      </c>
    </row>
    <row r="62" spans="1:33" ht="12.75" customHeight="1" x14ac:dyDescent="0.2">
      <c r="A62" s="856" t="str">
        <f>IF(A45="","",A45)</f>
        <v>x</v>
      </c>
      <c r="B62" s="990" t="str">
        <f t="shared" ref="B62:B74" si="33">IF(B45&lt;&gt;"",B45,"")</f>
        <v>Tienvarsiojat saneeraus</v>
      </c>
      <c r="C62" s="990"/>
      <c r="D62" s="990"/>
      <c r="E62" s="990"/>
      <c r="F62" s="830"/>
      <c r="G62" s="843">
        <f t="shared" si="31"/>
        <v>2</v>
      </c>
      <c r="H62" s="280" t="s">
        <v>699</v>
      </c>
      <c r="I62" s="838">
        <v>0</v>
      </c>
      <c r="J62" s="834">
        <f>IF(I62&gt;0,I62,T45)</f>
        <v>2.845794246760236</v>
      </c>
      <c r="K62" s="318">
        <v>1</v>
      </c>
      <c r="L62" s="1000">
        <f t="shared" ref="L62:L77" si="34">IF(G62&lt;&gt;"",G62*J62*K62,0)</f>
        <v>5.6915884935204719</v>
      </c>
      <c r="M62" s="1001"/>
      <c r="N62" s="846">
        <f t="shared" si="32"/>
        <v>0.13653342714940556</v>
      </c>
    </row>
    <row r="63" spans="1:33" x14ac:dyDescent="0.2">
      <c r="A63" s="856" t="str">
        <f t="shared" ref="A63:A73" si="35">IF(A46="","",A46)</f>
        <v>x</v>
      </c>
      <c r="B63" s="990" t="str">
        <f t="shared" si="33"/>
        <v>Metsäojat</v>
      </c>
      <c r="C63" s="990"/>
      <c r="D63" s="990"/>
      <c r="E63" s="990"/>
      <c r="F63" s="830"/>
      <c r="G63" s="843">
        <f t="shared" si="31"/>
        <v>1</v>
      </c>
      <c r="H63" s="280" t="s">
        <v>699</v>
      </c>
      <c r="I63" s="838">
        <v>0</v>
      </c>
      <c r="J63" s="834">
        <f>IF(I63&gt;0,I63,T46)</f>
        <v>3.9028035384140374</v>
      </c>
      <c r="K63" s="318">
        <v>1</v>
      </c>
      <c r="L63" s="1000">
        <f t="shared" si="34"/>
        <v>3.9028035384140374</v>
      </c>
      <c r="M63" s="1001"/>
      <c r="N63" s="846">
        <f t="shared" si="32"/>
        <v>9.3622921473878074E-2</v>
      </c>
    </row>
    <row r="64" spans="1:33" x14ac:dyDescent="0.2">
      <c r="A64" s="856" t="str">
        <f t="shared" si="35"/>
        <v>x</v>
      </c>
      <c r="B64" s="990" t="str">
        <f t="shared" si="33"/>
        <v>Metsäautotien rakentaminen kaivinkonetyö haastava</v>
      </c>
      <c r="C64" s="990"/>
      <c r="D64" s="990"/>
      <c r="E64" s="990"/>
      <c r="F64" s="830"/>
      <c r="G64" s="843">
        <f t="shared" si="31"/>
        <v>1</v>
      </c>
      <c r="H64" s="280" t="s">
        <v>699</v>
      </c>
      <c r="I64" s="838">
        <v>0</v>
      </c>
      <c r="J64" s="834">
        <f>IF(I64&gt;0,I64,T47)</f>
        <v>17.512579980062991</v>
      </c>
      <c r="K64" s="318">
        <v>1</v>
      </c>
      <c r="L64" s="1000">
        <f t="shared" si="34"/>
        <v>17.512579980062991</v>
      </c>
      <c r="M64" s="1001"/>
      <c r="N64" s="846">
        <f t="shared" si="32"/>
        <v>0.42010285276740167</v>
      </c>
    </row>
    <row r="65" spans="1:14" x14ac:dyDescent="0.2">
      <c r="A65" s="856" t="str">
        <f t="shared" si="35"/>
        <v>x</v>
      </c>
      <c r="B65" s="990" t="str">
        <f t="shared" si="33"/>
        <v>Metsäautotien rakentaminen kaivinkonetyö perus</v>
      </c>
      <c r="C65" s="990"/>
      <c r="D65" s="990"/>
      <c r="E65" s="990"/>
      <c r="F65" s="830"/>
      <c r="G65" s="843">
        <f t="shared" si="31"/>
        <v>2</v>
      </c>
      <c r="H65" s="280" t="s">
        <v>699</v>
      </c>
      <c r="I65" s="838">
        <v>0</v>
      </c>
      <c r="J65" s="834">
        <f>IF(I65&gt;0,I65,T48)</f>
        <v>6.5046725640233962</v>
      </c>
      <c r="K65" s="318">
        <v>1</v>
      </c>
      <c r="L65" s="1000">
        <f t="shared" si="34"/>
        <v>13.009345128046792</v>
      </c>
      <c r="M65" s="1001"/>
      <c r="N65" s="846">
        <f t="shared" si="32"/>
        <v>0.31207640491292693</v>
      </c>
    </row>
    <row r="66" spans="1:14" x14ac:dyDescent="0.2">
      <c r="A66" s="856" t="str">
        <f t="shared" si="35"/>
        <v/>
      </c>
      <c r="B66" s="990" t="str">
        <f t="shared" si="33"/>
        <v/>
      </c>
      <c r="C66" s="990"/>
      <c r="D66" s="990"/>
      <c r="E66" s="990"/>
      <c r="F66" s="830"/>
      <c r="G66" s="843" t="str">
        <f t="shared" si="31"/>
        <v/>
      </c>
      <c r="H66" s="280" t="s">
        <v>699</v>
      </c>
      <c r="I66" s="838">
        <v>0</v>
      </c>
      <c r="J66" s="834" t="str">
        <f t="shared" ref="J66:J74" si="36">IF(I66&gt;0,I66,T49)</f>
        <v/>
      </c>
      <c r="K66" s="318">
        <v>1</v>
      </c>
      <c r="L66" s="1000">
        <f t="shared" si="34"/>
        <v>0</v>
      </c>
      <c r="M66" s="1001"/>
      <c r="N66" s="846">
        <f t="shared" si="32"/>
        <v>0</v>
      </c>
    </row>
    <row r="67" spans="1:14" x14ac:dyDescent="0.2">
      <c r="A67" s="856" t="str">
        <f t="shared" si="35"/>
        <v/>
      </c>
      <c r="B67" s="990" t="str">
        <f t="shared" si="33"/>
        <v/>
      </c>
      <c r="C67" s="990"/>
      <c r="D67" s="990"/>
      <c r="E67" s="990"/>
      <c r="F67" s="830"/>
      <c r="G67" s="843" t="str">
        <f t="shared" si="31"/>
        <v/>
      </c>
      <c r="H67" s="280" t="s">
        <v>699</v>
      </c>
      <c r="I67" s="838">
        <v>0</v>
      </c>
      <c r="J67" s="834" t="str">
        <f t="shared" si="36"/>
        <v/>
      </c>
      <c r="K67" s="318">
        <v>1</v>
      </c>
      <c r="L67" s="1000">
        <f t="shared" si="34"/>
        <v>0</v>
      </c>
      <c r="M67" s="1001"/>
      <c r="N67" s="846">
        <f t="shared" si="32"/>
        <v>0</v>
      </c>
    </row>
    <row r="68" spans="1:14" x14ac:dyDescent="0.2">
      <c r="A68" s="856" t="str">
        <f t="shared" si="35"/>
        <v/>
      </c>
      <c r="B68" s="990" t="str">
        <f t="shared" si="33"/>
        <v/>
      </c>
      <c r="C68" s="990"/>
      <c r="D68" s="990"/>
      <c r="E68" s="990"/>
      <c r="F68" s="830"/>
      <c r="G68" s="843" t="str">
        <f t="shared" si="31"/>
        <v/>
      </c>
      <c r="H68" s="280" t="s">
        <v>699</v>
      </c>
      <c r="I68" s="838">
        <v>0</v>
      </c>
      <c r="J68" s="834" t="str">
        <f t="shared" si="36"/>
        <v/>
      </c>
      <c r="K68" s="318">
        <v>1</v>
      </c>
      <c r="L68" s="1000">
        <f t="shared" si="34"/>
        <v>0</v>
      </c>
      <c r="M68" s="1001"/>
      <c r="N68" s="846">
        <f t="shared" si="32"/>
        <v>0</v>
      </c>
    </row>
    <row r="69" spans="1:14" x14ac:dyDescent="0.2">
      <c r="A69" s="856" t="str">
        <f t="shared" si="35"/>
        <v/>
      </c>
      <c r="B69" s="990" t="str">
        <f t="shared" si="33"/>
        <v/>
      </c>
      <c r="C69" s="990"/>
      <c r="D69" s="990"/>
      <c r="E69" s="990"/>
      <c r="F69" s="830"/>
      <c r="G69" s="843" t="str">
        <f t="shared" si="31"/>
        <v/>
      </c>
      <c r="H69" s="280" t="s">
        <v>699</v>
      </c>
      <c r="I69" s="838">
        <v>0</v>
      </c>
      <c r="J69" s="834" t="str">
        <f t="shared" si="36"/>
        <v/>
      </c>
      <c r="K69" s="318">
        <v>1</v>
      </c>
      <c r="L69" s="1000">
        <f t="shared" si="34"/>
        <v>0</v>
      </c>
      <c r="M69" s="1001"/>
      <c r="N69" s="846">
        <f t="shared" si="32"/>
        <v>0</v>
      </c>
    </row>
    <row r="70" spans="1:14" x14ac:dyDescent="0.2">
      <c r="A70" s="856" t="str">
        <f t="shared" si="35"/>
        <v/>
      </c>
      <c r="B70" s="990" t="str">
        <f t="shared" si="33"/>
        <v/>
      </c>
      <c r="C70" s="990"/>
      <c r="D70" s="990"/>
      <c r="E70" s="990"/>
      <c r="F70" s="830"/>
      <c r="G70" s="843" t="str">
        <f t="shared" si="31"/>
        <v/>
      </c>
      <c r="H70" s="280" t="s">
        <v>699</v>
      </c>
      <c r="I70" s="838">
        <v>0</v>
      </c>
      <c r="J70" s="834" t="str">
        <f t="shared" si="36"/>
        <v/>
      </c>
      <c r="K70" s="318">
        <v>1</v>
      </c>
      <c r="L70" s="1000">
        <f t="shared" si="34"/>
        <v>0</v>
      </c>
      <c r="M70" s="1001"/>
      <c r="N70" s="846">
        <f t="shared" si="32"/>
        <v>0</v>
      </c>
    </row>
    <row r="71" spans="1:14" x14ac:dyDescent="0.2">
      <c r="A71" s="856" t="str">
        <f t="shared" si="35"/>
        <v/>
      </c>
      <c r="B71" s="990" t="str">
        <f t="shared" si="33"/>
        <v/>
      </c>
      <c r="C71" s="990"/>
      <c r="D71" s="990"/>
      <c r="E71" s="990"/>
      <c r="F71" s="830"/>
      <c r="G71" s="843" t="str">
        <f t="shared" si="31"/>
        <v/>
      </c>
      <c r="H71" s="280" t="s">
        <v>699</v>
      </c>
      <c r="I71" s="838">
        <v>0</v>
      </c>
      <c r="J71" s="834" t="str">
        <f t="shared" si="36"/>
        <v/>
      </c>
      <c r="K71" s="318">
        <v>1</v>
      </c>
      <c r="L71" s="1000">
        <f t="shared" si="34"/>
        <v>0</v>
      </c>
      <c r="M71" s="1001"/>
      <c r="N71" s="846">
        <f t="shared" si="32"/>
        <v>0</v>
      </c>
    </row>
    <row r="72" spans="1:14" x14ac:dyDescent="0.2">
      <c r="A72" s="856" t="str">
        <f t="shared" si="35"/>
        <v/>
      </c>
      <c r="B72" s="990" t="str">
        <f t="shared" si="33"/>
        <v/>
      </c>
      <c r="C72" s="990"/>
      <c r="D72" s="990"/>
      <c r="E72" s="990"/>
      <c r="F72" s="830"/>
      <c r="G72" s="843" t="str">
        <f t="shared" si="31"/>
        <v/>
      </c>
      <c r="H72" s="280" t="s">
        <v>699</v>
      </c>
      <c r="I72" s="838">
        <v>0</v>
      </c>
      <c r="J72" s="834" t="str">
        <f t="shared" si="36"/>
        <v/>
      </c>
      <c r="K72" s="318">
        <v>1</v>
      </c>
      <c r="L72" s="1000">
        <f t="shared" si="34"/>
        <v>0</v>
      </c>
      <c r="M72" s="1001"/>
      <c r="N72" s="846">
        <f t="shared" si="32"/>
        <v>0</v>
      </c>
    </row>
    <row r="73" spans="1:14" x14ac:dyDescent="0.2">
      <c r="A73" s="856" t="str">
        <f t="shared" si="35"/>
        <v/>
      </c>
      <c r="B73" s="990" t="str">
        <f t="shared" si="33"/>
        <v/>
      </c>
      <c r="C73" s="990"/>
      <c r="D73" s="990"/>
      <c r="E73" s="990"/>
      <c r="F73" s="830"/>
      <c r="G73" s="843" t="str">
        <f t="shared" si="31"/>
        <v/>
      </c>
      <c r="H73" s="280" t="s">
        <v>699</v>
      </c>
      <c r="I73" s="838">
        <v>0</v>
      </c>
      <c r="J73" s="834" t="str">
        <f t="shared" si="36"/>
        <v/>
      </c>
      <c r="K73" s="318">
        <v>1</v>
      </c>
      <c r="L73" s="1000">
        <f t="shared" si="34"/>
        <v>0</v>
      </c>
      <c r="M73" s="1001"/>
      <c r="N73" s="846">
        <f>IF(J73&lt;&gt;"",L73/$L$78,0)</f>
        <v>0</v>
      </c>
    </row>
    <row r="74" spans="1:14" x14ac:dyDescent="0.2">
      <c r="A74" s="856" t="str">
        <f>IF(A57="","",A57)</f>
        <v/>
      </c>
      <c r="B74" s="990" t="str">
        <f t="shared" si="33"/>
        <v/>
      </c>
      <c r="C74" s="990"/>
      <c r="D74" s="990"/>
      <c r="E74" s="990"/>
      <c r="F74" s="830"/>
      <c r="G74" s="843" t="str">
        <f t="shared" si="31"/>
        <v/>
      </c>
      <c r="H74" s="280" t="s">
        <v>699</v>
      </c>
      <c r="I74" s="838">
        <v>0</v>
      </c>
      <c r="J74" s="834" t="str">
        <f t="shared" si="36"/>
        <v/>
      </c>
      <c r="K74" s="318">
        <v>1</v>
      </c>
      <c r="L74" s="1000">
        <f t="shared" si="34"/>
        <v>0</v>
      </c>
      <c r="M74" s="1001"/>
      <c r="N74" s="846">
        <f>IF(J74&lt;&gt;"",L74/$L$78,0)</f>
        <v>0</v>
      </c>
    </row>
    <row r="75" spans="1:14" x14ac:dyDescent="0.2">
      <c r="A75" s="878"/>
      <c r="B75" s="1028" t="s">
        <v>658</v>
      </c>
      <c r="C75" s="1029"/>
      <c r="D75" s="1029"/>
      <c r="E75" s="1030"/>
      <c r="F75" s="879"/>
      <c r="G75" s="843"/>
      <c r="H75" s="280" t="s">
        <v>506</v>
      </c>
      <c r="I75" s="838">
        <v>0</v>
      </c>
      <c r="J75" s="834">
        <f>AA58</f>
        <v>0</v>
      </c>
      <c r="K75" s="318">
        <v>1</v>
      </c>
      <c r="L75" s="1000">
        <f>IF(J75&lt;&gt;"",J75*K75,0)</f>
        <v>0</v>
      </c>
      <c r="M75" s="1001"/>
      <c r="N75" s="846">
        <f>IF(J75&lt;&gt;"",L75/$L$78,0)</f>
        <v>0</v>
      </c>
    </row>
    <row r="76" spans="1:14" ht="15" x14ac:dyDescent="0.2">
      <c r="B76" s="963" t="s">
        <v>654</v>
      </c>
      <c r="C76" s="963"/>
      <c r="D76" s="963"/>
      <c r="E76" s="963"/>
      <c r="F76" s="964"/>
      <c r="G76" s="830">
        <v>0</v>
      </c>
      <c r="H76" s="280" t="s">
        <v>73</v>
      </c>
      <c r="I76" s="838">
        <v>0</v>
      </c>
      <c r="J76" s="834">
        <f>IF(I76&gt;0,I76,T58)</f>
        <v>6.4671887413567095</v>
      </c>
      <c r="K76" s="318">
        <v>1</v>
      </c>
      <c r="L76" s="1000">
        <f t="shared" si="34"/>
        <v>0</v>
      </c>
      <c r="M76" s="1001"/>
      <c r="N76" s="846">
        <f>IF(J76&lt;&gt;"",L76/$L$78,0)</f>
        <v>0</v>
      </c>
    </row>
    <row r="77" spans="1:14" ht="15" x14ac:dyDescent="0.2">
      <c r="B77" s="963" t="s">
        <v>700</v>
      </c>
      <c r="C77" s="963"/>
      <c r="D77" s="963"/>
      <c r="E77" s="963"/>
      <c r="F77" s="964"/>
      <c r="G77" s="830">
        <v>0</v>
      </c>
      <c r="H77" s="280" t="s">
        <v>228</v>
      </c>
      <c r="I77" s="838">
        <v>0</v>
      </c>
      <c r="J77" s="834">
        <f>IF(I77&gt;0,I77,T36)</f>
        <v>113.83176987040943</v>
      </c>
      <c r="K77" s="318">
        <v>1</v>
      </c>
      <c r="L77" s="1000">
        <f t="shared" si="34"/>
        <v>0</v>
      </c>
      <c r="M77" s="1001"/>
      <c r="N77" s="846">
        <f>IF(J77&lt;&gt;"",L77/$L$78,0)</f>
        <v>0</v>
      </c>
    </row>
    <row r="78" spans="1:14" ht="15.75" x14ac:dyDescent="0.25">
      <c r="B78" s="504" t="s">
        <v>201</v>
      </c>
      <c r="C78" s="503"/>
      <c r="D78" s="503"/>
      <c r="E78" s="503"/>
      <c r="F78" s="507"/>
      <c r="G78" s="505"/>
      <c r="H78" s="313"/>
      <c r="L78" s="1010">
        <f>SUM(L61:M77)</f>
        <v>41.686410517567182</v>
      </c>
      <c r="M78" s="1011"/>
      <c r="N78" s="846">
        <f>IF(J77&lt;&gt;"",L78/$L$78,0)</f>
        <v>1</v>
      </c>
    </row>
    <row r="79" spans="1:14" ht="15" x14ac:dyDescent="0.2">
      <c r="B79" s="962" t="s">
        <v>202</v>
      </c>
      <c r="C79" s="962"/>
      <c r="D79" s="962"/>
      <c r="E79" s="962"/>
      <c r="F79" s="586"/>
      <c r="G79" s="830">
        <v>1</v>
      </c>
      <c r="H79" s="280" t="s">
        <v>73</v>
      </c>
      <c r="I79" s="838">
        <v>0</v>
      </c>
      <c r="J79" s="834">
        <f>AC58</f>
        <v>15.357654502541758</v>
      </c>
      <c r="K79" s="318">
        <v>1</v>
      </c>
      <c r="L79" s="1006">
        <f>J79*G79</f>
        <v>15.357654502541758</v>
      </c>
      <c r="M79" s="1006"/>
      <c r="N79" s="846">
        <f>IF(J79&lt;&gt;"",L79/$L$78,0)</f>
        <v>0.36840913649952778</v>
      </c>
    </row>
    <row r="80" spans="1:14" ht="15" x14ac:dyDescent="0.2">
      <c r="B80" s="963" t="s">
        <v>626</v>
      </c>
      <c r="C80" s="963"/>
      <c r="D80" s="963"/>
      <c r="E80" s="963"/>
      <c r="F80" s="964"/>
      <c r="G80" s="830">
        <v>1</v>
      </c>
      <c r="H80" s="280" t="s">
        <v>73</v>
      </c>
      <c r="I80" s="999">
        <v>0</v>
      </c>
      <c r="J80" s="999"/>
      <c r="K80" s="318">
        <v>1</v>
      </c>
      <c r="L80" s="1006">
        <f>I80*G80</f>
        <v>0</v>
      </c>
      <c r="M80" s="1006"/>
      <c r="N80" s="846">
        <f>IF(I80&lt;&gt;"",L80/$L$78,0)</f>
        <v>0</v>
      </c>
    </row>
    <row r="81" spans="2:14" ht="15.75" x14ac:dyDescent="0.25">
      <c r="B81" s="279" t="s">
        <v>204</v>
      </c>
      <c r="C81"/>
      <c r="D81"/>
      <c r="E81"/>
      <c r="F81"/>
      <c r="G81" s="831"/>
      <c r="H81" s="832"/>
      <c r="I81" s="1002"/>
      <c r="J81" s="1003"/>
      <c r="L81" s="1007">
        <f>L78-L79-L80</f>
        <v>26.328756015025427</v>
      </c>
      <c r="M81" s="1007"/>
      <c r="N81" s="846">
        <f>IF(L78&lt;&gt;"",L81/$L$78,0)</f>
        <v>0.63159086350047233</v>
      </c>
    </row>
    <row r="82" spans="2:14" ht="15" x14ac:dyDescent="0.2">
      <c r="B82" s="470" t="s">
        <v>205</v>
      </c>
      <c r="C82"/>
      <c r="D82"/>
      <c r="E82"/>
      <c r="F82" s="830"/>
      <c r="G82" s="900">
        <f>IF(F82&gt;0,F82,AVERAGE(U58:V58))</f>
        <v>0.39061111111111113</v>
      </c>
      <c r="H82" s="280" t="s">
        <v>228</v>
      </c>
      <c r="I82" s="845"/>
      <c r="J82" s="834">
        <f>IF(I82&gt;0,I82,T35)</f>
        <v>25</v>
      </c>
      <c r="K82" s="318">
        <v>1</v>
      </c>
      <c r="L82" s="1006">
        <f>G82*J82*K82</f>
        <v>9.7652777777777775</v>
      </c>
      <c r="M82" s="1006"/>
      <c r="N82" s="846">
        <f>IF(J82&lt;&gt;"",L82/$L$78,0)</f>
        <v>0.23425566405297873</v>
      </c>
    </row>
    <row r="83" spans="2:14" ht="15" x14ac:dyDescent="0.2">
      <c r="B83" s="470" t="s">
        <v>206</v>
      </c>
      <c r="C83"/>
      <c r="D83"/>
      <c r="E83"/>
      <c r="F83"/>
      <c r="G83" s="830">
        <v>1</v>
      </c>
      <c r="H83" s="280" t="s">
        <v>73</v>
      </c>
      <c r="I83" s="845"/>
      <c r="J83" s="834">
        <f>IF(I83&gt;0,I83,AD58)</f>
        <v>12.40128656229596</v>
      </c>
      <c r="K83" s="318">
        <v>1</v>
      </c>
      <c r="L83" s="1006">
        <f>G83*J83*K83</f>
        <v>12.40128656229596</v>
      </c>
      <c r="M83" s="1006"/>
      <c r="N83" s="846">
        <f>IF(J83&lt;&gt;"",L83/$L$78,0)</f>
        <v>0.297489911180285</v>
      </c>
    </row>
    <row r="84" spans="2:14" ht="15" x14ac:dyDescent="0.2">
      <c r="B84" s="470" t="s">
        <v>113</v>
      </c>
      <c r="C84"/>
      <c r="D84"/>
      <c r="E84"/>
      <c r="F84"/>
      <c r="G84" s="830">
        <v>1</v>
      </c>
      <c r="H84" s="280" t="s">
        <v>73</v>
      </c>
      <c r="I84" s="999">
        <v>0</v>
      </c>
      <c r="J84" s="999"/>
      <c r="K84" s="318">
        <v>1</v>
      </c>
      <c r="L84" s="1008">
        <f>G84*I84</f>
        <v>0</v>
      </c>
      <c r="M84" s="1009"/>
      <c r="N84" s="846">
        <f>IF(G84&lt;&gt;"",L84/$L$78,0)</f>
        <v>0</v>
      </c>
    </row>
    <row r="85" spans="2:14" ht="15" x14ac:dyDescent="0.2">
      <c r="B85" s="470" t="s">
        <v>207</v>
      </c>
      <c r="C85"/>
      <c r="D85"/>
      <c r="E85"/>
      <c r="F85"/>
      <c r="G85" s="454"/>
      <c r="H85" s="313"/>
      <c r="L85" s="1006">
        <f>L81-L82-L83-L84</f>
        <v>4.162191674951691</v>
      </c>
      <c r="M85" s="1006"/>
      <c r="N85" s="846">
        <f>IF(L81&lt;&gt;"",L85/$L$78,0)</f>
        <v>9.9845288267208579E-2</v>
      </c>
    </row>
    <row r="86" spans="2:14" ht="15" x14ac:dyDescent="0.2">
      <c r="B86" s="470" t="s">
        <v>208</v>
      </c>
      <c r="C86"/>
      <c r="D86"/>
      <c r="E86"/>
      <c r="F86"/>
      <c r="G86" s="454"/>
      <c r="H86" s="427">
        <v>0.2</v>
      </c>
      <c r="L86" s="1006">
        <f>L85*H86</f>
        <v>0.83243833499033826</v>
      </c>
      <c r="M86" s="1006"/>
      <c r="N86" s="846">
        <f>IF(L85&lt;&gt;"",L86/$L$78,0)</f>
        <v>1.9969057653441719E-2</v>
      </c>
    </row>
    <row r="87" spans="2:14" ht="15.75" x14ac:dyDescent="0.25">
      <c r="B87" s="279" t="s">
        <v>209</v>
      </c>
      <c r="C87"/>
      <c r="D87"/>
      <c r="E87"/>
      <c r="L87" s="1007">
        <f>L85-L86</f>
        <v>3.3297533399613526</v>
      </c>
      <c r="M87" s="1007"/>
      <c r="N87" s="846">
        <f>IF(L85&lt;&gt;"",L87/$L$78,0)</f>
        <v>7.9876230613766863E-2</v>
      </c>
    </row>
    <row r="89" spans="2:14" ht="20.25" x14ac:dyDescent="0.3">
      <c r="B89" s="820" t="s">
        <v>655</v>
      </c>
    </row>
    <row r="90" spans="2:14" ht="18" x14ac:dyDescent="0.25">
      <c r="B90" s="582" t="s">
        <v>138</v>
      </c>
    </row>
    <row r="92" spans="2:14" x14ac:dyDescent="0.2">
      <c r="B92" s="4" t="s">
        <v>139</v>
      </c>
      <c r="C92" s="398" t="str">
        <f>Ohjeet!C2</f>
        <v>2024.12</v>
      </c>
    </row>
  </sheetData>
  <sheetProtection algorithmName="SHA-512" hashValue="VMZvqBkMMs6q/f20ZL270qq/8ZNWnYLci637UbeE5SQM42tNTSkTmZolKC5f9PBLEKeabgo0j4qRCIl0/m40Ug==" saltValue="0RzKGcDJl1+IXxlX0N6Uhg==" spinCount="100000" sheet="1" formatCells="0" formatColumns="0" formatRows="0"/>
  <mergeCells count="119">
    <mergeCell ref="L85:M85"/>
    <mergeCell ref="L86:M86"/>
    <mergeCell ref="L87:M87"/>
    <mergeCell ref="C19:E19"/>
    <mergeCell ref="I81:J81"/>
    <mergeCell ref="L81:M81"/>
    <mergeCell ref="L82:M82"/>
    <mergeCell ref="L83:M83"/>
    <mergeCell ref="I84:J84"/>
    <mergeCell ref="L84:M84"/>
    <mergeCell ref="B77:F77"/>
    <mergeCell ref="L77:M77"/>
    <mergeCell ref="L78:M78"/>
    <mergeCell ref="B79:E79"/>
    <mergeCell ref="L79:M79"/>
    <mergeCell ref="B80:F80"/>
    <mergeCell ref="I80:J80"/>
    <mergeCell ref="L80:M80"/>
    <mergeCell ref="B74:E74"/>
    <mergeCell ref="L74:M74"/>
    <mergeCell ref="B75:E75"/>
    <mergeCell ref="L75:M75"/>
    <mergeCell ref="B76:F76"/>
    <mergeCell ref="L76:M76"/>
    <mergeCell ref="B71:E71"/>
    <mergeCell ref="L71:M71"/>
    <mergeCell ref="B72:E72"/>
    <mergeCell ref="L72:M72"/>
    <mergeCell ref="B73:E73"/>
    <mergeCell ref="L73:M73"/>
    <mergeCell ref="B68:E68"/>
    <mergeCell ref="L68:M68"/>
    <mergeCell ref="B69:E69"/>
    <mergeCell ref="L69:M69"/>
    <mergeCell ref="B70:E70"/>
    <mergeCell ref="L70:M70"/>
    <mergeCell ref="B65:E65"/>
    <mergeCell ref="L65:M65"/>
    <mergeCell ref="B66:E66"/>
    <mergeCell ref="L66:M66"/>
    <mergeCell ref="B67:E67"/>
    <mergeCell ref="L67:M67"/>
    <mergeCell ref="B62:E62"/>
    <mergeCell ref="L62:M62"/>
    <mergeCell ref="B63:E63"/>
    <mergeCell ref="L63:M63"/>
    <mergeCell ref="B64:E64"/>
    <mergeCell ref="L64:M64"/>
    <mergeCell ref="R59:T59"/>
    <mergeCell ref="U59:Y59"/>
    <mergeCell ref="Z59:AG59"/>
    <mergeCell ref="L60:M60"/>
    <mergeCell ref="B61:E61"/>
    <mergeCell ref="L61:M61"/>
    <mergeCell ref="B53:C53"/>
    <mergeCell ref="B54:C54"/>
    <mergeCell ref="B55:C55"/>
    <mergeCell ref="B56:C56"/>
    <mergeCell ref="B57:C57"/>
    <mergeCell ref="G59:Q59"/>
    <mergeCell ref="B51:C51"/>
    <mergeCell ref="B52:C52"/>
    <mergeCell ref="B44:C44"/>
    <mergeCell ref="B45:C45"/>
    <mergeCell ref="B46:C46"/>
    <mergeCell ref="B40:E40"/>
    <mergeCell ref="M40:Q40"/>
    <mergeCell ref="R40:T40"/>
    <mergeCell ref="S42:S43"/>
    <mergeCell ref="T42:T43"/>
    <mergeCell ref="D43:E43"/>
    <mergeCell ref="D41:F41"/>
    <mergeCell ref="L41:L43"/>
    <mergeCell ref="M41:M43"/>
    <mergeCell ref="B47:C47"/>
    <mergeCell ref="B48:C48"/>
    <mergeCell ref="B41:C43"/>
    <mergeCell ref="G41:G42"/>
    <mergeCell ref="B49:C49"/>
    <mergeCell ref="B50:C50"/>
    <mergeCell ref="R42:R43"/>
    <mergeCell ref="N41:N43"/>
    <mergeCell ref="O41:O43"/>
    <mergeCell ref="P41:P43"/>
    <mergeCell ref="Z42:Z43"/>
    <mergeCell ref="AA42:AA43"/>
    <mergeCell ref="AB42:AB43"/>
    <mergeCell ref="E1:G1"/>
    <mergeCell ref="H1:J1"/>
    <mergeCell ref="L1:N1"/>
    <mergeCell ref="P1:R1"/>
    <mergeCell ref="U40:V40"/>
    <mergeCell ref="X40:Y40"/>
    <mergeCell ref="Z40:AB40"/>
    <mergeCell ref="E3:F3"/>
    <mergeCell ref="I3:J3"/>
    <mergeCell ref="M3:N3"/>
    <mergeCell ref="Q3:R3"/>
    <mergeCell ref="C28:E28"/>
    <mergeCell ref="C29:E29"/>
    <mergeCell ref="X41:Y41"/>
    <mergeCell ref="U42:U43"/>
    <mergeCell ref="V42:V43"/>
    <mergeCell ref="Q41:Q43"/>
    <mergeCell ref="H41:H43"/>
    <mergeCell ref="I41:I43"/>
    <mergeCell ref="J41:J43"/>
    <mergeCell ref="K41:K42"/>
    <mergeCell ref="A2:B2"/>
    <mergeCell ref="E2:F2"/>
    <mergeCell ref="I2:J2"/>
    <mergeCell ref="M2:N2"/>
    <mergeCell ref="Q2:R2"/>
    <mergeCell ref="W42:W43"/>
    <mergeCell ref="X42:X43"/>
    <mergeCell ref="Y42:Y43"/>
    <mergeCell ref="R41:T41"/>
    <mergeCell ref="U41:V41"/>
    <mergeCell ref="A41:A43"/>
  </mergeCells>
  <conditionalFormatting sqref="I61:I77">
    <cfRule type="cellIs" dxfId="5" priority="4" operator="greaterThan">
      <formula>0</formula>
    </cfRule>
  </conditionalFormatting>
  <conditionalFormatting sqref="I79">
    <cfRule type="cellIs" dxfId="4" priority="1" operator="greaterThan">
      <formula>0</formula>
    </cfRule>
  </conditionalFormatting>
  <conditionalFormatting sqref="L44:L57">
    <cfRule type="cellIs" dxfId="3" priority="5" operator="greaterThan">
      <formula>0</formula>
    </cfRule>
  </conditionalFormatting>
  <conditionalFormatting sqref="N44:N57">
    <cfRule type="cellIs" dxfId="2" priority="3" operator="greaterThan">
      <formula>0</formula>
    </cfRule>
  </conditionalFormatting>
  <conditionalFormatting sqref="P44:P57">
    <cfRule type="cellIs" dxfId="1" priority="2" operator="greaterThan">
      <formula>0</formula>
    </cfRule>
  </conditionalFormatting>
  <hyperlinks>
    <hyperlink ref="B89" location="'Koneketjujen ketjutus Tieketju'!A1" display="Siirry koneketjujen ketjuun urakan laskentaan tai tekemään vertailua" xr:uid="{DB9A55F0-617B-458D-9792-6D201DF01B42}"/>
    <hyperlink ref="J41:J43" location="'Työpäivien lkm'!A1" display="Arvaus ajokerroista kaudella (ei pakollinen, oletus 1" xr:uid="{AC843496-544B-4CEE-8792-11DD07260494}"/>
  </hyperlinks>
  <printOptions verticalCentered="1"/>
  <pageMargins left="3.937007874015748E-2" right="3.937007874015748E-2" top="0.74803149606299213" bottom="0.74803149606299213" header="0.31496062992125984" footer="0.31496062992125984"/>
  <pageSetup paperSize="9" scale="57"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65B1503-79CD-4C6A-A7CB-B4280B569BA3}">
          <x14:formula1>
            <xm:f>Laskentayksikot!$E$15:$E$16</xm:f>
          </x14:formula1>
          <xm:sqref>A44:A57</xm:sqref>
        </x14:dataValidation>
        <x14:dataValidation type="list" allowBlank="1" showInputMessage="1" showErrorMessage="1" xr:uid="{6C212EE8-236D-4934-8D8E-D8B7DB0185F7}">
          <x14:formula1>
            <xm:f>Laskentayksikot!$B$2:$B$14</xm:f>
          </x14:formula1>
          <xm:sqref>H82:H84 H79:H80 H61:H77</xm:sqref>
        </x14:dataValidation>
        <x14:dataValidation type="list" allowBlank="1" showInputMessage="1" showErrorMessage="1" xr:uid="{730184B4-F850-4E1F-B8DA-BBC825A41B3D}">
          <x14:formula1>
            <xm:f>Ohjeet!$A$63:$A$68</xm:f>
          </x14:formula1>
          <xm:sqref>V25</xm:sqref>
        </x14:dataValidation>
        <x14:dataValidation type="list" allowBlank="1" showInputMessage="1" showErrorMessage="1" xr:uid="{B7B0A6D3-B70F-4F0A-B9B0-1846DA49ACCD}">
          <x14:formula1>
            <xm:f>Laskentayksikot!$E$2:$E$3</xm:f>
          </x14:formula1>
          <xm:sqref>E2:F2 I2:J2 M2:N2 Q2:R2</xm:sqref>
        </x14:dataValidation>
        <x14:dataValidation type="list" allowBlank="1" showInputMessage="1" showErrorMessage="1" xr:uid="{99B92BE9-706A-4855-8203-D14DB86A9008}">
          <x14:formula1>
            <xm:f>Laskentayksikot!$E$7:$E$8</xm:f>
          </x14:formula1>
          <xm:sqref>D2</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21">
    <pageSetUpPr fitToPage="1"/>
  </sheetPr>
  <dimension ref="A1:AC44"/>
  <sheetViews>
    <sheetView zoomScale="85" zoomScaleNormal="85" workbookViewId="0">
      <selection activeCell="M38" sqref="M38"/>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6.28515625" style="4" customWidth="1"/>
    <col min="13" max="13" width="10.5703125" style="4" customWidth="1"/>
    <col min="14" max="14" width="13.85546875" style="4" customWidth="1"/>
    <col min="15" max="15" width="12.42578125" style="4" customWidth="1"/>
    <col min="16" max="16" width="6.28515625" style="4" customWidth="1"/>
    <col min="17" max="17" width="10.42578125" style="4" customWidth="1"/>
    <col min="18" max="18" width="13.85546875" style="4" customWidth="1"/>
    <col min="19" max="19" width="11" style="4"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5.85546875" style="4" customWidth="1"/>
    <col min="27" max="27" width="15.7109375" style="4" customWidth="1"/>
    <col min="28" max="28" width="14.7109375" style="4" customWidth="1"/>
    <col min="29" max="32" width="9.140625" style="4"/>
    <col min="33" max="33" width="2.85546875" style="4" customWidth="1"/>
    <col min="34" max="16384" width="9.140625" style="4"/>
  </cols>
  <sheetData>
    <row r="1" spans="1:29" ht="39" thickBot="1" x14ac:dyDescent="0.25">
      <c r="A1" s="6" t="s">
        <v>79</v>
      </c>
      <c r="C1" s="6"/>
      <c r="E1" s="917" t="s">
        <v>398</v>
      </c>
      <c r="F1" s="917"/>
      <c r="G1" s="917"/>
      <c r="H1" s="918" t="s">
        <v>399</v>
      </c>
      <c r="I1" s="918"/>
      <c r="J1" s="918"/>
      <c r="L1" s="918" t="s">
        <v>399</v>
      </c>
      <c r="M1" s="918"/>
      <c r="N1" s="918"/>
      <c r="P1" s="918" t="s">
        <v>399</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400</v>
      </c>
      <c r="B2" s="912"/>
      <c r="C2" s="4" t="s">
        <v>90</v>
      </c>
      <c r="D2" s="70" t="s">
        <v>69</v>
      </c>
      <c r="E2" s="913" t="s">
        <v>60</v>
      </c>
      <c r="F2" s="914"/>
      <c r="G2" s="71"/>
      <c r="H2" s="72"/>
      <c r="I2" s="913" t="s">
        <v>60</v>
      </c>
      <c r="J2" s="914"/>
      <c r="K2" s="71"/>
      <c r="L2" s="72"/>
      <c r="M2" s="913" t="s">
        <v>62</v>
      </c>
      <c r="N2" s="914"/>
      <c r="O2" s="71"/>
      <c r="P2" s="72"/>
      <c r="Q2" s="913" t="s">
        <v>62</v>
      </c>
      <c r="R2" s="914"/>
      <c r="S2" s="71"/>
    </row>
    <row r="3" spans="1:29" ht="13.5" thickBot="1" x14ac:dyDescent="0.25">
      <c r="C3" s="10" t="s">
        <v>91</v>
      </c>
      <c r="E3" s="921" t="s">
        <v>401</v>
      </c>
      <c r="F3" s="922"/>
      <c r="G3" s="73"/>
      <c r="H3" s="74"/>
      <c r="I3" s="923" t="s">
        <v>402</v>
      </c>
      <c r="J3" s="916"/>
      <c r="K3" s="73"/>
      <c r="L3" s="74"/>
      <c r="M3" s="915" t="s">
        <v>93</v>
      </c>
      <c r="N3" s="916"/>
      <c r="O3" s="73"/>
      <c r="P3" s="74"/>
      <c r="Q3" s="915" t="s">
        <v>94</v>
      </c>
      <c r="R3" s="916"/>
      <c r="S3" s="73"/>
      <c r="T3" s="6" t="str">
        <f>"Kytketty koneet: "&amp;IF(E2="k",E3&amp;" ","")&amp;IF(I2="k",I3&amp;" ","")&amp;IF(M2="k",M3&amp;" ","")&amp;(IF(Q2="k",Q3&amp;" ",""))</f>
        <v xml:space="preserve">Kytketty koneet: Volvo Kuormain </v>
      </c>
    </row>
    <row r="4" spans="1:29" x14ac:dyDescent="0.2">
      <c r="A4" s="4" t="s">
        <v>95</v>
      </c>
      <c r="E4" s="4" t="s">
        <v>96</v>
      </c>
      <c r="F4" s="75">
        <v>10</v>
      </c>
      <c r="G4" s="73"/>
      <c r="I4" s="4" t="s">
        <v>96</v>
      </c>
      <c r="J4" s="75">
        <v>10</v>
      </c>
      <c r="K4" s="73">
        <v>0</v>
      </c>
      <c r="M4" s="4" t="s">
        <v>96</v>
      </c>
      <c r="N4" s="75">
        <v>1</v>
      </c>
      <c r="O4" s="73"/>
      <c r="Q4" s="4" t="s">
        <v>96</v>
      </c>
      <c r="R4" s="75">
        <v>10</v>
      </c>
      <c r="S4" s="73"/>
      <c r="T4" s="160" t="s">
        <v>97</v>
      </c>
    </row>
    <row r="5" spans="1:29" x14ac:dyDescent="0.2">
      <c r="A5" s="1170" t="s">
        <v>403</v>
      </c>
      <c r="B5" s="1170"/>
      <c r="E5" s="265" t="s">
        <v>78</v>
      </c>
      <c r="F5" s="640">
        <v>85000</v>
      </c>
      <c r="G5" s="73"/>
      <c r="I5" s="160" t="str">
        <f>$E$5</f>
        <v>km</v>
      </c>
      <c r="J5" s="640">
        <v>0</v>
      </c>
      <c r="K5" s="73"/>
      <c r="M5" s="160" t="str">
        <f>$E$5</f>
        <v>km</v>
      </c>
      <c r="N5" s="640">
        <v>0</v>
      </c>
      <c r="O5" s="73"/>
      <c r="Q5" s="160" t="str">
        <f>$E$5</f>
        <v>km</v>
      </c>
      <c r="R5" s="640">
        <v>10000</v>
      </c>
      <c r="S5" s="73"/>
      <c r="T5" s="641">
        <f>IF($E$2="k",(F5),0)+IF($I$2="k",(J5),0)+IF($M$2="k",(N5),0)+IF($Q$2="k",(R5),0)</f>
        <v>85000</v>
      </c>
      <c r="U5" s="160" t="s">
        <v>78</v>
      </c>
    </row>
    <row r="6" spans="1:29" x14ac:dyDescent="0.2">
      <c r="A6" s="1171" t="s">
        <v>404</v>
      </c>
      <c r="B6" s="1170"/>
      <c r="D6" s="254">
        <f>IF(F6&gt;0,F6,IF(F5&gt;0,F5/60,0))</f>
        <v>1416.6666666666667</v>
      </c>
      <c r="E6" s="265" t="s">
        <v>99</v>
      </c>
      <c r="F6" s="664">
        <v>0</v>
      </c>
      <c r="G6" s="73"/>
      <c r="H6" s="254">
        <f>IF(J6&gt;0,J6,IF(J5&gt;0,J5/60,0))</f>
        <v>200</v>
      </c>
      <c r="I6" s="160" t="str">
        <f>$E$6</f>
        <v>h</v>
      </c>
      <c r="J6" s="76">
        <v>200</v>
      </c>
      <c r="K6" s="73"/>
      <c r="L6" s="254">
        <f>IF(N6&gt;0,N6,IF(N5&gt;0,N5/60,0))</f>
        <v>0</v>
      </c>
      <c r="M6" s="160" t="str">
        <f>$E$6</f>
        <v>h</v>
      </c>
      <c r="N6" s="76"/>
      <c r="O6" s="73"/>
      <c r="P6" s="254">
        <f>IF(R6&gt;0,R6,IF(R5&gt;0,R5/60,0))</f>
        <v>166.66666666666666</v>
      </c>
      <c r="Q6" s="160" t="str">
        <f>$E$6</f>
        <v>h</v>
      </c>
      <c r="R6" s="76">
        <v>0</v>
      </c>
      <c r="S6" s="73"/>
      <c r="T6" s="641">
        <f>IF($E$2="k",(D6),0)+IF($I$2="k",(H6),0)+IF($M$2="k",(L6),0)+IF($Q$2="k",(P6),0)</f>
        <v>1616.6666666666667</v>
      </c>
      <c r="U6" s="160" t="s">
        <v>99</v>
      </c>
    </row>
    <row r="7" spans="1:29" x14ac:dyDescent="0.2">
      <c r="A7" s="4" t="s">
        <v>100</v>
      </c>
      <c r="F7" s="316">
        <v>250000</v>
      </c>
      <c r="G7" s="73"/>
      <c r="J7" s="77">
        <v>15500</v>
      </c>
      <c r="K7" s="73"/>
      <c r="N7" s="77">
        <v>1000</v>
      </c>
      <c r="O7" s="73"/>
      <c r="R7" s="77">
        <v>2500</v>
      </c>
      <c r="S7" s="73"/>
    </row>
    <row r="8" spans="1:29" x14ac:dyDescent="0.2">
      <c r="A8" s="4" t="s">
        <v>101</v>
      </c>
      <c r="E8" s="596">
        <v>0.255</v>
      </c>
      <c r="F8" s="222">
        <f>F7/(100%+E8)*E8</f>
        <v>50796.812749003991</v>
      </c>
      <c r="G8" s="79"/>
      <c r="H8" s="7"/>
      <c r="I8" s="596">
        <v>0</v>
      </c>
      <c r="J8" s="222">
        <f>J7/(100%+I8)*I8</f>
        <v>0</v>
      </c>
      <c r="K8" s="79"/>
      <c r="L8" s="7"/>
      <c r="M8" s="596">
        <v>0</v>
      </c>
      <c r="N8" s="222">
        <f>N7/(100%+M8)*M8</f>
        <v>0</v>
      </c>
      <c r="O8" s="79"/>
      <c r="P8" s="7"/>
      <c r="Q8" s="596">
        <v>0</v>
      </c>
      <c r="R8" s="222">
        <f>R7/(100%+Q8)*Q8</f>
        <v>0</v>
      </c>
      <c r="S8" s="79"/>
    </row>
    <row r="9" spans="1:29" x14ac:dyDescent="0.2">
      <c r="A9" s="4" t="s">
        <v>102</v>
      </c>
      <c r="F9" s="80">
        <f>F7-F8</f>
        <v>199203.18725099601</v>
      </c>
      <c r="G9" s="73"/>
      <c r="J9" s="80">
        <f>J7-J8</f>
        <v>15500</v>
      </c>
      <c r="K9" s="73"/>
      <c r="N9" s="80">
        <f>N7-N8</f>
        <v>1000</v>
      </c>
      <c r="O9" s="73"/>
      <c r="R9" s="80">
        <f>R7-R8</f>
        <v>2500</v>
      </c>
      <c r="S9" s="73"/>
    </row>
    <row r="10" spans="1:29" x14ac:dyDescent="0.2">
      <c r="A10" s="4" t="s">
        <v>103</v>
      </c>
      <c r="E10" s="225">
        <v>0.3</v>
      </c>
      <c r="F10" s="222">
        <f>E10*F9</f>
        <v>59760.956175298801</v>
      </c>
      <c r="G10" s="73"/>
      <c r="I10" s="225">
        <v>0.35</v>
      </c>
      <c r="J10" s="222">
        <f>I10*J9</f>
        <v>5425</v>
      </c>
      <c r="K10" s="73"/>
      <c r="M10" s="225">
        <v>0</v>
      </c>
      <c r="N10" s="222">
        <f>M10*N9</f>
        <v>0</v>
      </c>
      <c r="O10" s="73"/>
      <c r="Q10" s="225">
        <v>0</v>
      </c>
      <c r="R10" s="222">
        <f>Q10*R9</f>
        <v>0</v>
      </c>
      <c r="S10" s="73"/>
    </row>
    <row r="11" spans="1:29" x14ac:dyDescent="0.2">
      <c r="A11" s="4" t="s">
        <v>104</v>
      </c>
      <c r="F11" s="81">
        <f>F9-F10</f>
        <v>139442.2310756972</v>
      </c>
      <c r="G11" s="73"/>
      <c r="J11" s="81">
        <f>J9-J10</f>
        <v>10075</v>
      </c>
      <c r="K11" s="73"/>
      <c r="N11" s="81">
        <f>N9-N10</f>
        <v>1000</v>
      </c>
      <c r="O11" s="73"/>
      <c r="R11" s="81">
        <f>R9-R10</f>
        <v>2500</v>
      </c>
      <c r="S11" s="73"/>
    </row>
    <row r="12" spans="1:29" ht="13.5" thickBot="1" x14ac:dyDescent="0.25">
      <c r="A12" s="24" t="s">
        <v>105</v>
      </c>
      <c r="F12" s="82"/>
      <c r="G12" s="73"/>
      <c r="J12" s="82"/>
      <c r="K12" s="73"/>
      <c r="N12" s="82"/>
      <c r="O12" s="73"/>
      <c r="R12" s="82"/>
      <c r="S12" s="73"/>
      <c r="T12" s="6" t="s">
        <v>106</v>
      </c>
    </row>
    <row r="13" spans="1:29" x14ac:dyDescent="0.2">
      <c r="A13" s="9"/>
      <c r="B13" s="25" t="s">
        <v>107</v>
      </c>
      <c r="C13" s="26"/>
      <c r="D13" s="27" t="s">
        <v>108</v>
      </c>
      <c r="E13" s="226">
        <v>0.05</v>
      </c>
      <c r="F13" s="222">
        <f>IF(E2="k",IF(D2="A",ABS(PMT(E13,F4,-F9,E10*F9,0)),SUM(F14:F15)),0)</f>
        <v>18924.302788844619</v>
      </c>
      <c r="G13" s="73"/>
      <c r="I13" s="226">
        <v>0.05</v>
      </c>
      <c r="J13" s="222">
        <f>IF(I2="k",IF($D$2="A",ABS(PMT(I13,J4,-J9,I10*J9,0)),SUM(J14:J15)),0)</f>
        <v>1395</v>
      </c>
      <c r="K13" s="73"/>
      <c r="M13" s="226">
        <v>0.05</v>
      </c>
      <c r="N13" s="222">
        <f>IF(M2="k",IF($D$2="A",ABS(PMT(M13,N4,-N9,M10*N9,0)),SUM(N14:N15)),0)</f>
        <v>0</v>
      </c>
      <c r="O13" s="73"/>
      <c r="Q13" s="226">
        <v>0.05</v>
      </c>
      <c r="R13" s="222">
        <f>IF(Q2="k",IF($D$2="A",ABS(PMT(Q13,R4,-R9,Q10*R9,0)),SUM(R14:R15)),0)</f>
        <v>0</v>
      </c>
      <c r="S13" s="73"/>
      <c r="T13" s="36">
        <f>SUM(F13,J13,N13,R13)</f>
        <v>20319.302788844619</v>
      </c>
    </row>
    <row r="14" spans="1:29" x14ac:dyDescent="0.2">
      <c r="B14" s="30" t="s">
        <v>109</v>
      </c>
      <c r="F14" s="84">
        <f>IF(E2="k",IF(D2="A",E13*F9,F9/2*E13),0)</f>
        <v>4980.0796812749004</v>
      </c>
      <c r="G14" s="85"/>
      <c r="H14" s="10"/>
      <c r="J14" s="84">
        <f>IF(I2="k",IF($D$2="A",I13*J9,J9/2*I13),0)</f>
        <v>387.5</v>
      </c>
      <c r="K14" s="85"/>
      <c r="L14" s="10"/>
      <c r="N14" s="84">
        <f>IF(M2="k",IF($D$2="A",M13*N9,N9/2*M13),0)</f>
        <v>0</v>
      </c>
      <c r="O14" s="85"/>
      <c r="P14" s="10"/>
      <c r="R14" s="84">
        <f>IF(Q2="k",IF($D$2="A",Q13*R9,R9/2*Q13),0)</f>
        <v>0</v>
      </c>
      <c r="S14" s="85"/>
      <c r="T14" s="36">
        <f t="shared" ref="T14:U38" si="0">SUM(F14,J14,N14,R14)</f>
        <v>5367.5796812749004</v>
      </c>
    </row>
    <row r="15" spans="1:29" ht="13.5" thickBot="1" x14ac:dyDescent="0.25">
      <c r="B15" s="32" t="s">
        <v>110</v>
      </c>
      <c r="C15" s="33"/>
      <c r="D15" s="33"/>
      <c r="E15" s="33"/>
      <c r="F15" s="86">
        <f>IF(E2="k",IF(D2="A",F13-F14,F11/F4),0)</f>
        <v>13944.22310756972</v>
      </c>
      <c r="G15" s="73"/>
      <c r="J15" s="86">
        <f>IF(I2="k",IF($D$2="A",J13-J14,J11/J4),0)</f>
        <v>1007.5</v>
      </c>
      <c r="K15" s="73"/>
      <c r="N15" s="86">
        <f>IF(M2="k",IF($D$2="A",N13-N14,N11/N4),0)</f>
        <v>0</v>
      </c>
      <c r="O15" s="73"/>
      <c r="R15" s="86">
        <f>IF(Q2="k",IF($D$2="A",R13-R14,R11/R4),0)</f>
        <v>0</v>
      </c>
      <c r="S15" s="73"/>
      <c r="T15" s="36">
        <f t="shared" si="0"/>
        <v>14951.72310756972</v>
      </c>
    </row>
    <row r="16" spans="1:29" ht="18" customHeight="1" x14ac:dyDescent="0.2">
      <c r="B16" s="35"/>
      <c r="F16" s="86"/>
      <c r="G16" s="73"/>
      <c r="J16" s="86"/>
      <c r="K16" s="73"/>
      <c r="N16" s="86"/>
      <c r="O16" s="73"/>
      <c r="R16" s="86"/>
      <c r="S16" s="73"/>
    </row>
    <row r="17" spans="1:29" x14ac:dyDescent="0.2">
      <c r="B17" s="35" t="s">
        <v>405</v>
      </c>
      <c r="C17" s="37"/>
      <c r="D17" s="37"/>
      <c r="E17" s="87"/>
      <c r="F17" s="88">
        <v>200</v>
      </c>
      <c r="G17" s="85"/>
      <c r="H17" s="10"/>
      <c r="I17" s="44"/>
      <c r="J17" s="77">
        <v>0</v>
      </c>
      <c r="K17" s="85"/>
      <c r="L17" s="10"/>
      <c r="M17" s="44"/>
      <c r="N17" s="77">
        <v>0</v>
      </c>
      <c r="O17" s="85"/>
      <c r="P17" s="10"/>
      <c r="Q17" s="44"/>
      <c r="R17" s="77">
        <v>0</v>
      </c>
      <c r="S17" s="85"/>
      <c r="T17" s="8">
        <f>IF($E$2="k",F17)+IF($I$2="k",J17)+IF($M$2="k",N17)+IF($Q$2="k",R17)</f>
        <v>200</v>
      </c>
    </row>
    <row r="18" spans="1:29" x14ac:dyDescent="0.2">
      <c r="B18" s="40" t="s">
        <v>112</v>
      </c>
      <c r="C18" s="41"/>
      <c r="D18" s="42"/>
      <c r="E18" s="89"/>
      <c r="F18" s="88">
        <v>450</v>
      </c>
      <c r="G18" s="85"/>
      <c r="H18" s="10"/>
      <c r="J18" s="77">
        <v>0</v>
      </c>
      <c r="K18" s="85"/>
      <c r="L18" s="10"/>
      <c r="N18" s="77">
        <v>0</v>
      </c>
      <c r="O18" s="85"/>
      <c r="P18" s="10"/>
      <c r="R18" s="77">
        <v>0</v>
      </c>
      <c r="S18" s="85"/>
      <c r="T18" s="8">
        <f>IF($E$2="k",F18)+IF($I$2="k",J18)+IF($M$2="k",N18)+IF($Q$2="k",R18)</f>
        <v>450</v>
      </c>
    </row>
    <row r="19" spans="1:29" x14ac:dyDescent="0.2">
      <c r="B19" s="195" t="s">
        <v>406</v>
      </c>
      <c r="D19" s="44"/>
      <c r="F19" s="77">
        <v>35000</v>
      </c>
      <c r="G19" s="85"/>
      <c r="H19" s="10"/>
      <c r="J19" s="77"/>
      <c r="K19" s="85"/>
      <c r="L19" s="10"/>
      <c r="N19" s="77"/>
      <c r="O19" s="85"/>
      <c r="P19" s="10"/>
      <c r="R19" s="77"/>
      <c r="S19" s="85"/>
      <c r="T19" s="8">
        <f>IF($E$2="k",F19)+IF($I$2="k",J19)+IF($M$2="k",N19)+IF($Q$2="k",R19)</f>
        <v>35000</v>
      </c>
    </row>
    <row r="20" spans="1:29" x14ac:dyDescent="0.2">
      <c r="B20" s="11"/>
      <c r="C20" s="45"/>
      <c r="D20" s="10"/>
      <c r="E20" s="10"/>
      <c r="F20" s="90"/>
      <c r="G20" s="85"/>
      <c r="H20" s="10"/>
      <c r="I20" s="10"/>
      <c r="J20" s="90"/>
      <c r="K20" s="85"/>
      <c r="L20" s="10"/>
      <c r="M20" s="10"/>
      <c r="N20" s="90"/>
      <c r="O20" s="85"/>
      <c r="P20" s="10"/>
      <c r="Q20" s="10"/>
      <c r="R20" s="90"/>
      <c r="S20" s="85"/>
    </row>
    <row r="21" spans="1:29" x14ac:dyDescent="0.2">
      <c r="B21" s="35" t="s">
        <v>114</v>
      </c>
      <c r="C21" s="10"/>
      <c r="D21" s="10"/>
      <c r="E21" s="226">
        <v>3.0000000000000001E-3</v>
      </c>
      <c r="F21" s="290">
        <f>IF(E2="k",E21*F9,0)</f>
        <v>597.60956175298804</v>
      </c>
      <c r="G21" s="85"/>
      <c r="H21" s="10"/>
      <c r="I21" s="226">
        <v>3.0000000000000001E-3</v>
      </c>
      <c r="J21" s="290">
        <f>IF(I2="k",I21*J9,0)</f>
        <v>46.5</v>
      </c>
      <c r="K21" s="85"/>
      <c r="L21" s="10"/>
      <c r="M21" s="226">
        <v>3.0000000000000001E-3</v>
      </c>
      <c r="N21" s="290">
        <f>IF(M2="k",M21*N9,0)</f>
        <v>0</v>
      </c>
      <c r="O21" s="85"/>
      <c r="P21" s="10"/>
      <c r="Q21" s="226">
        <v>3.0000000000000001E-3</v>
      </c>
      <c r="R21" s="19">
        <f>IF(Q2="k",Q21*R9,0)</f>
        <v>0</v>
      </c>
      <c r="S21" s="85"/>
      <c r="T21" s="36">
        <f t="shared" si="0"/>
        <v>644.10956175298804</v>
      </c>
    </row>
    <row r="22" spans="1:29" ht="13.5" thickBot="1" x14ac:dyDescent="0.25">
      <c r="B22" s="50" t="s">
        <v>115</v>
      </c>
      <c r="C22" s="51"/>
      <c r="D22" s="51"/>
      <c r="E22" s="52"/>
      <c r="F22" s="91">
        <f>IF(E2="k",SUM(F14:F21),0)</f>
        <v>55171.912350597609</v>
      </c>
      <c r="G22" s="92">
        <f>IF(F5&gt;0,F22/F5,0)</f>
        <v>0.64908132177173661</v>
      </c>
      <c r="H22" s="54"/>
      <c r="J22" s="91">
        <f>IF(I2="k",SUM(J14:J21),0)</f>
        <v>1441.5</v>
      </c>
      <c r="K22" s="92">
        <f>IF(J5&gt;0,J22/J5,0)</f>
        <v>0</v>
      </c>
      <c r="L22" s="54"/>
      <c r="N22" s="91">
        <f>IF(M2="k",SUM(N14:N21),0)</f>
        <v>0</v>
      </c>
      <c r="O22" s="92">
        <f>IF(N5&gt;0,N22/N5,0)</f>
        <v>0</v>
      </c>
      <c r="P22" s="54"/>
      <c r="R22" s="93">
        <f>IF(Q2="k",SUM(R14:R21),0)</f>
        <v>0</v>
      </c>
      <c r="S22" s="92">
        <f>IF(R5&gt;0,R22/R5,0)</f>
        <v>0</v>
      </c>
      <c r="T22" s="94">
        <f t="shared" si="0"/>
        <v>56613.412350597609</v>
      </c>
      <c r="U22" s="95">
        <f>SUM(G22,K22,O22,S22)</f>
        <v>0.64908132177173661</v>
      </c>
      <c r="W22" s="94"/>
      <c r="X22" s="94"/>
    </row>
    <row r="23" spans="1:29" x14ac:dyDescent="0.2">
      <c r="A23" s="24" t="s">
        <v>116</v>
      </c>
      <c r="B23" s="6"/>
      <c r="F23" s="96"/>
      <c r="G23" s="97"/>
      <c r="H23" s="55"/>
      <c r="J23" s="98"/>
      <c r="K23" s="97"/>
      <c r="L23" s="55"/>
      <c r="N23" s="98"/>
      <c r="O23" s="97"/>
      <c r="P23" s="55"/>
      <c r="R23" s="98"/>
      <c r="S23" s="97"/>
    </row>
    <row r="24" spans="1:29" x14ac:dyDescent="0.2">
      <c r="B24" s="11" t="s">
        <v>117</v>
      </c>
      <c r="C24" s="22"/>
      <c r="D24" s="10"/>
      <c r="F24" s="77">
        <v>800</v>
      </c>
      <c r="G24" s="99"/>
      <c r="H24" s="47"/>
      <c r="J24" s="77">
        <v>200</v>
      </c>
      <c r="K24" s="99"/>
      <c r="L24" s="47"/>
      <c r="N24" s="77">
        <v>0</v>
      </c>
      <c r="O24" s="99"/>
      <c r="P24" s="47"/>
      <c r="R24" s="77">
        <v>0</v>
      </c>
      <c r="S24" s="99"/>
      <c r="T24" s="8">
        <f>IF($E$2="k",F24)+IF($I$2="k",J24)+IF($M$2="k",N24)+IF($Q$2="k",R24)</f>
        <v>1000</v>
      </c>
    </row>
    <row r="25" spans="1:29" ht="15.75" x14ac:dyDescent="0.2">
      <c r="B25" s="312" t="s">
        <v>407</v>
      </c>
      <c r="C25" s="196">
        <v>20</v>
      </c>
      <c r="D25" s="197">
        <v>1.5</v>
      </c>
      <c r="E25" s="300"/>
      <c r="F25" s="100">
        <f>IF(E2="k",C25*D25*F5/100,0)</f>
        <v>25500</v>
      </c>
      <c r="G25" s="101"/>
      <c r="H25" s="196">
        <v>5</v>
      </c>
      <c r="I25" s="102">
        <f>$D$25</f>
        <v>1.5</v>
      </c>
      <c r="J25" s="100">
        <f>IF(I2="k",H25*I25*H6,0)</f>
        <v>1500</v>
      </c>
      <c r="K25" s="311"/>
      <c r="L25" s="196">
        <v>0</v>
      </c>
      <c r="M25" s="102">
        <f>$D$25</f>
        <v>1.5</v>
      </c>
      <c r="N25" s="100">
        <f>IF(M2="k",L25*M25*L6,0)</f>
        <v>0</v>
      </c>
      <c r="O25" s="311"/>
      <c r="P25" s="196">
        <v>2</v>
      </c>
      <c r="Q25" s="102">
        <f>$D$25</f>
        <v>1.5</v>
      </c>
      <c r="R25" s="100">
        <f>IF(Q2="k",P25*Q25*P6,0)</f>
        <v>0</v>
      </c>
      <c r="S25" s="101"/>
      <c r="T25" s="36">
        <f t="shared" si="0"/>
        <v>27000</v>
      </c>
      <c r="V25" s="165" t="s">
        <v>37</v>
      </c>
      <c r="W25" s="642">
        <f>IF($E$2="k",(C25*F5/100),0)+IF($I$2="k",(H25*J6),0)+IF($M$2="k",(L25*N6),0)+IF($Q$2="k",(P25*R6),0)</f>
        <v>18000</v>
      </c>
      <c r="X25" s="642">
        <f>W25/159</f>
        <v>113.20754716981132</v>
      </c>
      <c r="Y25" s="161">
        <f>VLOOKUP(V25,Ohjeet!A63:F68,6,FALSE)</f>
        <v>2.66</v>
      </c>
      <c r="Z25" s="163">
        <f>W25*Y25</f>
        <v>47880</v>
      </c>
      <c r="AA25" s="164">
        <f>Z25/1000</f>
        <v>47.88</v>
      </c>
      <c r="AB25" s="162">
        <f>Z25*0.27</f>
        <v>12927.6</v>
      </c>
      <c r="AC25" s="162"/>
    </row>
    <row r="26" spans="1:29" ht="15" x14ac:dyDescent="0.2">
      <c r="B26" s="3" t="s">
        <v>408</v>
      </c>
      <c r="C26" s="665">
        <f>D6</f>
        <v>1416.6666666666667</v>
      </c>
      <c r="D26" s="197">
        <v>0</v>
      </c>
      <c r="E26" s="666">
        <v>1</v>
      </c>
      <c r="F26" s="77">
        <f>IF(AND(C26&gt;0,D26&gt;0),C26*D26*E26,0)</f>
        <v>0</v>
      </c>
      <c r="G26" s="101"/>
      <c r="H26" s="39"/>
      <c r="J26" s="77">
        <v>0</v>
      </c>
      <c r="K26" s="101"/>
      <c r="L26" s="39"/>
      <c r="N26" s="77">
        <v>0</v>
      </c>
      <c r="O26" s="101"/>
      <c r="P26" s="39"/>
      <c r="R26" s="77">
        <v>0</v>
      </c>
      <c r="S26" s="101"/>
      <c r="T26" s="8">
        <f>IF($E$2="k",F26)+IF($I$2="k",J26)+IF($M$2="k",N26)+IF($Q$2="k",R26)</f>
        <v>0</v>
      </c>
      <c r="V26" s="166" t="s">
        <v>123</v>
      </c>
      <c r="Z26" s="167">
        <f>Z25/T5</f>
        <v>0.56329411764705883</v>
      </c>
    </row>
    <row r="27" spans="1:29" x14ac:dyDescent="0.2">
      <c r="B27" s="11" t="s">
        <v>113</v>
      </c>
      <c r="C27" s="920"/>
      <c r="D27" s="920"/>
      <c r="E27" s="920"/>
      <c r="F27" s="77">
        <v>160</v>
      </c>
      <c r="G27" s="101"/>
      <c r="H27" s="39"/>
      <c r="J27" s="77">
        <v>0</v>
      </c>
      <c r="K27" s="101"/>
      <c r="L27" s="39"/>
      <c r="N27" s="77">
        <v>0</v>
      </c>
      <c r="O27" s="101"/>
      <c r="P27" s="39"/>
      <c r="R27" s="77">
        <v>0</v>
      </c>
      <c r="S27" s="101"/>
      <c r="T27" s="8">
        <f>IF($E$2="k",F27)+IF($I$2="k",J27)+IF($M$2="k",N27)+IF($Q$2="k",R27)</f>
        <v>160</v>
      </c>
    </row>
    <row r="28" spans="1:29" x14ac:dyDescent="0.2">
      <c r="B28" s="11" t="s">
        <v>113</v>
      </c>
      <c r="C28" s="920"/>
      <c r="D28" s="920"/>
      <c r="E28" s="920"/>
      <c r="F28" s="77">
        <v>0</v>
      </c>
      <c r="G28" s="101"/>
      <c r="H28" s="39"/>
      <c r="J28" s="77">
        <v>0</v>
      </c>
      <c r="K28" s="101"/>
      <c r="L28" s="39"/>
      <c r="N28" s="77">
        <v>0</v>
      </c>
      <c r="O28" s="101"/>
      <c r="P28" s="39"/>
      <c r="R28" s="77">
        <v>0</v>
      </c>
      <c r="S28" s="101"/>
      <c r="T28" s="8">
        <f>IF($E$2="k",F28)+IF($I$2="k",J28)+IF($M$2="k",N28)+IF($Q$2="k",R28)</f>
        <v>0</v>
      </c>
    </row>
    <row r="29" spans="1:29" ht="13.5" thickBot="1" x14ac:dyDescent="0.25">
      <c r="B29" s="11" t="s">
        <v>113</v>
      </c>
      <c r="C29" s="920"/>
      <c r="D29" s="920"/>
      <c r="E29" s="920"/>
      <c r="F29" s="77">
        <v>0</v>
      </c>
      <c r="G29" s="101"/>
      <c r="H29" s="39"/>
      <c r="J29" s="77">
        <v>0</v>
      </c>
      <c r="K29" s="101"/>
      <c r="L29" s="39"/>
      <c r="N29" s="77">
        <v>0</v>
      </c>
      <c r="O29" s="101"/>
      <c r="P29" s="39"/>
      <c r="R29" s="77">
        <v>0</v>
      </c>
      <c r="S29" s="101"/>
      <c r="T29" s="8">
        <f>IF($E$2="k",F29)+IF($I$2="k",J29)+IF($M$2="k",N29)+IF($Q$2="k",R29)</f>
        <v>0</v>
      </c>
    </row>
    <row r="30" spans="1:29" ht="13.5" thickBot="1" x14ac:dyDescent="0.25">
      <c r="B30" s="60" t="s">
        <v>127</v>
      </c>
      <c r="C30" s="51"/>
      <c r="D30" s="51"/>
      <c r="E30" s="51"/>
      <c r="F30" s="55">
        <f>IF(E2="k",SUM(F24:F29),0)</f>
        <v>26460</v>
      </c>
      <c r="G30" s="103">
        <f>IF(F5&gt;0,F30/F5,0)</f>
        <v>0.31129411764705883</v>
      </c>
      <c r="H30" s="104"/>
      <c r="J30" s="55">
        <f>IF(I2="k",SUM(J24:J29),0)</f>
        <v>1700</v>
      </c>
      <c r="K30" s="309">
        <f>IF(J5&gt;0,J30/J5,0)</f>
        <v>0</v>
      </c>
      <c r="L30" s="104"/>
      <c r="N30" s="55">
        <f>IF(M2="k",SUM(N24:N29),0)</f>
        <v>0</v>
      </c>
      <c r="O30" s="309">
        <f>IF(N5&gt;0,N30/N5,0)</f>
        <v>0</v>
      </c>
      <c r="P30" s="104"/>
      <c r="R30" s="55">
        <f>IF(Q2="k",SUM(R24:R29),0)</f>
        <v>0</v>
      </c>
      <c r="S30" s="309">
        <f>IF(R5&gt;0,R30/R5,0)</f>
        <v>0</v>
      </c>
      <c r="T30" s="94">
        <f t="shared" si="0"/>
        <v>28160</v>
      </c>
      <c r="U30" s="105">
        <f>SUM(G30,K30,O30,S30)</f>
        <v>0.31129411764705883</v>
      </c>
    </row>
    <row r="31" spans="1:29" ht="13.5" thickBot="1" x14ac:dyDescent="0.25">
      <c r="A31" s="6" t="s">
        <v>128</v>
      </c>
      <c r="F31" s="301">
        <f>F22+F30</f>
        <v>81631.912350597617</v>
      </c>
      <c r="G31" s="107"/>
      <c r="H31" s="12"/>
      <c r="J31" s="55">
        <f>IF(I2="k",J22+J30,0)</f>
        <v>3141.5</v>
      </c>
      <c r="K31" s="107"/>
      <c r="L31" s="12"/>
      <c r="N31" s="55">
        <f>IF(M2="k",N22+N30,0)</f>
        <v>0</v>
      </c>
      <c r="O31" s="107"/>
      <c r="P31" s="12"/>
      <c r="R31" s="55">
        <f>IF(Q2="k",R22+R30,0)</f>
        <v>0</v>
      </c>
      <c r="S31" s="107"/>
      <c r="T31" s="94">
        <f t="shared" si="0"/>
        <v>84773.412350597617</v>
      </c>
    </row>
    <row r="32" spans="1:29" ht="13.5" thickBot="1" x14ac:dyDescent="0.25">
      <c r="F32" s="304" t="str">
        <f>E5&amp;" hinta"</f>
        <v>km hinta</v>
      </c>
      <c r="G32" s="304" t="str">
        <f>E6&amp;" hinta"</f>
        <v>h hinta</v>
      </c>
      <c r="J32" s="303" t="str">
        <f>$F$32</f>
        <v>km hinta</v>
      </c>
      <c r="K32" s="303" t="str">
        <f>$G$32</f>
        <v>h hinta</v>
      </c>
      <c r="N32" s="303" t="str">
        <f>$F$32</f>
        <v>km hinta</v>
      </c>
      <c r="O32" s="303" t="str">
        <f>$G$32</f>
        <v>h hinta</v>
      </c>
      <c r="R32" s="303" t="str">
        <f>$F$32</f>
        <v>km hinta</v>
      </c>
      <c r="S32" s="303" t="str">
        <f>$G$32</f>
        <v>h hinta</v>
      </c>
      <c r="T32" s="305" t="s">
        <v>409</v>
      </c>
      <c r="U32" s="306" t="s">
        <v>410</v>
      </c>
    </row>
    <row r="33" spans="1:21" ht="13.5" thickBot="1" x14ac:dyDescent="0.25">
      <c r="A33" s="6" t="s">
        <v>411</v>
      </c>
      <c r="F33" s="302">
        <f>IF(F5&gt;0,IF(E$2="k",F$31/F5,),0)</f>
        <v>0.96037543941879544</v>
      </c>
      <c r="G33" s="302">
        <f>IF(D6&gt;0,IF(E$2="k",F$31/D6,0),0)</f>
        <v>57.622526365127726</v>
      </c>
      <c r="H33" s="12"/>
      <c r="J33" s="13">
        <f>IF(J5&gt;0,IF(I2="k",J31/J5,0),0)</f>
        <v>0</v>
      </c>
      <c r="K33" s="302">
        <f>IF(H6&gt;0,IF(I$2="k",J$31/H6,0),0)</f>
        <v>15.7075</v>
      </c>
      <c r="L33" s="12"/>
      <c r="N33" s="13">
        <f>IF(N5&gt;0,IF(M2="k",N31/N5,0),0)</f>
        <v>0</v>
      </c>
      <c r="O33" s="302">
        <f>IF(L6&gt;0,IF(M$2="k",N$31/L6,),0)</f>
        <v>0</v>
      </c>
      <c r="P33" s="12"/>
      <c r="R33" s="13">
        <f>IF(R5&gt;0,IF(Q2="k",R31/R5,0),0)</f>
        <v>0</v>
      </c>
      <c r="S33" s="302">
        <f>IF(R6&gt;0,IF(Q$2="k",R$31/P6,),0)</f>
        <v>0</v>
      </c>
      <c r="T33" s="108">
        <f t="shared" si="0"/>
        <v>0.96037543941879544</v>
      </c>
      <c r="U33" s="118">
        <f>SUM(G33,K33,O33,S33)</f>
        <v>73.330026365127722</v>
      </c>
    </row>
    <row r="34" spans="1:21" x14ac:dyDescent="0.2">
      <c r="B34" s="6" t="s">
        <v>130</v>
      </c>
      <c r="E34" s="203">
        <v>0</v>
      </c>
      <c r="F34" s="234">
        <f>IF($E$2="k",((100%/(100%-$E$34))*F33)-F33,0)</f>
        <v>0</v>
      </c>
      <c r="G34" s="234">
        <f>IF($E$2="k",((100%/(100%-$E$34))*G33)-G33,0)</f>
        <v>0</v>
      </c>
      <c r="H34" s="10"/>
      <c r="I34" s="203">
        <f>E34</f>
        <v>0</v>
      </c>
      <c r="J34" s="7">
        <f>IF(I2="k",((100%/(100%-I34))*J33)-J33,0)</f>
        <v>0</v>
      </c>
      <c r="K34" s="234">
        <f>IF($E$2="k",((100%/(100%-$E$34))*K33)-K33,0)</f>
        <v>0</v>
      </c>
      <c r="L34" s="10"/>
      <c r="M34" s="203">
        <f>I34</f>
        <v>0</v>
      </c>
      <c r="N34" s="7">
        <f>IF(M2="k",((100%/(100%-M34))*N33)-N33,0)</f>
        <v>0</v>
      </c>
      <c r="O34" s="85"/>
      <c r="P34" s="10"/>
      <c r="Q34" s="203">
        <f>M34</f>
        <v>0</v>
      </c>
      <c r="R34" s="7">
        <f>IF(Q2="k",((100%/(100%-Q34))*R33)-R33,0)</f>
        <v>0</v>
      </c>
      <c r="S34" s="85"/>
      <c r="T34" s="36">
        <f t="shared" si="0"/>
        <v>0</v>
      </c>
      <c r="U34" s="118">
        <f>SUM(G34,K34,O34,S34)</f>
        <v>0</v>
      </c>
    </row>
    <row r="35" spans="1:21" ht="13.5" thickBot="1" x14ac:dyDescent="0.25">
      <c r="B35" s="4" t="s">
        <v>131</v>
      </c>
      <c r="F35" s="308"/>
      <c r="G35" s="292">
        <v>0</v>
      </c>
      <c r="H35" s="10"/>
      <c r="I35" s="109"/>
      <c r="J35" s="307"/>
      <c r="K35" s="292">
        <v>15</v>
      </c>
      <c r="L35" s="10"/>
      <c r="M35" s="109"/>
      <c r="N35" s="307"/>
      <c r="O35" s="292">
        <v>2</v>
      </c>
      <c r="P35" s="10"/>
      <c r="Q35" s="109"/>
      <c r="R35" s="307"/>
      <c r="S35" s="292">
        <v>0</v>
      </c>
      <c r="T35" s="8">
        <f>IF($E$2="k",F35)+IF($I$2="k",J35)+IF($M$2="k",N35)+IF($Q$2="k",R35)</f>
        <v>0</v>
      </c>
      <c r="U35" s="667">
        <f>IF($E$2="k",(G35),0)+IF($I$2="k",(K35),0)+IF($M$2="k",(O35),0)+IF($Q$2="k",(S35),0)</f>
        <v>15</v>
      </c>
    </row>
    <row r="36" spans="1:21" x14ac:dyDescent="0.2">
      <c r="B36" s="116" t="s">
        <v>134</v>
      </c>
      <c r="C36" s="115"/>
      <c r="D36" s="115"/>
      <c r="E36" s="115"/>
      <c r="F36" s="117">
        <f>SUM(F33:F35)</f>
        <v>0.96037543941879544</v>
      </c>
      <c r="G36" s="117">
        <f>SUM(G33:G35)</f>
        <v>57.622526365127726</v>
      </c>
      <c r="H36" s="10"/>
      <c r="J36" s="293">
        <f>SUM(J33:J35)</f>
        <v>0</v>
      </c>
      <c r="K36" s="117">
        <f>IF(AND(H6&gt;0,I2="K"),SUM(K33:K35),0)</f>
        <v>30.7075</v>
      </c>
      <c r="L36" s="10"/>
      <c r="N36" s="293">
        <f>SUM(N33:N35)</f>
        <v>0</v>
      </c>
      <c r="O36" s="117">
        <f>IF(AND(L6&gt;0,M2="K"),SUM(O33:O35),0)</f>
        <v>0</v>
      </c>
      <c r="P36" s="10"/>
      <c r="R36" s="293">
        <f>SUM(R33:R35)</f>
        <v>0</v>
      </c>
      <c r="S36" s="117">
        <f>IF(AND(P6&gt;0,Q2="K"),SUM(S33:S35),0)</f>
        <v>0</v>
      </c>
      <c r="T36" s="118">
        <f>SUM(F36,J36,N36,R36)</f>
        <v>0.96037543941879544</v>
      </c>
      <c r="U36" s="118">
        <f>SUM(G36,K36,O36,S36)</f>
        <v>88.330026365127722</v>
      </c>
    </row>
    <row r="37" spans="1:21" ht="13.5" thickBot="1" x14ac:dyDescent="0.25">
      <c r="B37" s="119" t="s">
        <v>135</v>
      </c>
      <c r="E37" s="592">
        <v>0.255</v>
      </c>
      <c r="F37" s="291">
        <f>E37*F36</f>
        <v>0.24489573705179285</v>
      </c>
      <c r="G37" s="291">
        <f>E37*G36</f>
        <v>14.69374422310757</v>
      </c>
      <c r="H37" s="10"/>
      <c r="I37" s="593">
        <f>$E$37</f>
        <v>0.255</v>
      </c>
      <c r="J37" s="291">
        <f>I37*J36</f>
        <v>0</v>
      </c>
      <c r="K37" s="291">
        <f>I37*K36</f>
        <v>7.8304125000000004</v>
      </c>
      <c r="L37" s="10"/>
      <c r="M37" s="593">
        <f>$E$37</f>
        <v>0.255</v>
      </c>
      <c r="N37" s="291">
        <f>M37*N36</f>
        <v>0</v>
      </c>
      <c r="O37" s="291">
        <f>M37*O36</f>
        <v>0</v>
      </c>
      <c r="P37" s="10"/>
      <c r="Q37" s="593">
        <f>$E$37</f>
        <v>0.255</v>
      </c>
      <c r="R37" s="291">
        <f>Q37*R36</f>
        <v>0</v>
      </c>
      <c r="S37" s="291">
        <f>Q37*S36</f>
        <v>0</v>
      </c>
      <c r="T37" s="120">
        <f>SUM(F37,J37,N37,R37)</f>
        <v>0.24489573705179285</v>
      </c>
      <c r="U37" s="120">
        <f>SUM(G37,K37,O37,S37)</f>
        <v>22.52415672310757</v>
      </c>
    </row>
    <row r="38" spans="1:21" ht="13.5" thickBot="1" x14ac:dyDescent="0.25">
      <c r="B38" s="121" t="s">
        <v>136</v>
      </c>
      <c r="C38" s="114"/>
      <c r="D38" s="114"/>
      <c r="E38" s="114"/>
      <c r="F38" s="110">
        <f>IF(E2="k",SUM(F36:F37),0)</f>
        <v>1.2052711764705883</v>
      </c>
      <c r="G38" s="110">
        <f>IF(E2="k",SUM(G36:G37),0)</f>
        <v>72.316270588235298</v>
      </c>
      <c r="H38" s="113"/>
      <c r="I38" s="114"/>
      <c r="J38" s="110">
        <f>IF(I2="k",SUM(J36:J37),0)</f>
        <v>0</v>
      </c>
      <c r="K38" s="110">
        <f>IF(I2="k",SUM(K36:K37),0)</f>
        <v>38.537912499999997</v>
      </c>
      <c r="L38" s="113"/>
      <c r="M38" s="114"/>
      <c r="N38" s="110">
        <f>IF(M2="k",SUM(N36:N37),0)</f>
        <v>0</v>
      </c>
      <c r="O38" s="110">
        <f>IF(M2="k",SUM(O36:O37),0)</f>
        <v>0</v>
      </c>
      <c r="P38" s="113"/>
      <c r="Q38" s="114"/>
      <c r="R38" s="110">
        <f>IF(Q2="k",SUM(R36:R37),0)</f>
        <v>0</v>
      </c>
      <c r="S38" s="110">
        <f>IF(Q2="k",SUM(S36:S37),0)</f>
        <v>0</v>
      </c>
      <c r="T38" s="207">
        <f>SUM(F38,J38,N38,R38)</f>
        <v>1.2052711764705883</v>
      </c>
      <c r="U38" s="207">
        <f t="shared" si="0"/>
        <v>110.85418308823529</v>
      </c>
    </row>
    <row r="39" spans="1:21" ht="13.5" thickBot="1" x14ac:dyDescent="0.25">
      <c r="T39" s="305" t="s">
        <v>409</v>
      </c>
      <c r="U39" s="306" t="s">
        <v>410</v>
      </c>
    </row>
    <row r="41" spans="1:21" x14ac:dyDescent="0.2">
      <c r="B41" s="4" t="s">
        <v>139</v>
      </c>
      <c r="C41" s="317" t="str">
        <f>Ohjeet!$C$2</f>
        <v>2024.12</v>
      </c>
      <c r="R41" s="318">
        <v>10</v>
      </c>
      <c r="S41" s="319" t="s">
        <v>412</v>
      </c>
      <c r="T41" s="668">
        <f>$T$31/R41</f>
        <v>8477.3412350597609</v>
      </c>
      <c r="U41" s="160" t="s">
        <v>413</v>
      </c>
    </row>
    <row r="42" spans="1:21" x14ac:dyDescent="0.2">
      <c r="R42" s="318">
        <v>4</v>
      </c>
      <c r="S42" s="319" t="s">
        <v>414</v>
      </c>
      <c r="T42" s="668">
        <f>T41/R42</f>
        <v>2119.3353087649402</v>
      </c>
      <c r="U42" s="160" t="s">
        <v>415</v>
      </c>
    </row>
    <row r="43" spans="1:21" x14ac:dyDescent="0.2">
      <c r="R43" s="318">
        <v>5</v>
      </c>
      <c r="S43" s="319" t="s">
        <v>416</v>
      </c>
      <c r="T43" s="668">
        <f>T42/R43</f>
        <v>423.86706175298804</v>
      </c>
      <c r="U43" s="160" t="s">
        <v>417</v>
      </c>
    </row>
    <row r="44" spans="1:21" x14ac:dyDescent="0.2">
      <c r="R44" s="318">
        <v>8</v>
      </c>
      <c r="S44" s="319" t="s">
        <v>325</v>
      </c>
      <c r="T44" s="668">
        <f>T43/R44</f>
        <v>52.983382719123505</v>
      </c>
      <c r="U44" s="160" t="s">
        <v>418</v>
      </c>
    </row>
  </sheetData>
  <sheetProtection sheet="1" formatCells="0" formatColumns="0" formatRows="0"/>
  <mergeCells count="18">
    <mergeCell ref="C27:E27"/>
    <mergeCell ref="C28:E28"/>
    <mergeCell ref="C29:E29"/>
    <mergeCell ref="A6:B6"/>
    <mergeCell ref="E1:G1"/>
    <mergeCell ref="E3:F3"/>
    <mergeCell ref="I3:J3"/>
    <mergeCell ref="M3:N3"/>
    <mergeCell ref="Q3:R3"/>
    <mergeCell ref="A5:B5"/>
    <mergeCell ref="H1:J1"/>
    <mergeCell ref="L1:N1"/>
    <mergeCell ref="P1:R1"/>
    <mergeCell ref="A2:B2"/>
    <mergeCell ref="E2:F2"/>
    <mergeCell ref="I2:J2"/>
    <mergeCell ref="M2:N2"/>
    <mergeCell ref="Q2:R2"/>
  </mergeCell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Ohjeet!$A$63:$A$68</xm:f>
          </x14:formula1>
          <xm:sqref>V25</xm:sqref>
        </x14:dataValidation>
        <x14:dataValidation type="list" allowBlank="1" showInputMessage="1" showErrorMessage="1" xr:uid="{00000000-0002-0000-0700-000001000000}">
          <x14:formula1>
            <xm:f>Laskentayksikot!$E$2:$E$3</xm:f>
          </x14:formula1>
          <xm:sqref>E2:F2 I2:J2 M2:N2 Q2:R2</xm:sqref>
        </x14:dataValidation>
        <x14:dataValidation type="list" allowBlank="1" showInputMessage="1" showErrorMessage="1" xr:uid="{BAE1912A-40A9-4F7B-99CE-234F6B67E1BD}">
          <x14:formula1>
            <xm:f>Laskentayksikot!$E$7:$E$8</xm:f>
          </x14:formula1>
          <xm:sqref>D2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EF2-9FC5-4575-9928-F5FC5F7C88DD}">
  <sheetPr>
    <pageSetUpPr fitToPage="1"/>
  </sheetPr>
  <dimension ref="A1:V30"/>
  <sheetViews>
    <sheetView topLeftCell="A23" zoomScale="110" zoomScaleNormal="110" zoomScaleSheetLayoutView="100" workbookViewId="0">
      <selection activeCell="M38" sqref="M38"/>
    </sheetView>
  </sheetViews>
  <sheetFormatPr defaultRowHeight="15" x14ac:dyDescent="0.25"/>
  <cols>
    <col min="1" max="1" width="32.140625" style="799" customWidth="1"/>
    <col min="2" max="2" width="15.140625" style="799" customWidth="1"/>
    <col min="3" max="17" width="5.42578125" style="799" customWidth="1"/>
    <col min="18" max="19" width="9.140625" style="799"/>
    <col min="20" max="20" width="18.28515625" style="799" customWidth="1"/>
    <col min="21" max="21" width="9.140625" style="799"/>
    <col min="22" max="22" width="10.5703125" style="799" customWidth="1"/>
    <col min="23" max="16384" width="9.140625" style="799"/>
  </cols>
  <sheetData>
    <row r="1" spans="1:22" ht="18.75" customHeight="1" x14ac:dyDescent="0.25">
      <c r="C1" s="1174" t="s">
        <v>599</v>
      </c>
      <c r="D1" s="1174" t="s">
        <v>598</v>
      </c>
      <c r="E1" s="1174" t="s">
        <v>557</v>
      </c>
      <c r="F1" s="1174" t="s">
        <v>600</v>
      </c>
      <c r="G1" s="1174" t="s">
        <v>561</v>
      </c>
      <c r="H1" s="1174" t="s">
        <v>562</v>
      </c>
      <c r="I1" s="1174" t="s">
        <v>563</v>
      </c>
      <c r="J1" s="1174" t="s">
        <v>589</v>
      </c>
      <c r="K1" s="1174" t="s">
        <v>590</v>
      </c>
      <c r="L1" s="1174" t="s">
        <v>591</v>
      </c>
      <c r="M1" s="1174" t="s">
        <v>592</v>
      </c>
      <c r="N1" s="1174" t="s">
        <v>593</v>
      </c>
      <c r="O1" s="1174" t="s">
        <v>564</v>
      </c>
      <c r="P1" s="1174" t="s">
        <v>565</v>
      </c>
      <c r="Q1" s="1174"/>
      <c r="R1" s="1179" t="s">
        <v>566</v>
      </c>
      <c r="S1" s="1183" t="s">
        <v>567</v>
      </c>
      <c r="U1" s="1179" t="s">
        <v>642</v>
      </c>
      <c r="V1" s="1181" t="s">
        <v>643</v>
      </c>
    </row>
    <row r="2" spans="1:22" ht="18.75" x14ac:dyDescent="0.3">
      <c r="A2" s="800" t="s">
        <v>568</v>
      </c>
      <c r="B2" s="800"/>
      <c r="C2" s="1174"/>
      <c r="D2" s="1174"/>
      <c r="E2" s="1174"/>
      <c r="F2" s="1174"/>
      <c r="G2" s="1174"/>
      <c r="H2" s="1174"/>
      <c r="I2" s="1174"/>
      <c r="J2" s="1174"/>
      <c r="K2" s="1174"/>
      <c r="L2" s="1174"/>
      <c r="M2" s="1174"/>
      <c r="N2" s="1174"/>
      <c r="O2" s="1174"/>
      <c r="P2" s="1174"/>
      <c r="Q2" s="1174"/>
      <c r="R2" s="1179"/>
      <c r="S2" s="1183"/>
      <c r="U2" s="1179"/>
      <c r="V2" s="1181"/>
    </row>
    <row r="3" spans="1:22" ht="53.25" customHeight="1" thickBot="1" x14ac:dyDescent="0.35">
      <c r="A3" s="801"/>
      <c r="B3" s="801"/>
      <c r="C3" s="1175"/>
      <c r="D3" s="1175"/>
      <c r="E3" s="1175"/>
      <c r="F3" s="1175"/>
      <c r="G3" s="1175"/>
      <c r="H3" s="1175"/>
      <c r="I3" s="1175"/>
      <c r="J3" s="1175"/>
      <c r="K3" s="1175"/>
      <c r="L3" s="1175"/>
      <c r="M3" s="1175"/>
      <c r="N3" s="1175"/>
      <c r="O3" s="1175"/>
      <c r="P3" s="1175"/>
      <c r="Q3" s="1175"/>
      <c r="R3" s="1180"/>
      <c r="S3" s="1184"/>
      <c r="U3" s="1180"/>
      <c r="V3" s="1182"/>
    </row>
    <row r="4" spans="1:22" ht="27" customHeight="1" thickBot="1" x14ac:dyDescent="0.35">
      <c r="A4" s="801"/>
      <c r="B4" s="1176" t="s">
        <v>569</v>
      </c>
      <c r="C4" s="1177"/>
      <c r="D4" s="1177"/>
      <c r="E4" s="1177"/>
      <c r="F4" s="1177"/>
      <c r="G4" s="1177"/>
      <c r="H4" s="1177"/>
      <c r="I4" s="1177"/>
      <c r="J4" s="1177"/>
      <c r="K4" s="1177"/>
      <c r="L4" s="1177"/>
      <c r="M4" s="1177"/>
      <c r="N4" s="1177"/>
      <c r="O4" s="1177"/>
      <c r="P4" s="1177"/>
      <c r="Q4" s="1177"/>
      <c r="R4" s="1177"/>
      <c r="S4" s="1178"/>
      <c r="U4" s="851" t="s">
        <v>645</v>
      </c>
      <c r="V4" s="852" t="s">
        <v>644</v>
      </c>
    </row>
    <row r="5" spans="1:22" ht="18.75" x14ac:dyDescent="0.3">
      <c r="A5" s="801" t="s">
        <v>570</v>
      </c>
      <c r="B5" s="802">
        <v>31</v>
      </c>
      <c r="C5" s="818">
        <v>3</v>
      </c>
      <c r="D5" s="818">
        <v>3</v>
      </c>
      <c r="E5" s="818">
        <v>0</v>
      </c>
      <c r="F5" s="818">
        <v>0</v>
      </c>
      <c r="G5" s="818">
        <v>0</v>
      </c>
      <c r="H5" s="818">
        <v>0</v>
      </c>
      <c r="I5" s="818">
        <v>0</v>
      </c>
      <c r="J5" s="818">
        <v>0</v>
      </c>
      <c r="K5" s="818">
        <v>0</v>
      </c>
      <c r="L5" s="818">
        <v>0</v>
      </c>
      <c r="M5" s="818">
        <v>0</v>
      </c>
      <c r="N5" s="818">
        <v>0</v>
      </c>
      <c r="O5" s="818">
        <v>0</v>
      </c>
      <c r="P5" s="818">
        <v>0</v>
      </c>
      <c r="Q5" s="818">
        <v>0</v>
      </c>
      <c r="R5" s="803">
        <f>SUM(C5:Q5)</f>
        <v>6</v>
      </c>
      <c r="S5" s="803">
        <f>B5-R5</f>
        <v>25</v>
      </c>
      <c r="T5" s="847" t="s">
        <v>639</v>
      </c>
      <c r="U5" s="850"/>
      <c r="V5" s="853" t="str">
        <f>IF(U5&gt;0,R5/U5,"")</f>
        <v/>
      </c>
    </row>
    <row r="6" spans="1:22" ht="18.75" x14ac:dyDescent="0.3">
      <c r="A6" s="801" t="s">
        <v>571</v>
      </c>
      <c r="B6" s="804">
        <v>28</v>
      </c>
      <c r="C6" s="818">
        <v>3</v>
      </c>
      <c r="D6" s="818">
        <v>3</v>
      </c>
      <c r="E6" s="818">
        <v>0</v>
      </c>
      <c r="F6" s="818">
        <v>0</v>
      </c>
      <c r="G6" s="818">
        <v>0</v>
      </c>
      <c r="H6" s="818">
        <v>0</v>
      </c>
      <c r="I6" s="818">
        <v>0</v>
      </c>
      <c r="J6" s="818">
        <v>0</v>
      </c>
      <c r="K6" s="818">
        <v>0</v>
      </c>
      <c r="L6" s="818">
        <v>0</v>
      </c>
      <c r="M6" s="818">
        <v>0</v>
      </c>
      <c r="N6" s="818">
        <v>0</v>
      </c>
      <c r="O6" s="818">
        <v>0</v>
      </c>
      <c r="P6" s="818">
        <v>0</v>
      </c>
      <c r="Q6" s="818">
        <v>0</v>
      </c>
      <c r="R6" s="805">
        <f t="shared" ref="R6:R16" si="0">SUM(C6:Q6)</f>
        <v>6</v>
      </c>
      <c r="S6" s="805">
        <f t="shared" ref="S6:S16" si="1">B6-R6</f>
        <v>22</v>
      </c>
      <c r="T6" s="847" t="s">
        <v>639</v>
      </c>
      <c r="U6" s="848">
        <v>15</v>
      </c>
      <c r="V6" s="853">
        <f t="shared" ref="V6:V16" si="2">IF(U6&gt;0,R6/U6,"")</f>
        <v>0.4</v>
      </c>
    </row>
    <row r="7" spans="1:22" ht="18.75" x14ac:dyDescent="0.3">
      <c r="A7" s="801" t="s">
        <v>572</v>
      </c>
      <c r="B7" s="804">
        <v>31</v>
      </c>
      <c r="C7" s="818">
        <v>3</v>
      </c>
      <c r="D7" s="818">
        <v>3</v>
      </c>
      <c r="E7" s="818">
        <v>0</v>
      </c>
      <c r="F7" s="818">
        <v>0</v>
      </c>
      <c r="G7" s="818">
        <v>0</v>
      </c>
      <c r="H7" s="818">
        <v>0</v>
      </c>
      <c r="I7" s="818">
        <v>0</v>
      </c>
      <c r="J7" s="818">
        <v>0</v>
      </c>
      <c r="K7" s="818">
        <v>0</v>
      </c>
      <c r="L7" s="818">
        <v>0</v>
      </c>
      <c r="M7" s="818">
        <v>0</v>
      </c>
      <c r="N7" s="818">
        <v>0</v>
      </c>
      <c r="O7" s="818">
        <v>0</v>
      </c>
      <c r="P7" s="818">
        <v>0</v>
      </c>
      <c r="Q7" s="818">
        <v>0</v>
      </c>
      <c r="R7" s="805">
        <f t="shared" si="0"/>
        <v>6</v>
      </c>
      <c r="S7" s="805">
        <f t="shared" si="1"/>
        <v>25</v>
      </c>
      <c r="T7" s="847" t="s">
        <v>639</v>
      </c>
      <c r="U7" s="848"/>
      <c r="V7" s="853" t="str">
        <f t="shared" si="2"/>
        <v/>
      </c>
    </row>
    <row r="8" spans="1:22" ht="18.75" x14ac:dyDescent="0.3">
      <c r="A8" s="801" t="s">
        <v>573</v>
      </c>
      <c r="B8" s="804">
        <v>30</v>
      </c>
      <c r="C8" s="818">
        <v>0</v>
      </c>
      <c r="D8" s="818">
        <v>0</v>
      </c>
      <c r="E8" s="818">
        <v>0</v>
      </c>
      <c r="F8" s="818">
        <v>0</v>
      </c>
      <c r="G8" s="818">
        <v>0</v>
      </c>
      <c r="H8" s="818">
        <v>0</v>
      </c>
      <c r="I8" s="818">
        <v>0</v>
      </c>
      <c r="J8" s="818">
        <v>0</v>
      </c>
      <c r="K8" s="818">
        <v>0</v>
      </c>
      <c r="L8" s="818">
        <v>0</v>
      </c>
      <c r="M8" s="818">
        <v>0</v>
      </c>
      <c r="N8" s="818">
        <v>0</v>
      </c>
      <c r="O8" s="818">
        <v>0</v>
      </c>
      <c r="P8" s="818">
        <v>0</v>
      </c>
      <c r="Q8" s="818">
        <v>0</v>
      </c>
      <c r="R8" s="805">
        <f t="shared" si="0"/>
        <v>0</v>
      </c>
      <c r="S8" s="805">
        <f t="shared" si="1"/>
        <v>30</v>
      </c>
      <c r="T8" s="847"/>
      <c r="U8" s="848"/>
      <c r="V8" s="853" t="str">
        <f t="shared" si="2"/>
        <v/>
      </c>
    </row>
    <row r="9" spans="1:22" ht="18.75" x14ac:dyDescent="0.3">
      <c r="A9" s="801" t="s">
        <v>574</v>
      </c>
      <c r="B9" s="804">
        <v>31</v>
      </c>
      <c r="C9" s="818">
        <v>0</v>
      </c>
      <c r="D9" s="818">
        <v>6</v>
      </c>
      <c r="E9" s="818">
        <v>0</v>
      </c>
      <c r="F9" s="818">
        <v>0</v>
      </c>
      <c r="G9" s="818">
        <v>0</v>
      </c>
      <c r="H9" s="818">
        <v>0</v>
      </c>
      <c r="I9" s="818">
        <v>0</v>
      </c>
      <c r="J9" s="818">
        <v>0</v>
      </c>
      <c r="K9" s="818">
        <v>0</v>
      </c>
      <c r="L9" s="818">
        <v>0</v>
      </c>
      <c r="M9" s="818">
        <v>0</v>
      </c>
      <c r="N9" s="818">
        <v>0</v>
      </c>
      <c r="O9" s="818">
        <v>0</v>
      </c>
      <c r="P9" s="818">
        <v>0</v>
      </c>
      <c r="Q9" s="818">
        <v>0</v>
      </c>
      <c r="R9" s="805">
        <f t="shared" si="0"/>
        <v>6</v>
      </c>
      <c r="S9" s="805">
        <f t="shared" si="1"/>
        <v>25</v>
      </c>
      <c r="T9" s="847" t="s">
        <v>640</v>
      </c>
      <c r="U9" s="848"/>
      <c r="V9" s="853" t="str">
        <f t="shared" si="2"/>
        <v/>
      </c>
    </row>
    <row r="10" spans="1:22" ht="30.75" x14ac:dyDescent="0.3">
      <c r="A10" s="801" t="s">
        <v>575</v>
      </c>
      <c r="B10" s="804">
        <v>30</v>
      </c>
      <c r="C10" s="818">
        <v>0</v>
      </c>
      <c r="D10" s="818">
        <v>6</v>
      </c>
      <c r="E10" s="818">
        <v>6</v>
      </c>
      <c r="F10" s="818">
        <v>2</v>
      </c>
      <c r="G10" s="818">
        <v>0</v>
      </c>
      <c r="H10" s="818">
        <v>0</v>
      </c>
      <c r="I10" s="818">
        <v>0</v>
      </c>
      <c r="J10" s="818">
        <v>0</v>
      </c>
      <c r="K10" s="818">
        <v>0</v>
      </c>
      <c r="L10" s="818">
        <v>5</v>
      </c>
      <c r="M10" s="818">
        <v>0</v>
      </c>
      <c r="N10" s="818">
        <v>0</v>
      </c>
      <c r="O10" s="818">
        <v>0</v>
      </c>
      <c r="P10" s="818">
        <v>0</v>
      </c>
      <c r="Q10" s="818">
        <v>0</v>
      </c>
      <c r="R10" s="805">
        <f t="shared" si="0"/>
        <v>19</v>
      </c>
      <c r="S10" s="805">
        <f t="shared" si="1"/>
        <v>11</v>
      </c>
      <c r="T10" s="847" t="s">
        <v>641</v>
      </c>
      <c r="U10" s="848"/>
      <c r="V10" s="853" t="str">
        <f t="shared" si="2"/>
        <v/>
      </c>
    </row>
    <row r="11" spans="1:22" ht="18.75" x14ac:dyDescent="0.3">
      <c r="A11" s="801" t="s">
        <v>576</v>
      </c>
      <c r="B11" s="804">
        <v>31</v>
      </c>
      <c r="C11" s="818">
        <v>0</v>
      </c>
      <c r="D11" s="818">
        <v>0</v>
      </c>
      <c r="E11" s="818">
        <v>6</v>
      </c>
      <c r="F11" s="818">
        <v>5</v>
      </c>
      <c r="G11" s="818">
        <v>0</v>
      </c>
      <c r="H11" s="818">
        <v>0</v>
      </c>
      <c r="I11" s="818">
        <v>0</v>
      </c>
      <c r="J11" s="818">
        <v>0</v>
      </c>
      <c r="K11" s="818">
        <v>0</v>
      </c>
      <c r="L11" s="818">
        <v>0</v>
      </c>
      <c r="M11" s="818">
        <v>0</v>
      </c>
      <c r="N11" s="818">
        <v>0</v>
      </c>
      <c r="O11" s="818">
        <v>0</v>
      </c>
      <c r="P11" s="818">
        <v>0</v>
      </c>
      <c r="Q11" s="818">
        <v>0</v>
      </c>
      <c r="R11" s="805">
        <f t="shared" si="0"/>
        <v>11</v>
      </c>
      <c r="S11" s="805">
        <f t="shared" si="1"/>
        <v>20</v>
      </c>
      <c r="T11" s="847" t="s">
        <v>600</v>
      </c>
      <c r="U11" s="848"/>
      <c r="V11" s="853" t="str">
        <f t="shared" si="2"/>
        <v/>
      </c>
    </row>
    <row r="12" spans="1:22" ht="18.75" x14ac:dyDescent="0.3">
      <c r="A12" s="801" t="s">
        <v>577</v>
      </c>
      <c r="B12" s="804">
        <v>31</v>
      </c>
      <c r="C12" s="818">
        <v>0</v>
      </c>
      <c r="D12" s="818">
        <v>6</v>
      </c>
      <c r="E12" s="818">
        <v>6</v>
      </c>
      <c r="F12" s="818">
        <v>5</v>
      </c>
      <c r="G12" s="818">
        <v>0</v>
      </c>
      <c r="H12" s="818">
        <v>0</v>
      </c>
      <c r="I12" s="818">
        <v>0</v>
      </c>
      <c r="J12" s="818">
        <v>0</v>
      </c>
      <c r="K12" s="818">
        <v>0</v>
      </c>
      <c r="L12" s="818">
        <v>0</v>
      </c>
      <c r="M12" s="818">
        <v>0</v>
      </c>
      <c r="N12" s="818">
        <v>0</v>
      </c>
      <c r="O12" s="818">
        <v>0</v>
      </c>
      <c r="P12" s="818">
        <v>0</v>
      </c>
      <c r="Q12" s="818">
        <v>0</v>
      </c>
      <c r="R12" s="805">
        <f t="shared" si="0"/>
        <v>17</v>
      </c>
      <c r="S12" s="805">
        <f t="shared" si="1"/>
        <v>14</v>
      </c>
      <c r="T12" s="847" t="s">
        <v>557</v>
      </c>
      <c r="U12" s="848"/>
      <c r="V12" s="853" t="str">
        <f t="shared" si="2"/>
        <v/>
      </c>
    </row>
    <row r="13" spans="1:22" ht="18.75" x14ac:dyDescent="0.3">
      <c r="A13" s="801" t="s">
        <v>578</v>
      </c>
      <c r="B13" s="804">
        <v>30</v>
      </c>
      <c r="C13" s="818">
        <v>0</v>
      </c>
      <c r="D13" s="818">
        <v>6</v>
      </c>
      <c r="E13" s="818">
        <v>4</v>
      </c>
      <c r="F13" s="818">
        <v>0</v>
      </c>
      <c r="G13" s="818">
        <v>0</v>
      </c>
      <c r="H13" s="818">
        <v>0</v>
      </c>
      <c r="I13" s="818">
        <v>0</v>
      </c>
      <c r="J13" s="818">
        <v>0</v>
      </c>
      <c r="K13" s="818">
        <v>0</v>
      </c>
      <c r="L13" s="818">
        <v>0</v>
      </c>
      <c r="M13" s="818">
        <v>0</v>
      </c>
      <c r="N13" s="818">
        <v>0</v>
      </c>
      <c r="O13" s="818">
        <v>0</v>
      </c>
      <c r="P13" s="818">
        <v>0</v>
      </c>
      <c r="Q13" s="818">
        <v>0</v>
      </c>
      <c r="R13" s="805">
        <f t="shared" si="0"/>
        <v>10</v>
      </c>
      <c r="S13" s="805">
        <f t="shared" si="1"/>
        <v>20</v>
      </c>
      <c r="T13" s="847" t="s">
        <v>557</v>
      </c>
      <c r="U13" s="848"/>
      <c r="V13" s="853" t="str">
        <f t="shared" si="2"/>
        <v/>
      </c>
    </row>
    <row r="14" spans="1:22" ht="18.75" x14ac:dyDescent="0.3">
      <c r="A14" s="801" t="s">
        <v>579</v>
      </c>
      <c r="B14" s="804">
        <v>31</v>
      </c>
      <c r="C14" s="818">
        <v>0</v>
      </c>
      <c r="D14" s="818">
        <v>0</v>
      </c>
      <c r="E14" s="818">
        <v>0</v>
      </c>
      <c r="F14" s="818">
        <v>0</v>
      </c>
      <c r="G14" s="818">
        <v>0</v>
      </c>
      <c r="H14" s="818">
        <v>0</v>
      </c>
      <c r="I14" s="818">
        <v>0</v>
      </c>
      <c r="J14" s="818">
        <v>0</v>
      </c>
      <c r="K14" s="818">
        <v>0</v>
      </c>
      <c r="L14" s="818">
        <v>0</v>
      </c>
      <c r="M14" s="818">
        <v>0</v>
      </c>
      <c r="N14" s="818">
        <v>0</v>
      </c>
      <c r="O14" s="818">
        <v>0</v>
      </c>
      <c r="P14" s="818">
        <v>0</v>
      </c>
      <c r="Q14" s="818">
        <v>0</v>
      </c>
      <c r="R14" s="805">
        <f t="shared" si="0"/>
        <v>0</v>
      </c>
      <c r="S14" s="805">
        <f t="shared" si="1"/>
        <v>31</v>
      </c>
      <c r="T14" s="847"/>
      <c r="U14" s="848"/>
      <c r="V14" s="853" t="str">
        <f t="shared" si="2"/>
        <v/>
      </c>
    </row>
    <row r="15" spans="1:22" ht="18.75" x14ac:dyDescent="0.3">
      <c r="A15" s="801" t="s">
        <v>580</v>
      </c>
      <c r="B15" s="804">
        <v>30</v>
      </c>
      <c r="C15" s="818">
        <v>2</v>
      </c>
      <c r="D15" s="818">
        <v>3</v>
      </c>
      <c r="E15" s="818">
        <v>0</v>
      </c>
      <c r="F15" s="818">
        <v>0</v>
      </c>
      <c r="G15" s="818">
        <v>0</v>
      </c>
      <c r="H15" s="818">
        <v>0</v>
      </c>
      <c r="I15" s="818">
        <v>0</v>
      </c>
      <c r="J15" s="818">
        <v>0</v>
      </c>
      <c r="K15" s="818">
        <v>0</v>
      </c>
      <c r="L15" s="818">
        <v>0</v>
      </c>
      <c r="M15" s="818">
        <v>0</v>
      </c>
      <c r="N15" s="818">
        <v>0</v>
      </c>
      <c r="O15" s="818">
        <v>0</v>
      </c>
      <c r="P15" s="818">
        <v>0</v>
      </c>
      <c r="Q15" s="818">
        <v>0</v>
      </c>
      <c r="R15" s="805">
        <f t="shared" si="0"/>
        <v>5</v>
      </c>
      <c r="S15" s="805">
        <f t="shared" si="1"/>
        <v>25</v>
      </c>
      <c r="T15" s="847" t="s">
        <v>639</v>
      </c>
      <c r="U15" s="848"/>
      <c r="V15" s="853" t="str">
        <f t="shared" si="2"/>
        <v/>
      </c>
    </row>
    <row r="16" spans="1:22" ht="18.75" x14ac:dyDescent="0.3">
      <c r="A16" s="801" t="s">
        <v>581</v>
      </c>
      <c r="B16" s="804">
        <v>31</v>
      </c>
      <c r="C16" s="818">
        <v>3</v>
      </c>
      <c r="D16" s="818">
        <v>4</v>
      </c>
      <c r="E16" s="818">
        <v>0</v>
      </c>
      <c r="F16" s="818">
        <v>0</v>
      </c>
      <c r="G16" s="818">
        <v>0</v>
      </c>
      <c r="H16" s="818">
        <v>0</v>
      </c>
      <c r="I16" s="818">
        <v>0</v>
      </c>
      <c r="J16" s="818">
        <v>0</v>
      </c>
      <c r="K16" s="818">
        <v>0</v>
      </c>
      <c r="L16" s="818">
        <v>0</v>
      </c>
      <c r="M16" s="818">
        <v>0</v>
      </c>
      <c r="N16" s="818">
        <v>0</v>
      </c>
      <c r="O16" s="818">
        <v>0</v>
      </c>
      <c r="P16" s="818">
        <v>0</v>
      </c>
      <c r="Q16" s="818">
        <v>0</v>
      </c>
      <c r="R16" s="805">
        <f t="shared" si="0"/>
        <v>7</v>
      </c>
      <c r="S16" s="805">
        <f t="shared" si="1"/>
        <v>24</v>
      </c>
      <c r="T16" s="847" t="s">
        <v>639</v>
      </c>
      <c r="U16" s="848"/>
      <c r="V16" s="853" t="str">
        <f t="shared" si="2"/>
        <v/>
      </c>
    </row>
    <row r="17" spans="1:21" ht="15.75" thickBot="1" x14ac:dyDescent="0.3">
      <c r="A17" s="806" t="s">
        <v>82</v>
      </c>
      <c r="B17" s="815">
        <f>SUM(B5:B16)</f>
        <v>365</v>
      </c>
      <c r="C17" s="808">
        <f>SUM(C5:C16)</f>
        <v>14</v>
      </c>
      <c r="D17" s="808">
        <f t="shared" ref="D17:G17" si="3">SUM(D5:D16)</f>
        <v>40</v>
      </c>
      <c r="E17" s="808">
        <f t="shared" si="3"/>
        <v>22</v>
      </c>
      <c r="F17" s="808">
        <f t="shared" si="3"/>
        <v>12</v>
      </c>
      <c r="G17" s="808">
        <f t="shared" si="3"/>
        <v>0</v>
      </c>
      <c r="H17" s="808">
        <f t="shared" ref="H17:Q17" si="4">SUM(H5:H16)</f>
        <v>0</v>
      </c>
      <c r="I17" s="808">
        <f t="shared" si="4"/>
        <v>0</v>
      </c>
      <c r="J17" s="808">
        <f t="shared" si="4"/>
        <v>0</v>
      </c>
      <c r="K17" s="808">
        <f t="shared" si="4"/>
        <v>0</v>
      </c>
      <c r="L17" s="808">
        <f t="shared" si="4"/>
        <v>5</v>
      </c>
      <c r="M17" s="808">
        <f t="shared" si="4"/>
        <v>0</v>
      </c>
      <c r="N17" s="808">
        <f t="shared" si="4"/>
        <v>0</v>
      </c>
      <c r="O17" s="808">
        <f t="shared" si="4"/>
        <v>0</v>
      </c>
      <c r="P17" s="808">
        <f t="shared" si="4"/>
        <v>0</v>
      </c>
      <c r="Q17" s="808">
        <f t="shared" si="4"/>
        <v>0</v>
      </c>
      <c r="R17" s="808">
        <f>SUM(R5:R16)</f>
        <v>93</v>
      </c>
      <c r="S17" s="808">
        <f>SUM(S5:S16)</f>
        <v>272</v>
      </c>
    </row>
    <row r="18" spans="1:21" x14ac:dyDescent="0.25">
      <c r="B18" s="817" t="s">
        <v>197</v>
      </c>
      <c r="C18" s="805">
        <f>C17*$C$20</f>
        <v>112</v>
      </c>
      <c r="D18" s="805">
        <f t="shared" ref="D18:G18" si="5">D17*$C$20</f>
        <v>320</v>
      </c>
      <c r="E18" s="805">
        <f t="shared" si="5"/>
        <v>176</v>
      </c>
      <c r="F18" s="805">
        <f t="shared" si="5"/>
        <v>96</v>
      </c>
      <c r="G18" s="805">
        <f t="shared" si="5"/>
        <v>0</v>
      </c>
      <c r="H18" s="805">
        <f t="shared" ref="H18" si="6">H17*$C$20</f>
        <v>0</v>
      </c>
      <c r="I18" s="805">
        <f t="shared" ref="I18" si="7">I17*$C$20</f>
        <v>0</v>
      </c>
      <c r="J18" s="805">
        <f t="shared" ref="J18" si="8">J17*$C$20</f>
        <v>0</v>
      </c>
      <c r="K18" s="805">
        <f t="shared" ref="K18" si="9">K17*$C$20</f>
        <v>0</v>
      </c>
      <c r="L18" s="805">
        <f t="shared" ref="L18" si="10">L17*$C$20</f>
        <v>40</v>
      </c>
      <c r="M18" s="805">
        <f t="shared" ref="M18" si="11">M17*$C$20</f>
        <v>0</v>
      </c>
      <c r="N18" s="805">
        <f t="shared" ref="N18" si="12">N17*$C$20</f>
        <v>0</v>
      </c>
      <c r="O18" s="805">
        <f t="shared" ref="O18" si="13">O17*$C$20</f>
        <v>0</v>
      </c>
      <c r="P18" s="805">
        <f t="shared" ref="P18" si="14">P17*$C$20</f>
        <v>0</v>
      </c>
      <c r="Q18" s="805">
        <f t="shared" ref="Q18" si="15">Q17*$C$20</f>
        <v>0</v>
      </c>
      <c r="R18" s="819">
        <f>SUM(C18:Q18)</f>
        <v>744</v>
      </c>
      <c r="U18" s="849">
        <f>SUM(U5:U16)</f>
        <v>15</v>
      </c>
    </row>
    <row r="19" spans="1:21" x14ac:dyDescent="0.25">
      <c r="A19" s="799" t="s">
        <v>582</v>
      </c>
      <c r="C19" s="807"/>
      <c r="D19" s="816">
        <f>SUM(C17:Q17)</f>
        <v>93</v>
      </c>
      <c r="E19" s="799" t="s">
        <v>219</v>
      </c>
    </row>
    <row r="20" spans="1:21" x14ac:dyDescent="0.25">
      <c r="A20" s="809" t="s">
        <v>583</v>
      </c>
      <c r="B20" s="809"/>
      <c r="C20" s="810">
        <v>8</v>
      </c>
      <c r="D20" s="808">
        <f>D19*C20</f>
        <v>744</v>
      </c>
      <c r="E20" s="799" t="s">
        <v>228</v>
      </c>
      <c r="H20" s="811"/>
      <c r="I20" s="811"/>
      <c r="J20" s="811"/>
      <c r="K20" s="811"/>
      <c r="L20" s="811"/>
      <c r="M20" s="811"/>
    </row>
    <row r="21" spans="1:21" x14ac:dyDescent="0.25">
      <c r="A21" s="809" t="s">
        <v>584</v>
      </c>
      <c r="B21" s="809"/>
      <c r="C21" s="812">
        <v>5</v>
      </c>
      <c r="D21" s="808">
        <f>D19/C21</f>
        <v>18.600000000000001</v>
      </c>
      <c r="E21" s="799" t="s">
        <v>585</v>
      </c>
    </row>
    <row r="22" spans="1:21" x14ac:dyDescent="0.25">
      <c r="A22" s="799" t="s">
        <v>586</v>
      </c>
      <c r="D22" s="808">
        <f>B17-R17</f>
        <v>272</v>
      </c>
      <c r="E22" s="799" t="s">
        <v>219</v>
      </c>
    </row>
    <row r="23" spans="1:21" x14ac:dyDescent="0.25">
      <c r="A23" s="799" t="s">
        <v>587</v>
      </c>
      <c r="B23" s="1172">
        <v>1</v>
      </c>
      <c r="C23" s="1173"/>
      <c r="D23" s="808">
        <f>D19*B23</f>
        <v>93</v>
      </c>
      <c r="E23" s="799" t="s">
        <v>219</v>
      </c>
    </row>
    <row r="24" spans="1:21" x14ac:dyDescent="0.25">
      <c r="A24" s="799" t="s">
        <v>588</v>
      </c>
      <c r="D24" s="813">
        <f>D23*C20</f>
        <v>744</v>
      </c>
      <c r="E24" s="799" t="s">
        <v>228</v>
      </c>
    </row>
    <row r="28" spans="1:21" x14ac:dyDescent="0.25">
      <c r="B28" s="814"/>
    </row>
    <row r="29" spans="1:21" x14ac:dyDescent="0.25">
      <c r="B29" s="814"/>
    </row>
    <row r="30" spans="1:21" x14ac:dyDescent="0.25">
      <c r="B30" s="814"/>
    </row>
  </sheetData>
  <sheetProtection formatCells="0" formatColumns="0" formatRows="0"/>
  <mergeCells count="21">
    <mergeCell ref="U1:U3"/>
    <mergeCell ref="V1:V3"/>
    <mergeCell ref="M1:M3"/>
    <mergeCell ref="N1:N3"/>
    <mergeCell ref="O1:O3"/>
    <mergeCell ref="P1:P3"/>
    <mergeCell ref="Q1:Q3"/>
    <mergeCell ref="R1:R3"/>
    <mergeCell ref="S1:S3"/>
    <mergeCell ref="B23:C23"/>
    <mergeCell ref="I1:I3"/>
    <mergeCell ref="J1:J3"/>
    <mergeCell ref="K1:K3"/>
    <mergeCell ref="L1:L3"/>
    <mergeCell ref="C1:C3"/>
    <mergeCell ref="D1:D3"/>
    <mergeCell ref="E1:E3"/>
    <mergeCell ref="F1:F3"/>
    <mergeCell ref="G1:G3"/>
    <mergeCell ref="H1:H3"/>
    <mergeCell ref="B4:S4"/>
  </mergeCells>
  <phoneticPr fontId="73" type="noConversion"/>
  <conditionalFormatting sqref="S5:S16">
    <cfRule type="cellIs" dxfId="0" priority="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orientation="landscape" vertic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12">
    <pageSetUpPr fitToPage="1"/>
  </sheetPr>
  <dimension ref="A1:R38"/>
  <sheetViews>
    <sheetView zoomScale="80" zoomScaleNormal="80" workbookViewId="0"/>
  </sheetViews>
  <sheetFormatPr defaultColWidth="9.140625" defaultRowHeight="12.75" x14ac:dyDescent="0.2"/>
  <cols>
    <col min="1" max="1" width="16.5703125" style="4" customWidth="1"/>
    <col min="2" max="2" width="29.7109375" style="4" customWidth="1"/>
    <col min="3" max="3" width="12.85546875" style="4" customWidth="1"/>
    <col min="4" max="4" width="15" style="4" customWidth="1"/>
    <col min="5" max="5" width="18.5703125" style="4" customWidth="1"/>
    <col min="6" max="6" width="17.7109375" style="4" customWidth="1"/>
    <col min="7" max="7" width="9.140625" style="4"/>
    <col min="8" max="8" width="11.85546875" style="4" customWidth="1"/>
    <col min="9" max="9" width="15.28515625" style="4" customWidth="1"/>
    <col min="10" max="10" width="9.140625" style="4"/>
    <col min="11" max="11" width="20.5703125" style="4" customWidth="1"/>
    <col min="12" max="12" width="10.140625" style="4" customWidth="1"/>
    <col min="13" max="14" width="9.140625" style="4"/>
    <col min="15" max="15" width="15.7109375" style="4" customWidth="1"/>
    <col min="16" max="16" width="9.140625" style="4"/>
    <col min="17" max="17" width="12" style="4" customWidth="1"/>
    <col min="18" max="16384" width="9.140625" style="4"/>
  </cols>
  <sheetData>
    <row r="1" spans="1:18" ht="51" x14ac:dyDescent="0.2">
      <c r="A1" s="6" t="s">
        <v>79</v>
      </c>
      <c r="C1" s="6"/>
      <c r="K1" s="153" t="s">
        <v>33</v>
      </c>
      <c r="L1" s="152" t="s">
        <v>83</v>
      </c>
      <c r="M1" s="152" t="s">
        <v>84</v>
      </c>
      <c r="N1" s="152" t="s">
        <v>85</v>
      </c>
      <c r="O1" s="152" t="s">
        <v>86</v>
      </c>
      <c r="P1" s="152" t="s">
        <v>87</v>
      </c>
      <c r="Q1" s="152" t="s">
        <v>88</v>
      </c>
      <c r="R1" s="159"/>
    </row>
    <row r="2" spans="1:18" ht="13.5" thickBot="1" x14ac:dyDescent="0.25"/>
    <row r="3" spans="1:18" ht="13.5" thickBot="1" x14ac:dyDescent="0.25">
      <c r="A3" s="911" t="s">
        <v>489</v>
      </c>
      <c r="B3" s="912"/>
      <c r="F3" s="4" t="s">
        <v>90</v>
      </c>
      <c r="G3" s="70" t="s">
        <v>69</v>
      </c>
      <c r="H3" s="4" t="s">
        <v>91</v>
      </c>
    </row>
    <row r="5" spans="1:18" x14ac:dyDescent="0.2">
      <c r="A5" s="4" t="s">
        <v>95</v>
      </c>
      <c r="F5" s="16">
        <v>4</v>
      </c>
      <c r="G5" s="4" t="s">
        <v>96</v>
      </c>
    </row>
    <row r="6" spans="1:18" x14ac:dyDescent="0.2">
      <c r="A6" s="4" t="s">
        <v>98</v>
      </c>
      <c r="F6" s="17">
        <v>200</v>
      </c>
      <c r="G6" s="4" t="s">
        <v>99</v>
      </c>
    </row>
    <row r="7" spans="1:18" x14ac:dyDescent="0.2">
      <c r="A7" s="4" t="s">
        <v>100</v>
      </c>
      <c r="F7" s="18">
        <v>5500</v>
      </c>
    </row>
    <row r="8" spans="1:18" x14ac:dyDescent="0.2">
      <c r="A8" s="4" t="s">
        <v>101</v>
      </c>
      <c r="E8" s="597">
        <v>0</v>
      </c>
      <c r="F8" s="21">
        <f>F7/(100%+E8)*E8</f>
        <v>0</v>
      </c>
      <c r="G8" s="7"/>
      <c r="H8" s="4" t="s">
        <v>420</v>
      </c>
    </row>
    <row r="9" spans="1:18" x14ac:dyDescent="0.2">
      <c r="A9" s="4" t="s">
        <v>102</v>
      </c>
      <c r="F9" s="21">
        <f>F7-F8</f>
        <v>5500</v>
      </c>
      <c r="H9" s="22"/>
    </row>
    <row r="10" spans="1:18" x14ac:dyDescent="0.2">
      <c r="A10" s="4" t="s">
        <v>103</v>
      </c>
      <c r="E10" s="20">
        <v>0.1</v>
      </c>
      <c r="F10" s="21">
        <f>E10*F9</f>
        <v>550</v>
      </c>
    </row>
    <row r="11" spans="1:18" x14ac:dyDescent="0.2">
      <c r="A11" s="4" t="s">
        <v>104</v>
      </c>
      <c r="F11" s="23">
        <f>F9-F10</f>
        <v>4950</v>
      </c>
    </row>
    <row r="12" spans="1:18" ht="13.5" thickBot="1" x14ac:dyDescent="0.25">
      <c r="A12" s="24" t="s">
        <v>206</v>
      </c>
    </row>
    <row r="13" spans="1:18" x14ac:dyDescent="0.2">
      <c r="A13" s="9"/>
      <c r="B13" s="25" t="s">
        <v>107</v>
      </c>
      <c r="C13" s="26"/>
      <c r="D13" s="27" t="s">
        <v>108</v>
      </c>
      <c r="E13" s="28">
        <v>0.05</v>
      </c>
      <c r="F13" s="29">
        <f>IF(G3="A",ABS(PMT(E13,F5,-F9,E10*F9,0)),SUM(F14:F15))</f>
        <v>1375</v>
      </c>
    </row>
    <row r="14" spans="1:18" x14ac:dyDescent="0.2">
      <c r="B14" s="30" t="s">
        <v>109</v>
      </c>
      <c r="F14" s="31">
        <f>IF(G3="A",E13*F9,F9/2*E13)</f>
        <v>137.5</v>
      </c>
      <c r="G14" s="10"/>
    </row>
    <row r="15" spans="1:18" ht="13.5" thickBot="1" x14ac:dyDescent="0.25">
      <c r="B15" s="32" t="s">
        <v>110</v>
      </c>
      <c r="C15" s="33"/>
      <c r="D15" s="33"/>
      <c r="E15" s="33"/>
      <c r="F15" s="34">
        <f>IF(G3="A",F13-F14,F11/F5)</f>
        <v>1237.5</v>
      </c>
    </row>
    <row r="16" spans="1:18" x14ac:dyDescent="0.2">
      <c r="B16" s="35"/>
      <c r="F16" s="36"/>
    </row>
    <row r="17" spans="1:18" x14ac:dyDescent="0.2">
      <c r="B17" s="35" t="s">
        <v>421</v>
      </c>
      <c r="C17" s="37"/>
      <c r="D17" s="37"/>
      <c r="E17" s="37"/>
      <c r="F17" s="38">
        <v>150</v>
      </c>
      <c r="G17" s="10" t="s">
        <v>422</v>
      </c>
      <c r="H17" s="39"/>
    </row>
    <row r="18" spans="1:18" x14ac:dyDescent="0.2">
      <c r="B18" s="40" t="s">
        <v>423</v>
      </c>
      <c r="C18" s="41"/>
      <c r="D18" s="42"/>
      <c r="E18" s="43"/>
      <c r="F18" s="38">
        <v>350</v>
      </c>
      <c r="G18" s="10" t="s">
        <v>422</v>
      </c>
      <c r="H18" s="39"/>
    </row>
    <row r="19" spans="1:18" x14ac:dyDescent="0.2">
      <c r="B19" s="35" t="s">
        <v>113</v>
      </c>
      <c r="D19" s="44"/>
      <c r="F19" s="38"/>
      <c r="G19" s="10"/>
      <c r="H19" s="39"/>
    </row>
    <row r="20" spans="1:18" x14ac:dyDescent="0.2">
      <c r="B20" s="11"/>
      <c r="C20" s="45"/>
      <c r="D20" s="10"/>
      <c r="E20" s="10"/>
      <c r="F20" s="46"/>
      <c r="G20" s="10"/>
      <c r="H20" s="47"/>
    </row>
    <row r="21" spans="1:18" x14ac:dyDescent="0.2">
      <c r="B21" s="35" t="s">
        <v>114</v>
      </c>
      <c r="C21" s="10"/>
      <c r="D21" s="10"/>
      <c r="E21" s="48">
        <v>3.0000000000000001E-3</v>
      </c>
      <c r="F21" s="49">
        <f>E21*F9</f>
        <v>16.5</v>
      </c>
      <c r="G21" s="10" t="s">
        <v>422</v>
      </c>
      <c r="L21" s="94"/>
      <c r="M21" s="94"/>
    </row>
    <row r="22" spans="1:18" ht="13.5" thickBot="1" x14ac:dyDescent="0.25">
      <c r="B22" s="50" t="s">
        <v>115</v>
      </c>
      <c r="C22" s="51"/>
      <c r="D22" s="51"/>
      <c r="E22" s="52"/>
      <c r="F22" s="53">
        <f>SUM(F14:F21)</f>
        <v>1891.5</v>
      </c>
      <c r="G22" s="12" t="s">
        <v>422</v>
      </c>
      <c r="H22" s="54">
        <f>F22/F6</f>
        <v>9.4574999999999996</v>
      </c>
      <c r="I22" s="4" t="s">
        <v>418</v>
      </c>
    </row>
    <row r="23" spans="1:18" x14ac:dyDescent="0.2">
      <c r="A23" s="24" t="s">
        <v>424</v>
      </c>
      <c r="B23" s="6"/>
      <c r="F23" s="46"/>
      <c r="G23" s="10"/>
      <c r="H23" s="55"/>
    </row>
    <row r="24" spans="1:18" x14ac:dyDescent="0.2">
      <c r="B24" s="11" t="s">
        <v>425</v>
      </c>
      <c r="C24" s="22"/>
      <c r="D24" s="10"/>
      <c r="F24" s="38">
        <v>300</v>
      </c>
      <c r="G24" s="10" t="s">
        <v>422</v>
      </c>
      <c r="H24" s="47"/>
    </row>
    <row r="25" spans="1:18" ht="15.75" x14ac:dyDescent="0.2">
      <c r="B25" s="11" t="s">
        <v>118</v>
      </c>
      <c r="C25" s="56">
        <v>3</v>
      </c>
      <c r="D25" s="57">
        <v>1.55</v>
      </c>
      <c r="E25" s="58"/>
      <c r="F25" s="59">
        <f>C25*D25*F6</f>
        <v>930.00000000000011</v>
      </c>
      <c r="G25" s="10" t="s">
        <v>422</v>
      </c>
      <c r="H25" s="39"/>
      <c r="K25" s="165" t="s">
        <v>43</v>
      </c>
      <c r="L25" s="642">
        <f>C25*F6</f>
        <v>600</v>
      </c>
      <c r="M25" s="642">
        <f>L25/159</f>
        <v>3.7735849056603774</v>
      </c>
      <c r="N25" s="161">
        <f>VLOOKUP(K25,Ohjeet!A63:F68,6,FALSE)</f>
        <v>2.1840000000000002</v>
      </c>
      <c r="O25" s="163">
        <f>L25*N25</f>
        <v>1310.4000000000001</v>
      </c>
      <c r="P25" s="164">
        <f>O25/1000</f>
        <v>1.3104</v>
      </c>
      <c r="Q25" s="162">
        <f>O25*0.27</f>
        <v>353.80800000000005</v>
      </c>
      <c r="R25" s="162"/>
    </row>
    <row r="26" spans="1:18" ht="15" x14ac:dyDescent="0.2">
      <c r="B26" s="11" t="s">
        <v>113</v>
      </c>
      <c r="C26" s="7"/>
      <c r="D26" s="4">
        <v>0</v>
      </c>
      <c r="F26" s="38"/>
      <c r="G26" s="10" t="s">
        <v>422</v>
      </c>
      <c r="H26" s="39"/>
      <c r="K26" s="166" t="s">
        <v>123</v>
      </c>
      <c r="O26" s="167">
        <f>O25/F6</f>
        <v>6.5520000000000005</v>
      </c>
    </row>
    <row r="27" spans="1:18" x14ac:dyDescent="0.2">
      <c r="B27" s="11" t="s">
        <v>113</v>
      </c>
      <c r="C27" s="7"/>
      <c r="F27" s="38"/>
      <c r="G27" s="10" t="s">
        <v>422</v>
      </c>
      <c r="H27" s="39"/>
    </row>
    <row r="28" spans="1:18" x14ac:dyDescent="0.2">
      <c r="B28" s="11" t="s">
        <v>113</v>
      </c>
      <c r="C28" s="7"/>
      <c r="F28" s="38"/>
      <c r="G28" s="10" t="s">
        <v>422</v>
      </c>
      <c r="H28" s="39"/>
    </row>
    <row r="29" spans="1:18" ht="13.5" thickBot="1" x14ac:dyDescent="0.25">
      <c r="B29" s="11" t="s">
        <v>113</v>
      </c>
      <c r="C29" s="7"/>
      <c r="F29" s="38"/>
      <c r="G29" s="10" t="s">
        <v>422</v>
      </c>
      <c r="H29" s="39"/>
    </row>
    <row r="30" spans="1:18" ht="13.5" thickBot="1" x14ac:dyDescent="0.25">
      <c r="B30" s="60" t="s">
        <v>127</v>
      </c>
      <c r="C30" s="51"/>
      <c r="D30" s="51"/>
      <c r="E30" s="51"/>
      <c r="F30" s="55">
        <f>SUM(F24:F29)</f>
        <v>1230</v>
      </c>
      <c r="G30" s="12" t="s">
        <v>422</v>
      </c>
      <c r="H30" s="61">
        <f>F30/F6</f>
        <v>6.15</v>
      </c>
      <c r="I30" s="4" t="s">
        <v>418</v>
      </c>
      <c r="N30" s="6"/>
    </row>
    <row r="31" spans="1:18" ht="13.5" thickBot="1" x14ac:dyDescent="0.25">
      <c r="A31" s="6" t="s">
        <v>426</v>
      </c>
      <c r="F31" s="62">
        <f>F22+F30</f>
        <v>3121.5</v>
      </c>
      <c r="G31" s="12" t="s">
        <v>422</v>
      </c>
      <c r="H31" s="19"/>
      <c r="N31" s="6"/>
    </row>
    <row r="32" spans="1:18" x14ac:dyDescent="0.2">
      <c r="F32" s="7"/>
    </row>
    <row r="33" spans="1:14" x14ac:dyDescent="0.2">
      <c r="A33" s="6" t="s">
        <v>129</v>
      </c>
      <c r="F33" s="63">
        <f>F31/F6</f>
        <v>15.6075</v>
      </c>
      <c r="G33" s="12" t="s">
        <v>418</v>
      </c>
      <c r="N33" s="13"/>
    </row>
    <row r="34" spans="1:14" x14ac:dyDescent="0.2">
      <c r="B34" s="6" t="s">
        <v>130</v>
      </c>
      <c r="E34" s="64">
        <v>0.1</v>
      </c>
      <c r="F34" s="7">
        <f>((100%/(100%-E34))*F33)-F33</f>
        <v>1.7341666666666686</v>
      </c>
      <c r="G34" s="10" t="s">
        <v>418</v>
      </c>
      <c r="N34" s="13"/>
    </row>
    <row r="35" spans="1:14" x14ac:dyDescent="0.2">
      <c r="B35" s="4" t="s">
        <v>131</v>
      </c>
      <c r="C35" s="4" t="s">
        <v>427</v>
      </c>
      <c r="F35" s="65">
        <v>15</v>
      </c>
      <c r="G35" s="10" t="s">
        <v>418</v>
      </c>
    </row>
    <row r="36" spans="1:14" ht="13.5" thickBot="1" x14ac:dyDescent="0.25">
      <c r="B36" s="50" t="s">
        <v>428</v>
      </c>
      <c r="C36" s="51"/>
      <c r="D36" s="51"/>
      <c r="E36" s="115"/>
      <c r="F36" s="66">
        <f>SUM(F33:F35)</f>
        <v>32.341666666666669</v>
      </c>
      <c r="G36" s="10" t="s">
        <v>418</v>
      </c>
      <c r="N36" s="13"/>
    </row>
    <row r="37" spans="1:14" ht="13.5" thickBot="1" x14ac:dyDescent="0.25">
      <c r="B37" s="4" t="s">
        <v>135</v>
      </c>
      <c r="E37" s="594">
        <v>0.255</v>
      </c>
      <c r="F37" s="591">
        <f>E37*F36</f>
        <v>8.2471250000000005</v>
      </c>
      <c r="G37" s="10" t="s">
        <v>418</v>
      </c>
      <c r="N37" s="7"/>
    </row>
    <row r="38" spans="1:14" ht="13.5" thickBot="1" x14ac:dyDescent="0.25">
      <c r="B38" s="69" t="s">
        <v>136</v>
      </c>
      <c r="C38" s="69"/>
      <c r="D38" s="69"/>
      <c r="E38" s="69"/>
      <c r="F38" s="66">
        <f>SUM(F36:F37)</f>
        <v>40.588791666666665</v>
      </c>
      <c r="G38" s="12" t="s">
        <v>418</v>
      </c>
      <c r="N38" s="13"/>
    </row>
  </sheetData>
  <sheetProtection algorithmName="SHA-512" hashValue="M8VL5kqjWmQkvOiHT1dbqPp6swDhouD0S0nR8it1TgeU+ppXHIeGRRNuPfsZdGYwEIojBlvUAOeSPmY+i6tkDw==" saltValue="PN/IzgiRgx17UzIaFJtioA==" spinCount="100000" sheet="1" formatCells="0" formatColumns="0" formatRows="0"/>
  <mergeCells count="1">
    <mergeCell ref="A3:B3"/>
  </mergeCells>
  <pageMargins left="0.75" right="0.75" top="1" bottom="1"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Ohjeet!$A$63:$A$68</xm:f>
          </x14:formula1>
          <xm:sqref>K25</xm:sqref>
        </x14:dataValidation>
        <x14:dataValidation type="list" allowBlank="1" showInputMessage="1" showErrorMessage="1" xr:uid="{CBE3861F-6B01-42DB-9E28-F7B6BA58F6AA}">
          <x14:formula1>
            <xm:f>Laskentayksikot!$E$7:$E$8</xm:f>
          </x14:formula1>
          <xm:sqref>G3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ul13">
    <pageSetUpPr fitToPage="1"/>
  </sheetPr>
  <dimension ref="A1:R38"/>
  <sheetViews>
    <sheetView zoomScale="80" zoomScaleNormal="80" workbookViewId="0">
      <selection activeCell="M38" sqref="M38"/>
    </sheetView>
  </sheetViews>
  <sheetFormatPr defaultColWidth="9.140625" defaultRowHeight="12.75" x14ac:dyDescent="0.2"/>
  <cols>
    <col min="1" max="1" width="16.5703125" style="4" customWidth="1"/>
    <col min="2" max="2" width="29.7109375" style="4" customWidth="1"/>
    <col min="3" max="3" width="12.85546875" style="4" customWidth="1"/>
    <col min="4" max="4" width="15" style="4" customWidth="1"/>
    <col min="5" max="5" width="18.5703125" style="4" customWidth="1"/>
    <col min="6" max="6" width="17.7109375" style="4" customWidth="1"/>
    <col min="7" max="7" width="9.140625" style="4"/>
    <col min="8" max="8" width="11.85546875" style="4" customWidth="1"/>
    <col min="9" max="9" width="15.28515625" style="4" customWidth="1"/>
    <col min="10" max="10" width="9.140625" style="4"/>
    <col min="11" max="11" width="10.5703125" style="4" customWidth="1"/>
    <col min="12" max="12" width="10.140625" style="4" customWidth="1"/>
    <col min="13" max="14" width="9.140625" style="4"/>
    <col min="15" max="15" width="14.140625" style="4" customWidth="1"/>
    <col min="16" max="16" width="12.5703125" style="4" customWidth="1"/>
    <col min="17" max="17" width="12" style="4" customWidth="1"/>
    <col min="18" max="16384" width="9.140625" style="4"/>
  </cols>
  <sheetData>
    <row r="1" spans="1:18" ht="51" x14ac:dyDescent="0.2">
      <c r="A1" s="6" t="s">
        <v>79</v>
      </c>
      <c r="C1" s="6"/>
      <c r="K1" s="153" t="s">
        <v>33</v>
      </c>
      <c r="L1" s="152" t="s">
        <v>83</v>
      </c>
      <c r="M1" s="152" t="s">
        <v>84</v>
      </c>
      <c r="N1" s="152" t="s">
        <v>85</v>
      </c>
      <c r="O1" s="152" t="s">
        <v>86</v>
      </c>
      <c r="P1" s="152" t="s">
        <v>87</v>
      </c>
      <c r="Q1" s="152" t="s">
        <v>88</v>
      </c>
      <c r="R1" s="159"/>
    </row>
    <row r="2" spans="1:18" ht="13.5" thickBot="1" x14ac:dyDescent="0.25"/>
    <row r="3" spans="1:18" ht="13.5" thickBot="1" x14ac:dyDescent="0.25">
      <c r="A3" s="911" t="s">
        <v>490</v>
      </c>
      <c r="B3" s="912"/>
      <c r="F3" s="4" t="s">
        <v>90</v>
      </c>
      <c r="G3" s="904" t="s">
        <v>69</v>
      </c>
      <c r="H3" s="4" t="s">
        <v>91</v>
      </c>
    </row>
    <row r="5" spans="1:18" x14ac:dyDescent="0.2">
      <c r="A5" s="4" t="s">
        <v>95</v>
      </c>
      <c r="F5" s="16">
        <v>10</v>
      </c>
      <c r="G5" s="4" t="s">
        <v>96</v>
      </c>
    </row>
    <row r="6" spans="1:18" x14ac:dyDescent="0.2">
      <c r="A6" s="4" t="s">
        <v>98</v>
      </c>
      <c r="F6" s="17">
        <v>50</v>
      </c>
      <c r="G6" s="4" t="s">
        <v>99</v>
      </c>
    </row>
    <row r="7" spans="1:18" x14ac:dyDescent="0.2">
      <c r="A7" s="4" t="s">
        <v>100</v>
      </c>
      <c r="F7" s="18">
        <v>800</v>
      </c>
    </row>
    <row r="8" spans="1:18" x14ac:dyDescent="0.2">
      <c r="A8" s="4" t="s">
        <v>101</v>
      </c>
      <c r="E8" s="597">
        <v>0</v>
      </c>
      <c r="F8" s="21">
        <f>F7/(100%+E8)*E8</f>
        <v>0</v>
      </c>
      <c r="G8" s="7"/>
      <c r="H8" s="4" t="s">
        <v>420</v>
      </c>
    </row>
    <row r="9" spans="1:18" x14ac:dyDescent="0.2">
      <c r="A9" s="4" t="s">
        <v>102</v>
      </c>
      <c r="F9" s="21">
        <f>F7-F8</f>
        <v>800</v>
      </c>
      <c r="H9" s="22"/>
    </row>
    <row r="10" spans="1:18" x14ac:dyDescent="0.2">
      <c r="A10" s="4" t="s">
        <v>103</v>
      </c>
      <c r="E10" s="20">
        <v>0.35</v>
      </c>
      <c r="F10" s="21">
        <f>E10*F9</f>
        <v>280</v>
      </c>
    </row>
    <row r="11" spans="1:18" x14ac:dyDescent="0.2">
      <c r="A11" s="4" t="s">
        <v>104</v>
      </c>
      <c r="F11" s="23">
        <f>F9-F10</f>
        <v>520</v>
      </c>
    </row>
    <row r="12" spans="1:18" ht="13.5" thickBot="1" x14ac:dyDescent="0.25">
      <c r="A12" s="24" t="s">
        <v>206</v>
      </c>
    </row>
    <row r="13" spans="1:18" x14ac:dyDescent="0.2">
      <c r="A13" s="9"/>
      <c r="B13" s="25" t="s">
        <v>107</v>
      </c>
      <c r="C13" s="26"/>
      <c r="D13" s="27" t="s">
        <v>108</v>
      </c>
      <c r="E13" s="28">
        <v>0.05</v>
      </c>
      <c r="F13" s="29">
        <f>IF(G3="A",ABS(PMT(E13,F5,-F9,E10*F9,0)),SUM(F14:F15))</f>
        <v>72</v>
      </c>
    </row>
    <row r="14" spans="1:18" x14ac:dyDescent="0.2">
      <c r="B14" s="30" t="s">
        <v>109</v>
      </c>
      <c r="F14" s="31">
        <f>IF(G3="A",E13*F9,F9/2*E13)</f>
        <v>20</v>
      </c>
      <c r="G14" s="10"/>
    </row>
    <row r="15" spans="1:18" ht="13.5" thickBot="1" x14ac:dyDescent="0.25">
      <c r="B15" s="32" t="s">
        <v>110</v>
      </c>
      <c r="C15" s="33"/>
      <c r="D15" s="33"/>
      <c r="E15" s="33"/>
      <c r="F15" s="34">
        <f>IF(G3="A",F13-F14,F11/F5)</f>
        <v>52</v>
      </c>
    </row>
    <row r="16" spans="1:18" x14ac:dyDescent="0.2">
      <c r="B16" s="35"/>
      <c r="F16" s="36"/>
    </row>
    <row r="17" spans="1:18" x14ac:dyDescent="0.2">
      <c r="B17" s="35" t="s">
        <v>421</v>
      </c>
      <c r="C17" s="37"/>
      <c r="D17" s="37"/>
      <c r="E17" s="37"/>
      <c r="F17" s="38">
        <v>150</v>
      </c>
      <c r="G17" s="10" t="s">
        <v>422</v>
      </c>
      <c r="H17" s="39"/>
    </row>
    <row r="18" spans="1:18" x14ac:dyDescent="0.2">
      <c r="B18" s="40" t="s">
        <v>423</v>
      </c>
      <c r="C18" s="41"/>
      <c r="D18" s="42"/>
      <c r="E18" s="43"/>
      <c r="F18" s="38">
        <v>350</v>
      </c>
      <c r="G18" s="10" t="s">
        <v>422</v>
      </c>
      <c r="H18" s="39"/>
    </row>
    <row r="19" spans="1:18" x14ac:dyDescent="0.2">
      <c r="B19" s="35" t="s">
        <v>113</v>
      </c>
      <c r="D19" s="44"/>
      <c r="F19" s="38"/>
      <c r="G19" s="10"/>
      <c r="H19" s="39"/>
    </row>
    <row r="20" spans="1:18" x14ac:dyDescent="0.2">
      <c r="B20" s="11"/>
      <c r="C20" s="45"/>
      <c r="D20" s="10"/>
      <c r="E20" s="10"/>
      <c r="F20" s="46"/>
      <c r="G20" s="10"/>
      <c r="H20" s="47"/>
    </row>
    <row r="21" spans="1:18" x14ac:dyDescent="0.2">
      <c r="B21" s="35" t="s">
        <v>114</v>
      </c>
      <c r="C21" s="10"/>
      <c r="D21" s="10"/>
      <c r="E21" s="48">
        <v>3.0000000000000001E-3</v>
      </c>
      <c r="F21" s="49">
        <f>E21*F9</f>
        <v>2.4</v>
      </c>
      <c r="G21" s="10" t="s">
        <v>422</v>
      </c>
      <c r="L21" s="94"/>
      <c r="M21" s="94"/>
    </row>
    <row r="22" spans="1:18" ht="13.5" thickBot="1" x14ac:dyDescent="0.25">
      <c r="B22" s="50" t="s">
        <v>115</v>
      </c>
      <c r="C22" s="51"/>
      <c r="D22" s="51"/>
      <c r="E22" s="52"/>
      <c r="F22" s="53">
        <f>SUM(F14:F21)</f>
        <v>574.4</v>
      </c>
      <c r="G22" s="12" t="s">
        <v>422</v>
      </c>
      <c r="H22" s="54">
        <f>F22/F6</f>
        <v>11.488</v>
      </c>
      <c r="I22" s="4" t="s">
        <v>418</v>
      </c>
    </row>
    <row r="23" spans="1:18" x14ac:dyDescent="0.2">
      <c r="A23" s="24" t="s">
        <v>424</v>
      </c>
      <c r="B23" s="6"/>
      <c r="F23" s="46"/>
      <c r="G23" s="10"/>
      <c r="H23" s="55"/>
    </row>
    <row r="24" spans="1:18" x14ac:dyDescent="0.2">
      <c r="B24" s="11" t="s">
        <v>425</v>
      </c>
      <c r="C24" s="22"/>
      <c r="D24" s="10"/>
      <c r="F24" s="38">
        <v>500</v>
      </c>
      <c r="G24" s="10" t="s">
        <v>422</v>
      </c>
      <c r="H24" s="47"/>
    </row>
    <row r="25" spans="1:18" ht="15.75" x14ac:dyDescent="0.2">
      <c r="B25" s="11" t="s">
        <v>118</v>
      </c>
      <c r="C25" s="56">
        <v>8</v>
      </c>
      <c r="D25" s="57">
        <v>1.55</v>
      </c>
      <c r="E25" s="58"/>
      <c r="F25" s="59">
        <f>C25*D25*F6</f>
        <v>620</v>
      </c>
      <c r="G25" s="10" t="s">
        <v>422</v>
      </c>
      <c r="H25" s="39"/>
      <c r="K25" s="165" t="s">
        <v>43</v>
      </c>
      <c r="L25" s="642">
        <f>C25*F6</f>
        <v>400</v>
      </c>
      <c r="M25" s="642">
        <f>L25/159</f>
        <v>2.5157232704402515</v>
      </c>
      <c r="N25" s="161">
        <f>VLOOKUP(K25,Ohjeet!A63:F68,6,FALSE)</f>
        <v>2.1840000000000002</v>
      </c>
      <c r="O25" s="163">
        <f>L25*N25</f>
        <v>873.6</v>
      </c>
      <c r="P25" s="164">
        <f>O25/1000</f>
        <v>0.87360000000000004</v>
      </c>
      <c r="Q25" s="162">
        <f>O25*0.27</f>
        <v>235.87200000000001</v>
      </c>
      <c r="R25" s="162"/>
    </row>
    <row r="26" spans="1:18" ht="15" x14ac:dyDescent="0.2">
      <c r="B26" s="11" t="s">
        <v>113</v>
      </c>
      <c r="C26" s="7"/>
      <c r="D26" s="4">
        <v>0</v>
      </c>
      <c r="F26" s="38"/>
      <c r="G26" s="10" t="s">
        <v>422</v>
      </c>
      <c r="H26" s="39"/>
      <c r="K26" s="166" t="s">
        <v>123</v>
      </c>
      <c r="O26" s="167">
        <f>O25/F6</f>
        <v>17.472000000000001</v>
      </c>
    </row>
    <row r="27" spans="1:18" x14ac:dyDescent="0.2">
      <c r="B27" s="11" t="s">
        <v>113</v>
      </c>
      <c r="C27" s="7"/>
      <c r="F27" s="38"/>
      <c r="G27" s="10" t="s">
        <v>422</v>
      </c>
      <c r="H27" s="39"/>
    </row>
    <row r="28" spans="1:18" x14ac:dyDescent="0.2">
      <c r="B28" s="11" t="s">
        <v>113</v>
      </c>
      <c r="C28" s="7"/>
      <c r="F28" s="38"/>
      <c r="G28" s="10" t="s">
        <v>422</v>
      </c>
      <c r="H28" s="39"/>
    </row>
    <row r="29" spans="1:18" ht="13.5" thickBot="1" x14ac:dyDescent="0.25">
      <c r="B29" s="11" t="s">
        <v>113</v>
      </c>
      <c r="C29" s="7"/>
      <c r="F29" s="38"/>
      <c r="G29" s="10" t="s">
        <v>422</v>
      </c>
      <c r="H29" s="39"/>
    </row>
    <row r="30" spans="1:18" ht="13.5" thickBot="1" x14ac:dyDescent="0.25">
      <c r="B30" s="60" t="s">
        <v>127</v>
      </c>
      <c r="C30" s="51"/>
      <c r="D30" s="51"/>
      <c r="E30" s="51"/>
      <c r="F30" s="55">
        <f>SUM(F24:F29)</f>
        <v>1120</v>
      </c>
      <c r="G30" s="12" t="s">
        <v>422</v>
      </c>
      <c r="H30" s="61">
        <f>F30/F6</f>
        <v>22.4</v>
      </c>
      <c r="I30" s="4" t="s">
        <v>418</v>
      </c>
      <c r="N30" s="6"/>
    </row>
    <row r="31" spans="1:18" ht="13.5" thickBot="1" x14ac:dyDescent="0.25">
      <c r="A31" s="6" t="s">
        <v>426</v>
      </c>
      <c r="F31" s="62">
        <f>F22+F30</f>
        <v>1694.4</v>
      </c>
      <c r="G31" s="12" t="s">
        <v>422</v>
      </c>
      <c r="H31" s="19"/>
      <c r="N31" s="6"/>
    </row>
    <row r="32" spans="1:18" x14ac:dyDescent="0.2">
      <c r="F32" s="7"/>
    </row>
    <row r="33" spans="1:14" x14ac:dyDescent="0.2">
      <c r="A33" s="6" t="s">
        <v>129</v>
      </c>
      <c r="F33" s="63">
        <f>F31/F6</f>
        <v>33.888000000000005</v>
      </c>
      <c r="G33" s="12" t="s">
        <v>418</v>
      </c>
      <c r="N33" s="13"/>
    </row>
    <row r="34" spans="1:14" x14ac:dyDescent="0.2">
      <c r="B34" s="6" t="s">
        <v>130</v>
      </c>
      <c r="E34" s="64">
        <v>0.1</v>
      </c>
      <c r="F34" s="7">
        <f>((100%/(100%-E34))*F33)-F33</f>
        <v>3.7653333333333379</v>
      </c>
      <c r="G34" s="10" t="s">
        <v>418</v>
      </c>
      <c r="N34" s="13"/>
    </row>
    <row r="35" spans="1:14" x14ac:dyDescent="0.2">
      <c r="B35" s="4" t="s">
        <v>131</v>
      </c>
      <c r="C35" s="4" t="s">
        <v>427</v>
      </c>
      <c r="F35" s="65">
        <v>15</v>
      </c>
      <c r="G35" s="10" t="s">
        <v>418</v>
      </c>
    </row>
    <row r="36" spans="1:14" ht="13.5" thickBot="1" x14ac:dyDescent="0.25">
      <c r="B36" s="50" t="s">
        <v>428</v>
      </c>
      <c r="C36" s="51"/>
      <c r="D36" s="51"/>
      <c r="E36" s="51"/>
      <c r="F36" s="66">
        <f>SUM(F33:F35)</f>
        <v>52.653333333333343</v>
      </c>
      <c r="G36" s="10" t="s">
        <v>418</v>
      </c>
      <c r="N36" s="13"/>
    </row>
    <row r="37" spans="1:14" x14ac:dyDescent="0.2">
      <c r="B37" s="4" t="s">
        <v>135</v>
      </c>
      <c r="E37" s="595">
        <v>0.255</v>
      </c>
      <c r="F37" s="68">
        <f>E37*F36</f>
        <v>13.426600000000002</v>
      </c>
      <c r="G37" s="10" t="s">
        <v>418</v>
      </c>
      <c r="N37" s="7"/>
    </row>
    <row r="38" spans="1:14" ht="13.5" thickBot="1" x14ac:dyDescent="0.25">
      <c r="B38" s="69" t="s">
        <v>136</v>
      </c>
      <c r="C38" s="69"/>
      <c r="D38" s="69"/>
      <c r="E38" s="69"/>
      <c r="F38" s="66">
        <f>SUM(F36:F37)</f>
        <v>66.079933333333344</v>
      </c>
      <c r="G38" s="12" t="s">
        <v>418</v>
      </c>
      <c r="N38" s="13"/>
    </row>
  </sheetData>
  <sheetProtection algorithmName="SHA-512" hashValue="ovaXh0qOOBE7Zq8IiKJkYIdVQxRNcquCEzTnNXdO3usBhmJk0gNtkhx9YDQzf5J1dwcPgNSXhlBV++lzKWFXIA==" saltValue="eVbGh8qYmp9h9jwSzu/rFg==" spinCount="100000" sheet="1" formatCells="0" formatColumns="0" formatRows="0"/>
  <mergeCells count="1">
    <mergeCell ref="A3:B3"/>
  </mergeCells>
  <pageMargins left="0.75" right="0.75" top="1" bottom="1"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Ohjeet!$A$63:$A$68</xm:f>
          </x14:formula1>
          <xm:sqref>K25</xm:sqref>
        </x14:dataValidation>
        <x14:dataValidation type="list" allowBlank="1" showInputMessage="1" showErrorMessage="1" xr:uid="{4ACBEF36-36B4-486B-A0A1-88B6AA3195E8}">
          <x14:formula1>
            <xm:f>Laskentayksikot!$E$7:$E$8</xm:f>
          </x14:formula1>
          <xm:sqref>G3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14">
    <pageSetUpPr fitToPage="1"/>
  </sheetPr>
  <dimension ref="A1:R38"/>
  <sheetViews>
    <sheetView zoomScale="80" zoomScaleNormal="80" workbookViewId="0">
      <selection activeCell="M38" sqref="M38"/>
    </sheetView>
  </sheetViews>
  <sheetFormatPr defaultColWidth="9.140625" defaultRowHeight="12.75" x14ac:dyDescent="0.2"/>
  <cols>
    <col min="1" max="1" width="16.5703125" style="4" customWidth="1"/>
    <col min="2" max="2" width="29.7109375" style="4" customWidth="1"/>
    <col min="3" max="3" width="12.85546875" style="4" customWidth="1"/>
    <col min="4" max="4" width="15" style="4" customWidth="1"/>
    <col min="5" max="5" width="18.5703125" style="4" customWidth="1"/>
    <col min="6" max="6" width="17.7109375" style="4" customWidth="1"/>
    <col min="7" max="7" width="9.140625" style="4"/>
    <col min="8" max="8" width="11.85546875" style="4" customWidth="1"/>
    <col min="9" max="9" width="15.28515625" style="4" customWidth="1"/>
    <col min="10" max="11" width="9.140625" style="4"/>
    <col min="12" max="12" width="10.140625" style="4" customWidth="1"/>
    <col min="13" max="14" width="9.140625" style="4"/>
    <col min="15" max="15" width="13.85546875" style="4" customWidth="1"/>
    <col min="16" max="16" width="9.140625" style="4"/>
    <col min="17" max="17" width="12.140625" style="4" customWidth="1"/>
    <col min="18" max="16384" width="9.140625" style="4"/>
  </cols>
  <sheetData>
    <row r="1" spans="1:18" ht="51" x14ac:dyDescent="0.2">
      <c r="A1" s="6" t="s">
        <v>79</v>
      </c>
      <c r="C1" s="6"/>
      <c r="K1" s="153" t="s">
        <v>33</v>
      </c>
      <c r="L1" s="152" t="s">
        <v>83</v>
      </c>
      <c r="M1" s="152" t="s">
        <v>84</v>
      </c>
      <c r="N1" s="152" t="s">
        <v>85</v>
      </c>
      <c r="O1" s="152" t="s">
        <v>86</v>
      </c>
      <c r="P1" s="152" t="s">
        <v>87</v>
      </c>
      <c r="Q1" s="152" t="s">
        <v>88</v>
      </c>
      <c r="R1" s="159"/>
    </row>
    <row r="2" spans="1:18" ht="13.5" thickBot="1" x14ac:dyDescent="0.25"/>
    <row r="3" spans="1:18" ht="13.5" thickBot="1" x14ac:dyDescent="0.25">
      <c r="A3" s="911" t="s">
        <v>491</v>
      </c>
      <c r="B3" s="912"/>
      <c r="F3" s="4" t="s">
        <v>90</v>
      </c>
      <c r="G3" s="904" t="s">
        <v>69</v>
      </c>
      <c r="H3" s="4" t="s">
        <v>91</v>
      </c>
    </row>
    <row r="5" spans="1:18" x14ac:dyDescent="0.2">
      <c r="A5" s="4" t="s">
        <v>95</v>
      </c>
      <c r="F5" s="16">
        <v>5</v>
      </c>
      <c r="G5" s="4" t="s">
        <v>96</v>
      </c>
    </row>
    <row r="6" spans="1:18" x14ac:dyDescent="0.2">
      <c r="A6" s="4" t="s">
        <v>98</v>
      </c>
      <c r="F6" s="17">
        <v>100</v>
      </c>
      <c r="G6" s="4" t="s">
        <v>99</v>
      </c>
    </row>
    <row r="7" spans="1:18" x14ac:dyDescent="0.2">
      <c r="A7" s="4" t="s">
        <v>100</v>
      </c>
      <c r="F7" s="18">
        <v>8000</v>
      </c>
    </row>
    <row r="8" spans="1:18" x14ac:dyDescent="0.2">
      <c r="A8" s="4" t="s">
        <v>101</v>
      </c>
      <c r="E8" s="597">
        <v>0.255</v>
      </c>
      <c r="F8" s="21">
        <f>F7/(100%+E8)*E8</f>
        <v>1625.4980079681277</v>
      </c>
      <c r="G8" s="7"/>
      <c r="H8" s="4" t="s">
        <v>420</v>
      </c>
    </row>
    <row r="9" spans="1:18" x14ac:dyDescent="0.2">
      <c r="A9" s="4" t="s">
        <v>102</v>
      </c>
      <c r="F9" s="21">
        <f>F7-F8</f>
        <v>6374.5019920318719</v>
      </c>
      <c r="H9" s="22"/>
    </row>
    <row r="10" spans="1:18" x14ac:dyDescent="0.2">
      <c r="A10" s="4" t="s">
        <v>103</v>
      </c>
      <c r="E10" s="20">
        <v>0.35</v>
      </c>
      <c r="F10" s="21">
        <f>E10*F9</f>
        <v>2231.0756972111549</v>
      </c>
    </row>
    <row r="11" spans="1:18" x14ac:dyDescent="0.2">
      <c r="A11" s="4" t="s">
        <v>104</v>
      </c>
      <c r="F11" s="23">
        <f>F9-F10</f>
        <v>4143.426294820717</v>
      </c>
    </row>
    <row r="12" spans="1:18" ht="13.5" thickBot="1" x14ac:dyDescent="0.25">
      <c r="A12" s="24" t="s">
        <v>206</v>
      </c>
    </row>
    <row r="13" spans="1:18" x14ac:dyDescent="0.2">
      <c r="A13" s="9"/>
      <c r="B13" s="25" t="s">
        <v>107</v>
      </c>
      <c r="C13" s="26"/>
      <c r="D13" s="27" t="s">
        <v>108</v>
      </c>
      <c r="E13" s="28">
        <v>0.05</v>
      </c>
      <c r="F13" s="29">
        <f>IF(G3="A",ABS(PMT(E13,F5,-F9,E10*F9,0)),SUM(F14:F15))</f>
        <v>988.04780876494021</v>
      </c>
    </row>
    <row r="14" spans="1:18" x14ac:dyDescent="0.2">
      <c r="B14" s="30" t="s">
        <v>109</v>
      </c>
      <c r="F14" s="31">
        <f>IF(G3="A",E13*F9,F9/2*E13)</f>
        <v>159.36254980079681</v>
      </c>
      <c r="G14" s="10"/>
    </row>
    <row r="15" spans="1:18" ht="13.5" thickBot="1" x14ac:dyDescent="0.25">
      <c r="B15" s="32" t="s">
        <v>110</v>
      </c>
      <c r="C15" s="33"/>
      <c r="D15" s="33"/>
      <c r="E15" s="33"/>
      <c r="F15" s="34">
        <f>IF(G3="A",F13-F14,F11/F5)</f>
        <v>828.68525896414337</v>
      </c>
    </row>
    <row r="16" spans="1:18" x14ac:dyDescent="0.2">
      <c r="B16" s="35"/>
      <c r="F16" s="36"/>
    </row>
    <row r="17" spans="1:18" x14ac:dyDescent="0.2">
      <c r="B17" s="35" t="s">
        <v>421</v>
      </c>
      <c r="C17" s="37"/>
      <c r="D17" s="37"/>
      <c r="E17" s="37"/>
      <c r="F17" s="38">
        <v>150</v>
      </c>
      <c r="G17" s="10" t="s">
        <v>422</v>
      </c>
      <c r="H17" s="39"/>
    </row>
    <row r="18" spans="1:18" x14ac:dyDescent="0.2">
      <c r="B18" s="40" t="s">
        <v>423</v>
      </c>
      <c r="C18" s="41"/>
      <c r="D18" s="42"/>
      <c r="E18" s="43"/>
      <c r="F18" s="38">
        <v>350</v>
      </c>
      <c r="G18" s="10" t="s">
        <v>422</v>
      </c>
      <c r="H18" s="39"/>
    </row>
    <row r="19" spans="1:18" x14ac:dyDescent="0.2">
      <c r="B19" s="35" t="s">
        <v>113</v>
      </c>
      <c r="D19" s="44"/>
      <c r="F19" s="38"/>
      <c r="G19" s="10"/>
      <c r="H19" s="39"/>
    </row>
    <row r="20" spans="1:18" x14ac:dyDescent="0.2">
      <c r="B20" s="11"/>
      <c r="C20" s="45"/>
      <c r="D20" s="10"/>
      <c r="E20" s="10"/>
      <c r="F20" s="46"/>
      <c r="G20" s="10"/>
      <c r="H20" s="47"/>
    </row>
    <row r="21" spans="1:18" x14ac:dyDescent="0.2">
      <c r="B21" s="35" t="s">
        <v>114</v>
      </c>
      <c r="C21" s="10"/>
      <c r="D21" s="10"/>
      <c r="E21" s="48">
        <v>3.0000000000000001E-3</v>
      </c>
      <c r="F21" s="49">
        <f>E21*F9</f>
        <v>19.123505976095615</v>
      </c>
      <c r="G21" s="10" t="s">
        <v>422</v>
      </c>
      <c r="L21" s="94"/>
      <c r="M21" s="94"/>
    </row>
    <row r="22" spans="1:18" ht="13.5" thickBot="1" x14ac:dyDescent="0.25">
      <c r="B22" s="50" t="s">
        <v>115</v>
      </c>
      <c r="C22" s="51"/>
      <c r="D22" s="51"/>
      <c r="E22" s="52"/>
      <c r="F22" s="53">
        <f>SUM(F14:F21)</f>
        <v>1507.171314741036</v>
      </c>
      <c r="G22" s="12" t="s">
        <v>422</v>
      </c>
      <c r="H22" s="54">
        <f>F22/F6</f>
        <v>15.07171314741036</v>
      </c>
      <c r="I22" s="4" t="s">
        <v>418</v>
      </c>
    </row>
    <row r="23" spans="1:18" x14ac:dyDescent="0.2">
      <c r="A23" s="24" t="s">
        <v>424</v>
      </c>
      <c r="B23" s="6"/>
      <c r="F23" s="46"/>
      <c r="G23" s="10"/>
      <c r="H23" s="55"/>
    </row>
    <row r="24" spans="1:18" x14ac:dyDescent="0.2">
      <c r="B24" s="11" t="s">
        <v>425</v>
      </c>
      <c r="C24" s="22"/>
      <c r="D24" s="10"/>
      <c r="F24" s="38">
        <v>1000</v>
      </c>
      <c r="G24" s="10" t="s">
        <v>422</v>
      </c>
      <c r="H24" s="47"/>
    </row>
    <row r="25" spans="1:18" ht="15.75" x14ac:dyDescent="0.2">
      <c r="B25" s="11" t="s">
        <v>118</v>
      </c>
      <c r="C25" s="56">
        <v>20</v>
      </c>
      <c r="D25" s="57">
        <v>1.5</v>
      </c>
      <c r="E25" s="58"/>
      <c r="F25" s="59">
        <f>C25*D25*F6</f>
        <v>3000</v>
      </c>
      <c r="G25" s="10" t="s">
        <v>422</v>
      </c>
      <c r="H25" s="39"/>
      <c r="K25" s="165" t="s">
        <v>43</v>
      </c>
      <c r="L25" s="642">
        <f>C25*F6</f>
        <v>2000</v>
      </c>
      <c r="M25" s="642">
        <f>L25/159</f>
        <v>12.578616352201259</v>
      </c>
      <c r="N25" s="161">
        <f>VLOOKUP(K25,Ohjeet!A63:F68,6,FALSE)</f>
        <v>2.1840000000000002</v>
      </c>
      <c r="O25" s="163">
        <f>L25*N25</f>
        <v>4368</v>
      </c>
      <c r="P25" s="164">
        <f>O25/1000</f>
        <v>4.3680000000000003</v>
      </c>
      <c r="Q25" s="162">
        <f>O25*0.27</f>
        <v>1179.3600000000001</v>
      </c>
      <c r="R25" s="162"/>
    </row>
    <row r="26" spans="1:18" ht="15" x14ac:dyDescent="0.2">
      <c r="B26" s="11" t="s">
        <v>113</v>
      </c>
      <c r="C26" s="7"/>
      <c r="D26" s="4">
        <v>0</v>
      </c>
      <c r="F26" s="38"/>
      <c r="G26" s="10" t="s">
        <v>422</v>
      </c>
      <c r="H26" s="39"/>
      <c r="K26" s="166" t="s">
        <v>123</v>
      </c>
      <c r="O26" s="167">
        <f>O25/F6</f>
        <v>43.68</v>
      </c>
    </row>
    <row r="27" spans="1:18" x14ac:dyDescent="0.2">
      <c r="B27" s="11" t="s">
        <v>113</v>
      </c>
      <c r="C27" s="7"/>
      <c r="F27" s="38"/>
      <c r="G27" s="10" t="s">
        <v>422</v>
      </c>
      <c r="H27" s="39"/>
    </row>
    <row r="28" spans="1:18" x14ac:dyDescent="0.2">
      <c r="B28" s="11" t="s">
        <v>113</v>
      </c>
      <c r="C28" s="7"/>
      <c r="F28" s="38"/>
      <c r="G28" s="10" t="s">
        <v>422</v>
      </c>
      <c r="H28" s="39"/>
    </row>
    <row r="29" spans="1:18" ht="13.5" thickBot="1" x14ac:dyDescent="0.25">
      <c r="B29" s="11" t="s">
        <v>113</v>
      </c>
      <c r="C29" s="7"/>
      <c r="F29" s="38"/>
      <c r="G29" s="10" t="s">
        <v>422</v>
      </c>
      <c r="H29" s="39"/>
    </row>
    <row r="30" spans="1:18" ht="13.5" thickBot="1" x14ac:dyDescent="0.25">
      <c r="B30" s="60" t="s">
        <v>127</v>
      </c>
      <c r="C30" s="51"/>
      <c r="D30" s="51"/>
      <c r="E30" s="51"/>
      <c r="F30" s="55">
        <f>SUM(F24:F29)</f>
        <v>4000</v>
      </c>
      <c r="G30" s="12" t="s">
        <v>422</v>
      </c>
      <c r="H30" s="61">
        <f>F30/F6</f>
        <v>40</v>
      </c>
      <c r="I30" s="4" t="s">
        <v>418</v>
      </c>
      <c r="N30" s="6"/>
    </row>
    <row r="31" spans="1:18" ht="13.5" thickBot="1" x14ac:dyDescent="0.25">
      <c r="A31" s="6" t="s">
        <v>426</v>
      </c>
      <c r="F31" s="62">
        <f>F22+F30</f>
        <v>5507.1713147410355</v>
      </c>
      <c r="G31" s="12" t="s">
        <v>422</v>
      </c>
      <c r="H31" s="19"/>
      <c r="N31" s="6"/>
    </row>
    <row r="32" spans="1:18" x14ac:dyDescent="0.2">
      <c r="F32" s="7"/>
    </row>
    <row r="33" spans="1:14" x14ac:dyDescent="0.2">
      <c r="A33" s="6" t="s">
        <v>129</v>
      </c>
      <c r="F33" s="63">
        <f>F31/F6</f>
        <v>55.071713147410357</v>
      </c>
      <c r="G33" s="12" t="s">
        <v>418</v>
      </c>
      <c r="N33" s="13"/>
    </row>
    <row r="34" spans="1:14" x14ac:dyDescent="0.2">
      <c r="B34" s="6" t="s">
        <v>130</v>
      </c>
      <c r="E34" s="64">
        <v>0.1</v>
      </c>
      <c r="F34" s="7">
        <f>((100%/(100%-E34))*F33)-F33</f>
        <v>6.1190792386011523</v>
      </c>
      <c r="G34" s="10" t="s">
        <v>418</v>
      </c>
      <c r="N34" s="13"/>
    </row>
    <row r="35" spans="1:14" x14ac:dyDescent="0.2">
      <c r="B35" s="4" t="s">
        <v>131</v>
      </c>
      <c r="C35" s="4" t="s">
        <v>427</v>
      </c>
      <c r="F35" s="65">
        <v>15</v>
      </c>
      <c r="G35" s="10" t="s">
        <v>418</v>
      </c>
    </row>
    <row r="36" spans="1:14" ht="13.5" thickBot="1" x14ac:dyDescent="0.25">
      <c r="B36" s="50" t="s">
        <v>428</v>
      </c>
      <c r="C36" s="51"/>
      <c r="D36" s="51"/>
      <c r="E36" s="51"/>
      <c r="F36" s="66">
        <f>SUM(F33:F35)</f>
        <v>76.190792386011509</v>
      </c>
      <c r="G36" s="10" t="s">
        <v>418</v>
      </c>
      <c r="N36" s="13"/>
    </row>
    <row r="37" spans="1:14" x14ac:dyDescent="0.2">
      <c r="B37" s="4" t="s">
        <v>135</v>
      </c>
      <c r="E37" s="595">
        <v>0.255</v>
      </c>
      <c r="F37" s="68">
        <f>E37*F36</f>
        <v>19.428652058432935</v>
      </c>
      <c r="G37" s="10" t="s">
        <v>418</v>
      </c>
      <c r="N37" s="7"/>
    </row>
    <row r="38" spans="1:14" ht="13.5" thickBot="1" x14ac:dyDescent="0.25">
      <c r="B38" s="69" t="s">
        <v>136</v>
      </c>
      <c r="C38" s="69"/>
      <c r="D38" s="69"/>
      <c r="E38" s="69"/>
      <c r="F38" s="66">
        <f>SUM(F36:F37)</f>
        <v>95.61944444444444</v>
      </c>
      <c r="G38" s="12" t="s">
        <v>418</v>
      </c>
      <c r="N38" s="13"/>
    </row>
  </sheetData>
  <sheetProtection algorithmName="SHA-512" hashValue="mhfhCAfYc9sOJBB3HzBzRdTJCpKmFOArrIsON/sRbhlNgrXe9G8ktJWF9bpBLbxbcUdrjNLokaLpIpD8OEFZjg==" saltValue="6jBy+j3KXC3AASlB3n3UHw==" spinCount="100000" sheet="1" formatCells="0" formatColumns="0" formatRows="0"/>
  <mergeCells count="1">
    <mergeCell ref="A3:B3"/>
  </mergeCells>
  <pageMargins left="0.75" right="0.75" top="1" bottom="1"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Ohjeet!$A$63:$A$68</xm:f>
          </x14:formula1>
          <xm:sqref>K25</xm:sqref>
        </x14:dataValidation>
        <x14:dataValidation type="list" allowBlank="1" showInputMessage="1" showErrorMessage="1" xr:uid="{50C2E4CE-AD23-4C59-8041-40B42E9CCD6B}">
          <x14:formula1>
            <xm:f>Laskentayksikot!$E$7:$E$8</xm:f>
          </x14:formula1>
          <xm:sqref>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6FCC-64AF-48ED-9662-91F95CBE563E}">
  <dimension ref="A1:AJ75"/>
  <sheetViews>
    <sheetView showGridLines="0" tabSelected="1" zoomScale="90" zoomScaleNormal="90" workbookViewId="0">
      <selection activeCell="C2" sqref="C2"/>
    </sheetView>
  </sheetViews>
  <sheetFormatPr defaultRowHeight="12.75" x14ac:dyDescent="0.2"/>
  <cols>
    <col min="1" max="1" width="14.5703125" customWidth="1"/>
    <col min="2" max="2" width="9.28515625" customWidth="1"/>
    <col min="3" max="3" width="18.5703125" customWidth="1"/>
    <col min="4" max="5" width="19.85546875" customWidth="1"/>
    <col min="6" max="6" width="15.140625" customWidth="1"/>
    <col min="8" max="8" width="12" customWidth="1"/>
    <col min="13" max="13" width="9.5703125" bestFit="1" customWidth="1"/>
    <col min="17" max="17" width="11.42578125" customWidth="1"/>
  </cols>
  <sheetData>
    <row r="1" spans="1:36" ht="77.25" customHeight="1" thickBot="1" x14ac:dyDescent="0.25">
      <c r="A1" s="892" t="s">
        <v>0</v>
      </c>
      <c r="D1" s="891" t="s">
        <v>683</v>
      </c>
      <c r="AB1" s="909" t="s">
        <v>690</v>
      </c>
      <c r="AC1" s="909"/>
      <c r="AD1" s="909"/>
      <c r="AE1" s="909"/>
      <c r="AF1" s="909"/>
      <c r="AG1" s="909"/>
    </row>
    <row r="2" spans="1:36" ht="22.5" customHeight="1" x14ac:dyDescent="0.2">
      <c r="A2" s="154" t="s">
        <v>1</v>
      </c>
      <c r="B2" s="639" t="s">
        <v>2</v>
      </c>
      <c r="C2" s="157" t="s">
        <v>657</v>
      </c>
      <c r="D2" s="2" t="s">
        <v>3</v>
      </c>
      <c r="AB2" s="910" t="s">
        <v>689</v>
      </c>
      <c r="AC2" s="910"/>
      <c r="AD2" s="910"/>
      <c r="AE2" s="910"/>
      <c r="AF2" s="910"/>
      <c r="AG2" s="910"/>
      <c r="AH2" s="893"/>
      <c r="AI2" s="893"/>
      <c r="AJ2" s="893"/>
    </row>
    <row r="3" spans="1:36" x14ac:dyDescent="0.2">
      <c r="AB3" s="910"/>
      <c r="AC3" s="910"/>
      <c r="AD3" s="910"/>
      <c r="AE3" s="910"/>
      <c r="AF3" s="910"/>
      <c r="AG3" s="910"/>
      <c r="AH3" s="893"/>
      <c r="AI3" s="893"/>
      <c r="AJ3" s="893"/>
    </row>
    <row r="4" spans="1:36" x14ac:dyDescent="0.2">
      <c r="A4" s="2" t="s">
        <v>686</v>
      </c>
      <c r="AB4" s="910"/>
      <c r="AC4" s="910"/>
      <c r="AD4" s="910"/>
      <c r="AE4" s="910"/>
      <c r="AF4" s="910"/>
      <c r="AG4" s="910"/>
      <c r="AH4" s="893"/>
      <c r="AI4" s="893"/>
      <c r="AJ4" s="893"/>
    </row>
    <row r="5" spans="1:36" x14ac:dyDescent="0.2">
      <c r="AB5" s="893"/>
      <c r="AC5" s="893"/>
      <c r="AD5" s="893"/>
      <c r="AE5" s="893"/>
      <c r="AF5" s="893"/>
      <c r="AG5" s="893"/>
      <c r="AH5" s="893"/>
      <c r="AI5" s="893"/>
      <c r="AJ5" s="893"/>
    </row>
    <row r="6" spans="1:36" x14ac:dyDescent="0.2">
      <c r="A6" s="154" t="s">
        <v>5</v>
      </c>
      <c r="AB6" s="893"/>
      <c r="AC6" s="893"/>
      <c r="AD6" s="893"/>
      <c r="AE6" s="893"/>
      <c r="AF6" s="893"/>
      <c r="AG6" s="893"/>
      <c r="AH6" s="893"/>
      <c r="AI6" s="893"/>
      <c r="AJ6" s="893"/>
    </row>
    <row r="7" spans="1:36" x14ac:dyDescent="0.2">
      <c r="A7" t="s">
        <v>6</v>
      </c>
    </row>
    <row r="8" spans="1:36" x14ac:dyDescent="0.2">
      <c r="A8" t="s">
        <v>7</v>
      </c>
    </row>
    <row r="9" spans="1:36" x14ac:dyDescent="0.2">
      <c r="A9" s="154" t="s">
        <v>8</v>
      </c>
    </row>
    <row r="10" spans="1:36" x14ac:dyDescent="0.2">
      <c r="A10" s="2" t="s">
        <v>701</v>
      </c>
      <c r="AB10" s="2" t="s">
        <v>688</v>
      </c>
    </row>
    <row r="11" spans="1:36" x14ac:dyDescent="0.2">
      <c r="A11" s="154" t="s">
        <v>10</v>
      </c>
    </row>
    <row r="12" spans="1:36" x14ac:dyDescent="0.2">
      <c r="A12" s="154"/>
      <c r="AB12" s="150" t="s">
        <v>634</v>
      </c>
    </row>
    <row r="13" spans="1:36" x14ac:dyDescent="0.2">
      <c r="A13" s="2" t="s">
        <v>11</v>
      </c>
    </row>
    <row r="15" spans="1:36" x14ac:dyDescent="0.2">
      <c r="A15" s="154" t="s">
        <v>12</v>
      </c>
    </row>
    <row r="16" spans="1:36" x14ac:dyDescent="0.2">
      <c r="A16" s="154" t="s">
        <v>13</v>
      </c>
    </row>
    <row r="17" spans="1:1" x14ac:dyDescent="0.2">
      <c r="A17" t="s">
        <v>14</v>
      </c>
    </row>
    <row r="18" spans="1:1" x14ac:dyDescent="0.2">
      <c r="A18" s="154" t="s">
        <v>15</v>
      </c>
    </row>
    <row r="19" spans="1:1" x14ac:dyDescent="0.2">
      <c r="A19" t="s">
        <v>16</v>
      </c>
    </row>
    <row r="21" spans="1:1" x14ac:dyDescent="0.2">
      <c r="A21" s="2" t="s">
        <v>17</v>
      </c>
    </row>
    <row r="22" spans="1:1" x14ac:dyDescent="0.2">
      <c r="A22" s="150" t="s">
        <v>702</v>
      </c>
    </row>
    <row r="23" spans="1:1" x14ac:dyDescent="0.2">
      <c r="A23" s="150" t="s">
        <v>19</v>
      </c>
    </row>
    <row r="24" spans="1:1" x14ac:dyDescent="0.2">
      <c r="A24" s="150"/>
    </row>
    <row r="25" spans="1:1" x14ac:dyDescent="0.2">
      <c r="A25" s="150" t="s">
        <v>22</v>
      </c>
    </row>
    <row r="27" spans="1:1" x14ac:dyDescent="0.2">
      <c r="A27" s="150" t="s">
        <v>23</v>
      </c>
    </row>
    <row r="28" spans="1:1" x14ac:dyDescent="0.2">
      <c r="A28" s="150"/>
    </row>
    <row r="29" spans="1:1" x14ac:dyDescent="0.2">
      <c r="A29" s="150"/>
    </row>
    <row r="30" spans="1:1" x14ac:dyDescent="0.2">
      <c r="A30" s="150" t="s">
        <v>25</v>
      </c>
    </row>
    <row r="31" spans="1:1" x14ac:dyDescent="0.2">
      <c r="A31" s="150"/>
    </row>
    <row r="32" spans="1:1" x14ac:dyDescent="0.2">
      <c r="A32" s="154"/>
    </row>
    <row r="33" spans="1:1" x14ac:dyDescent="0.2">
      <c r="A33" s="2" t="s">
        <v>26</v>
      </c>
    </row>
    <row r="34" spans="1:1" x14ac:dyDescent="0.2">
      <c r="A34" s="154" t="s">
        <v>27</v>
      </c>
    </row>
    <row r="35" spans="1:1" x14ac:dyDescent="0.2">
      <c r="A35" s="154" t="s">
        <v>28</v>
      </c>
    </row>
    <row r="36" spans="1:1" x14ac:dyDescent="0.2">
      <c r="A36" s="154" t="s">
        <v>685</v>
      </c>
    </row>
    <row r="37" spans="1:1" x14ac:dyDescent="0.2">
      <c r="A37" s="154" t="s">
        <v>29</v>
      </c>
    </row>
    <row r="38" spans="1:1" x14ac:dyDescent="0.2">
      <c r="A38" s="154"/>
    </row>
    <row r="39" spans="1:1" x14ac:dyDescent="0.2">
      <c r="A39" s="154" t="s">
        <v>684</v>
      </c>
    </row>
    <row r="40" spans="1:1" x14ac:dyDescent="0.2">
      <c r="A40" s="154" t="s">
        <v>31</v>
      </c>
    </row>
    <row r="41" spans="1:1" x14ac:dyDescent="0.2">
      <c r="A41" s="154"/>
    </row>
    <row r="42" spans="1:1" x14ac:dyDescent="0.2">
      <c r="A42" s="154"/>
    </row>
    <row r="43" spans="1:1" ht="20.25" x14ac:dyDescent="0.3">
      <c r="A43" s="154" t="s">
        <v>687</v>
      </c>
    </row>
    <row r="44" spans="1:1" x14ac:dyDescent="0.2">
      <c r="A44" s="154"/>
    </row>
    <row r="45" spans="1:1" x14ac:dyDescent="0.2">
      <c r="A45" s="154"/>
    </row>
    <row r="46" spans="1:1" x14ac:dyDescent="0.2">
      <c r="A46" s="154"/>
    </row>
    <row r="47" spans="1:1" ht="327" customHeight="1" x14ac:dyDescent="0.2">
      <c r="A47" s="154"/>
    </row>
    <row r="48" spans="1:1" x14ac:dyDescent="0.2">
      <c r="A48" s="154"/>
    </row>
    <row r="49" spans="1:7" x14ac:dyDescent="0.2">
      <c r="A49" s="154"/>
    </row>
    <row r="50" spans="1:7" x14ac:dyDescent="0.2">
      <c r="A50" s="154"/>
    </row>
    <row r="51" spans="1:7" x14ac:dyDescent="0.2">
      <c r="A51" s="154"/>
    </row>
    <row r="52" spans="1:7" x14ac:dyDescent="0.2">
      <c r="A52" s="154"/>
    </row>
    <row r="53" spans="1:7" x14ac:dyDescent="0.2">
      <c r="A53" s="154"/>
    </row>
    <row r="54" spans="1:7" x14ac:dyDescent="0.2">
      <c r="A54" s="154"/>
    </row>
    <row r="55" spans="1:7" x14ac:dyDescent="0.2">
      <c r="A55" s="154"/>
    </row>
    <row r="56" spans="1:7" x14ac:dyDescent="0.2">
      <c r="A56" s="154"/>
    </row>
    <row r="57" spans="1:7" x14ac:dyDescent="0.2">
      <c r="A57" s="154"/>
    </row>
    <row r="58" spans="1:7" x14ac:dyDescent="0.2">
      <c r="A58" s="154"/>
    </row>
    <row r="61" spans="1:7" ht="409.6" customHeight="1" x14ac:dyDescent="0.2">
      <c r="A61" s="2" t="s">
        <v>32</v>
      </c>
    </row>
    <row r="62" spans="1:7" ht="24" customHeight="1" x14ac:dyDescent="0.2">
      <c r="A62" s="2" t="s">
        <v>33</v>
      </c>
      <c r="B62" s="2"/>
      <c r="C62" s="2" t="s">
        <v>34</v>
      </c>
      <c r="D62" s="382" t="s">
        <v>35</v>
      </c>
      <c r="E62" s="382"/>
      <c r="F62" s="2" t="s">
        <v>36</v>
      </c>
      <c r="G62" s="122" t="s">
        <v>34</v>
      </c>
    </row>
    <row r="63" spans="1:7" ht="15" x14ac:dyDescent="0.2">
      <c r="A63" s="155" t="s">
        <v>37</v>
      </c>
      <c r="B63" s="149">
        <v>1</v>
      </c>
      <c r="C63" s="156" t="s">
        <v>38</v>
      </c>
      <c r="D63" s="149">
        <v>2660</v>
      </c>
      <c r="E63" s="157" t="s">
        <v>39</v>
      </c>
      <c r="F63" s="383">
        <f>(B63*D63)/1000</f>
        <v>2.66</v>
      </c>
      <c r="G63" s="154" t="s">
        <v>40</v>
      </c>
    </row>
    <row r="64" spans="1:7" ht="15" x14ac:dyDescent="0.2">
      <c r="A64" s="155" t="s">
        <v>41</v>
      </c>
      <c r="B64" s="149">
        <v>1</v>
      </c>
      <c r="C64" s="156" t="s">
        <v>38</v>
      </c>
      <c r="D64" s="149">
        <v>2339</v>
      </c>
      <c r="E64" s="157" t="s">
        <v>42</v>
      </c>
      <c r="F64" s="383">
        <f>B64*D64/1000</f>
        <v>2.339</v>
      </c>
      <c r="G64" s="154" t="s">
        <v>40</v>
      </c>
    </row>
    <row r="65" spans="1:7" ht="15" x14ac:dyDescent="0.2">
      <c r="A65" s="155" t="s">
        <v>43</v>
      </c>
      <c r="B65" s="149">
        <v>1</v>
      </c>
      <c r="C65" s="156" t="s">
        <v>38</v>
      </c>
      <c r="D65" s="149">
        <v>2184</v>
      </c>
      <c r="E65" s="157" t="s">
        <v>42</v>
      </c>
      <c r="F65" s="383">
        <f>B65*D65/1000</f>
        <v>2.1840000000000002</v>
      </c>
      <c r="G65" s="154" t="s">
        <v>40</v>
      </c>
    </row>
    <row r="66" spans="1:7" ht="15" x14ac:dyDescent="0.2">
      <c r="A66" s="151" t="s">
        <v>44</v>
      </c>
      <c r="B66" s="149">
        <v>1</v>
      </c>
      <c r="C66" s="156" t="s">
        <v>40</v>
      </c>
      <c r="D66" s="149">
        <v>750.6</v>
      </c>
      <c r="E66" s="157" t="s">
        <v>45</v>
      </c>
      <c r="F66" s="383">
        <f t="shared" ref="F66:F68" si="0">B66*D66/1000</f>
        <v>0.75060000000000004</v>
      </c>
      <c r="G66" s="154" t="s">
        <v>40</v>
      </c>
    </row>
    <row r="67" spans="1:7" ht="15" x14ac:dyDescent="0.2">
      <c r="A67" s="155" t="s">
        <v>46</v>
      </c>
      <c r="B67" s="149">
        <v>1</v>
      </c>
      <c r="C67" s="156" t="s">
        <v>47</v>
      </c>
      <c r="D67" s="149">
        <v>0</v>
      </c>
      <c r="E67" s="157" t="s">
        <v>45</v>
      </c>
      <c r="F67" s="383">
        <f t="shared" si="0"/>
        <v>0</v>
      </c>
      <c r="G67" s="154" t="s">
        <v>40</v>
      </c>
    </row>
    <row r="68" spans="1:7" x14ac:dyDescent="0.2">
      <c r="A68" s="155" t="s">
        <v>48</v>
      </c>
      <c r="B68" s="149">
        <v>1</v>
      </c>
      <c r="C68" s="156"/>
      <c r="D68" s="149">
        <v>0</v>
      </c>
      <c r="E68" s="149"/>
      <c r="F68" s="383">
        <f t="shared" si="0"/>
        <v>0</v>
      </c>
      <c r="G68" s="154" t="s">
        <v>40</v>
      </c>
    </row>
    <row r="69" spans="1:7" x14ac:dyDescent="0.2">
      <c r="A69" s="383"/>
      <c r="B69" s="383"/>
      <c r="C69" s="383"/>
      <c r="D69" s="383"/>
      <c r="E69" s="383"/>
      <c r="F69" s="383"/>
      <c r="G69" s="154"/>
    </row>
    <row r="71" spans="1:7" x14ac:dyDescent="0.2">
      <c r="A71" s="154" t="s">
        <v>49</v>
      </c>
    </row>
    <row r="72" spans="1:7" x14ac:dyDescent="0.2">
      <c r="B72" s="384" t="s">
        <v>50</v>
      </c>
    </row>
    <row r="73" spans="1:7" x14ac:dyDescent="0.2">
      <c r="B73" s="384" t="s">
        <v>51</v>
      </c>
    </row>
    <row r="74" spans="1:7" x14ac:dyDescent="0.2">
      <c r="B74" s="384" t="s">
        <v>52</v>
      </c>
    </row>
    <row r="75" spans="1:7" x14ac:dyDescent="0.2">
      <c r="B75" s="384" t="s">
        <v>53</v>
      </c>
    </row>
  </sheetData>
  <sheetProtection algorithmName="SHA-512" hashValue="KIEillP+1/URCc0lCbOhPQrgZpNRqYs8Ne5qoC+pWYUnz+VJsw9fNJ8CUOXNTo+VsaWkNYsoy+tRFcxxmRsI3A==" saltValue="ow58B4qrdQv2RzC+38Bi+w==" spinCount="100000" sheet="1" objects="1" scenarios="1"/>
  <mergeCells count="2">
    <mergeCell ref="AB1:AG1"/>
    <mergeCell ref="AB2:AG4"/>
  </mergeCells>
  <hyperlinks>
    <hyperlink ref="B72" r:id="rId1" xr:uid="{E614C4A5-78DE-408A-AC56-25161E63D2DC}"/>
    <hyperlink ref="B73" r:id="rId2" xr:uid="{82F8C189-6E4F-43D4-A51A-BBE55DDD443D}"/>
    <hyperlink ref="B74" r:id="rId3" xr:uid="{9D9D085B-9A78-42FE-9963-5546ED5D3DB8}"/>
    <hyperlink ref="B75" r:id="rId4" xr:uid="{197D3255-38EB-4A75-BF84-450EB02B1EEA}"/>
    <hyperlink ref="A22" location="'Traktorin tuntihinta tieketju 1'!A1" display="Traktorin tuntihinta tiketju 1 - 4 = Voit laskea traktorin + halutessasi laskea ja kytkeä työkoneita kiinni traktoriveturiin" xr:uid="{BF324756-496F-4101-965D-08BD22D880C1}"/>
    <hyperlink ref="A23" location="'Koneketjujen ketjutus Tieketju'!A1" display="Koneketjujen ketjutus = Voit ketjuttaa edellä olevat ketjut yhteen halumallasi suhteilla ja laskea urakkahinnan." xr:uid="{ACA29EF3-8B05-4219-A8F9-58FCCD2F3A40}"/>
    <hyperlink ref="A25" location="Kaivuri!A1" display="Kaivuri" xr:uid="{D3DC5D89-13F3-4B9E-B8FA-E9B70AB5C8FE}"/>
    <hyperlink ref="A27" location="Auto!A1" display="Auto, Soveltuu henkilö- tai kuorma-autolle. Liitä mukaan peräkärry tai kuormain." xr:uid="{DFCFB157-CE6B-46DF-B150-B2B685FA1C50}"/>
    <hyperlink ref="A30" location="Ajoleikkuri!A1" display="Pienkoneita" xr:uid="{B80AC956-C087-40B9-BF20-FE72BC87A9F3}"/>
    <hyperlink ref="AB12" r:id="rId5" xr:uid="{B87E0CA7-3E5F-4F51-BEAA-E41A83E2F26B}"/>
  </hyperlinks>
  <pageMargins left="0.7" right="0.7" top="0.75" bottom="0.75" header="0.3" footer="0.3"/>
  <pageSetup paperSize="9" orientation="portrait" horizontalDpi="300" verticalDpi="300"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20"/>
  <dimension ref="A1:F16"/>
  <sheetViews>
    <sheetView workbookViewId="0">
      <selection activeCell="B9" sqref="B9"/>
    </sheetView>
  </sheetViews>
  <sheetFormatPr defaultRowHeight="12.75" x14ac:dyDescent="0.2"/>
  <cols>
    <col min="1" max="1" width="12.7109375" customWidth="1"/>
    <col min="4" max="4" width="12" customWidth="1"/>
    <col min="5" max="5" width="24.28515625" customWidth="1"/>
  </cols>
  <sheetData>
    <row r="1" spans="1:6" x14ac:dyDescent="0.2">
      <c r="A1" s="154" t="s">
        <v>54</v>
      </c>
      <c r="D1" s="2" t="s">
        <v>55</v>
      </c>
      <c r="E1" s="2" t="s">
        <v>56</v>
      </c>
      <c r="F1" s="2" t="s">
        <v>57</v>
      </c>
    </row>
    <row r="2" spans="1:6" x14ac:dyDescent="0.2">
      <c r="B2" s="192" t="s">
        <v>58</v>
      </c>
      <c r="D2" s="154" t="s">
        <v>59</v>
      </c>
      <c r="E2" s="310" t="s">
        <v>60</v>
      </c>
    </row>
    <row r="3" spans="1:6" x14ac:dyDescent="0.2">
      <c r="B3" s="192" t="s">
        <v>40</v>
      </c>
      <c r="D3" s="154" t="s">
        <v>61</v>
      </c>
      <c r="E3" s="310" t="s">
        <v>62</v>
      </c>
    </row>
    <row r="4" spans="1:6" x14ac:dyDescent="0.2">
      <c r="B4" s="192" t="s">
        <v>63</v>
      </c>
    </row>
    <row r="5" spans="1:6" x14ac:dyDescent="0.2">
      <c r="B5" s="192" t="s">
        <v>64</v>
      </c>
    </row>
    <row r="6" spans="1:6" x14ac:dyDescent="0.2">
      <c r="A6" s="155" t="s">
        <v>65</v>
      </c>
      <c r="B6" s="155" t="s">
        <v>192</v>
      </c>
      <c r="D6" s="2" t="s">
        <v>55</v>
      </c>
      <c r="E6" s="2" t="s">
        <v>66</v>
      </c>
    </row>
    <row r="7" spans="1:6" ht="14.25" x14ac:dyDescent="0.2">
      <c r="A7" s="155" t="s">
        <v>65</v>
      </c>
      <c r="B7" s="155" t="s">
        <v>67</v>
      </c>
      <c r="D7" t="s">
        <v>68</v>
      </c>
      <c r="E7" s="310" t="s">
        <v>69</v>
      </c>
    </row>
    <row r="8" spans="1:6" x14ac:dyDescent="0.2">
      <c r="A8" s="155" t="s">
        <v>65</v>
      </c>
      <c r="B8" s="155" t="s">
        <v>699</v>
      </c>
      <c r="D8" t="s">
        <v>71</v>
      </c>
      <c r="E8" s="310" t="s">
        <v>72</v>
      </c>
    </row>
    <row r="9" spans="1:6" x14ac:dyDescent="0.2">
      <c r="A9" s="155" t="s">
        <v>65</v>
      </c>
      <c r="B9" s="155" t="s">
        <v>228</v>
      </c>
    </row>
    <row r="10" spans="1:6" x14ac:dyDescent="0.2">
      <c r="A10" s="155" t="s">
        <v>65</v>
      </c>
      <c r="B10" s="155" t="s">
        <v>73</v>
      </c>
      <c r="D10" s="154" t="s">
        <v>74</v>
      </c>
    </row>
    <row r="11" spans="1:6" x14ac:dyDescent="0.2">
      <c r="A11" s="155" t="s">
        <v>65</v>
      </c>
      <c r="B11" s="155" t="s">
        <v>75</v>
      </c>
      <c r="E11" s="155" t="s">
        <v>76</v>
      </c>
    </row>
    <row r="12" spans="1:6" x14ac:dyDescent="0.2">
      <c r="A12" s="155" t="s">
        <v>65</v>
      </c>
      <c r="B12" s="155" t="s">
        <v>506</v>
      </c>
      <c r="E12" s="155" t="s">
        <v>77</v>
      </c>
    </row>
    <row r="13" spans="1:6" x14ac:dyDescent="0.2">
      <c r="A13" s="155" t="s">
        <v>65</v>
      </c>
      <c r="B13" s="155" t="s">
        <v>40</v>
      </c>
    </row>
    <row r="14" spans="1:6" x14ac:dyDescent="0.2">
      <c r="A14" s="155" t="s">
        <v>65</v>
      </c>
      <c r="B14" s="155" t="s">
        <v>78</v>
      </c>
      <c r="D14" s="154" t="s">
        <v>650</v>
      </c>
    </row>
    <row r="15" spans="1:6" x14ac:dyDescent="0.2">
      <c r="D15" s="154" t="s">
        <v>59</v>
      </c>
      <c r="E15" s="858" t="s">
        <v>48</v>
      </c>
    </row>
    <row r="16" spans="1:6" x14ac:dyDescent="0.2">
      <c r="D16" s="154" t="s">
        <v>61</v>
      </c>
      <c r="E16" s="858"/>
    </row>
  </sheetData>
  <sheetProtection formatCells="0" formatColumns="0" formatRows="0"/>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pageSetUpPr fitToPage="1"/>
  </sheetPr>
  <dimension ref="A1:AC43"/>
  <sheetViews>
    <sheetView zoomScale="85" zoomScaleNormal="85" workbookViewId="0">
      <selection activeCell="B44" sqref="B44:C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6.28515625" style="4" customWidth="1"/>
    <col min="13" max="13" width="10.140625" style="4" customWidth="1"/>
    <col min="14" max="14" width="13.85546875" style="4" customWidth="1"/>
    <col min="15" max="15" width="12.42578125" style="4" customWidth="1"/>
    <col min="16" max="16" width="6.28515625" style="4" customWidth="1"/>
    <col min="17" max="17" width="9.140625" style="4" customWidth="1"/>
    <col min="18" max="18" width="13.85546875" style="4" customWidth="1"/>
    <col min="19" max="19" width="11" style="4" customWidth="1"/>
    <col min="20" max="20" width="14.28515625" style="4" customWidth="1"/>
    <col min="21" max="21" width="12.7109375" style="4" customWidth="1"/>
    <col min="22" max="22" width="15.7109375" style="4" customWidth="1"/>
    <col min="23" max="23" width="13.140625" style="4" customWidth="1"/>
    <col min="24" max="24" width="11.42578125" style="4" customWidth="1"/>
    <col min="25" max="25" width="10.42578125" style="4" bestFit="1" customWidth="1"/>
    <col min="26" max="26" width="13.7109375" style="4" customWidth="1"/>
    <col min="27" max="27" width="12.140625" style="4" customWidth="1"/>
    <col min="28" max="28" width="11.140625" style="4" customWidth="1"/>
    <col min="29" max="32" width="9.140625" style="4"/>
    <col min="33" max="33" width="2.85546875" style="4" customWidth="1"/>
    <col min="34" max="16384" width="9.140625" style="4"/>
  </cols>
  <sheetData>
    <row r="1" spans="1:29" ht="39" thickBot="1" x14ac:dyDescent="0.25">
      <c r="A1" s="6" t="s">
        <v>79</v>
      </c>
      <c r="C1" s="6"/>
      <c r="E1" s="917" t="s">
        <v>80</v>
      </c>
      <c r="F1" s="917"/>
      <c r="G1" s="917"/>
      <c r="H1" s="918" t="s">
        <v>81</v>
      </c>
      <c r="I1" s="918"/>
      <c r="J1" s="918"/>
      <c r="L1" s="918" t="s">
        <v>81</v>
      </c>
      <c r="M1" s="918"/>
      <c r="N1" s="918"/>
      <c r="P1" s="918" t="s">
        <v>81</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89</v>
      </c>
      <c r="B2" s="912"/>
      <c r="C2" s="4" t="s">
        <v>90</v>
      </c>
      <c r="D2" s="70" t="s">
        <v>69</v>
      </c>
      <c r="E2" s="913" t="s">
        <v>60</v>
      </c>
      <c r="F2" s="914"/>
      <c r="G2" s="72"/>
      <c r="H2" s="402"/>
      <c r="I2" s="913" t="s">
        <v>62</v>
      </c>
      <c r="J2" s="914"/>
      <c r="K2" s="71"/>
      <c r="L2" s="402"/>
      <c r="M2" s="913" t="s">
        <v>62</v>
      </c>
      <c r="N2" s="914"/>
      <c r="O2" s="71"/>
      <c r="P2" s="402"/>
      <c r="Q2" s="913" t="s">
        <v>62</v>
      </c>
      <c r="R2" s="914"/>
      <c r="S2" s="71"/>
    </row>
    <row r="3" spans="1:29" ht="13.5" thickBot="1" x14ac:dyDescent="0.25">
      <c r="C3" s="10" t="s">
        <v>91</v>
      </c>
      <c r="E3" s="921" t="s">
        <v>594</v>
      </c>
      <c r="F3" s="922"/>
      <c r="H3" s="403"/>
      <c r="I3" s="923" t="s">
        <v>92</v>
      </c>
      <c r="J3" s="916"/>
      <c r="K3" s="73"/>
      <c r="L3" s="403"/>
      <c r="M3" s="915" t="s">
        <v>93</v>
      </c>
      <c r="N3" s="916"/>
      <c r="O3" s="73"/>
      <c r="P3" s="403"/>
      <c r="Q3" s="915" t="s">
        <v>94</v>
      </c>
      <c r="R3" s="916"/>
      <c r="S3" s="73"/>
      <c r="T3" s="6" t="str">
        <f>"Kytketty koneet: "&amp;IF(E2="k",E3&amp;" ","")&amp;IF(I2="k",I3&amp;" ","")&amp;IF(M2="k",M3&amp;" ","")&amp;(IF(Q2="k",Q3&amp;" ",""))</f>
        <v xml:space="preserve">Kytketty koneet: Valtra T-sarja </v>
      </c>
    </row>
    <row r="4" spans="1:29" x14ac:dyDescent="0.2">
      <c r="A4" s="4" t="s">
        <v>95</v>
      </c>
      <c r="E4" s="4" t="s">
        <v>96</v>
      </c>
      <c r="F4" s="797">
        <v>6</v>
      </c>
      <c r="H4" s="119"/>
      <c r="I4" s="4" t="s">
        <v>96</v>
      </c>
      <c r="J4" s="797">
        <v>1</v>
      </c>
      <c r="K4" s="73"/>
      <c r="L4" s="119"/>
      <c r="M4" s="4" t="s">
        <v>96</v>
      </c>
      <c r="N4" s="797">
        <v>1</v>
      </c>
      <c r="O4" s="73"/>
      <c r="P4" s="119"/>
      <c r="Q4" s="4" t="s">
        <v>96</v>
      </c>
      <c r="R4" s="797">
        <v>1</v>
      </c>
      <c r="S4" s="73"/>
      <c r="T4" s="160" t="s">
        <v>97</v>
      </c>
    </row>
    <row r="5" spans="1:29" ht="13.5" thickBot="1" x14ac:dyDescent="0.25">
      <c r="A5" s="4" t="s">
        <v>98</v>
      </c>
      <c r="E5" s="4" t="s">
        <v>99</v>
      </c>
      <c r="F5" s="640">
        <v>1600</v>
      </c>
      <c r="H5" s="119"/>
      <c r="I5" s="4" t="s">
        <v>99</v>
      </c>
      <c r="J5" s="640">
        <v>1</v>
      </c>
      <c r="K5" s="73"/>
      <c r="L5" s="119"/>
      <c r="M5" s="4" t="s">
        <v>99</v>
      </c>
      <c r="N5" s="640">
        <v>1</v>
      </c>
      <c r="O5" s="73"/>
      <c r="P5" s="119"/>
      <c r="Q5" s="4" t="s">
        <v>99</v>
      </c>
      <c r="R5" s="640">
        <v>1</v>
      </c>
      <c r="S5" s="73"/>
      <c r="T5" s="641">
        <f>IF($E$2="k",(F5),0)+IF($I$2="k",(J5),0)+IF($M$2="k",(N5),0)+IF($Q$2="k",(R5),0)</f>
        <v>1600</v>
      </c>
    </row>
    <row r="6" spans="1:29" ht="13.5" thickBot="1" x14ac:dyDescent="0.25">
      <c r="A6" s="160" t="s">
        <v>545</v>
      </c>
      <c r="E6" s="795">
        <v>1</v>
      </c>
      <c r="F6" s="794">
        <f>E6*F5</f>
        <v>1600</v>
      </c>
      <c r="G6" s="793"/>
      <c r="I6" s="795">
        <f>E6</f>
        <v>1</v>
      </c>
      <c r="J6" s="794">
        <f>I6*J5</f>
        <v>1</v>
      </c>
      <c r="K6" s="73"/>
      <c r="M6" s="795">
        <f>I6</f>
        <v>1</v>
      </c>
      <c r="N6" s="794">
        <f>M6*N5</f>
        <v>1</v>
      </c>
      <c r="O6" s="73"/>
      <c r="Q6" s="795">
        <f>M6</f>
        <v>1</v>
      </c>
      <c r="R6" s="794">
        <f>Q6*R5</f>
        <v>1</v>
      </c>
      <c r="S6" s="73"/>
      <c r="T6" s="641">
        <f>IF($E$2="k",(F6),0)+IF($I$2="k",(J6),0)+IF($M$2="k",(N6),0)+IF($Q$2="k",(R6),0)</f>
        <v>1600</v>
      </c>
    </row>
    <row r="7" spans="1:29" x14ac:dyDescent="0.2">
      <c r="A7" s="4" t="s">
        <v>100</v>
      </c>
      <c r="F7" s="77">
        <v>120000</v>
      </c>
      <c r="H7" s="119"/>
      <c r="J7" s="77">
        <v>5000</v>
      </c>
      <c r="K7" s="73"/>
      <c r="L7" s="119"/>
      <c r="N7" s="77">
        <v>0</v>
      </c>
      <c r="O7" s="73"/>
      <c r="P7" s="119"/>
      <c r="R7" s="77">
        <v>10000</v>
      </c>
      <c r="S7" s="73"/>
    </row>
    <row r="8" spans="1:29" x14ac:dyDescent="0.2">
      <c r="A8" s="4" t="s">
        <v>101</v>
      </c>
      <c r="E8" s="596">
        <v>0.255</v>
      </c>
      <c r="F8" s="222">
        <f>F7/(100%+E8)*E8</f>
        <v>24382.470119521913</v>
      </c>
      <c r="G8" s="7"/>
      <c r="H8" s="404"/>
      <c r="I8" s="596">
        <f>E8</f>
        <v>0.255</v>
      </c>
      <c r="J8" s="222">
        <f>J7/(100%+I8)*I8</f>
        <v>1015.9362549800798</v>
      </c>
      <c r="K8" s="79"/>
      <c r="L8" s="404"/>
      <c r="M8" s="596">
        <f>I8</f>
        <v>0.255</v>
      </c>
      <c r="N8" s="222">
        <f>N7/(100%+M8)*M8</f>
        <v>0</v>
      </c>
      <c r="O8" s="79"/>
      <c r="P8" s="404"/>
      <c r="Q8" s="596">
        <f>M8</f>
        <v>0.255</v>
      </c>
      <c r="R8" s="222">
        <f>R7/(100%+Q8)*Q8</f>
        <v>2031.8725099601595</v>
      </c>
      <c r="S8" s="79"/>
    </row>
    <row r="9" spans="1:29" x14ac:dyDescent="0.2">
      <c r="A9" s="4" t="s">
        <v>102</v>
      </c>
      <c r="F9" s="80">
        <f>F7-F8</f>
        <v>95617.52988047809</v>
      </c>
      <c r="H9" s="119"/>
      <c r="J9" s="80">
        <f>J7-J8</f>
        <v>3984.0637450199201</v>
      </c>
      <c r="K9" s="73"/>
      <c r="L9" s="119"/>
      <c r="N9" s="80">
        <f>N7-N8</f>
        <v>0</v>
      </c>
      <c r="O9" s="73"/>
      <c r="P9" s="119"/>
      <c r="R9" s="80">
        <f>R7-R8</f>
        <v>7968.1274900398403</v>
      </c>
      <c r="S9" s="73"/>
    </row>
    <row r="10" spans="1:29" x14ac:dyDescent="0.2">
      <c r="A10" s="4" t="s">
        <v>103</v>
      </c>
      <c r="E10" s="225">
        <v>0.5</v>
      </c>
      <c r="F10" s="222">
        <f>E10*F9</f>
        <v>47808.764940239045</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47808.764940239045</v>
      </c>
      <c r="H11" s="119"/>
      <c r="J11" s="81">
        <f>J9-J10</f>
        <v>3984.0637450199201</v>
      </c>
      <c r="K11" s="73"/>
      <c r="L11" s="119"/>
      <c r="N11" s="81">
        <f>N9-N10</f>
        <v>0</v>
      </c>
      <c r="O11" s="73"/>
      <c r="P11" s="119"/>
      <c r="R11" s="81">
        <f>R9-R10</f>
        <v>7968.1274900398403</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10358.565737051793</v>
      </c>
      <c r="H13" s="119"/>
      <c r="I13" s="226">
        <v>0.05</v>
      </c>
      <c r="J13" s="222">
        <f>IF(I2="k",IF($D$2="A",ABS(PMT(I13,J4,-J9,I10*J9,0)),SUM(J14:J15)),0)</f>
        <v>0</v>
      </c>
      <c r="K13" s="73"/>
      <c r="L13" s="119"/>
      <c r="M13" s="226">
        <v>0.05</v>
      </c>
      <c r="N13" s="222">
        <f>IF(M2="k",IF($D$2="A",ABS(PMT(M13,N4,-N9,M10*N9,0)),SUM(N14:N15)),0)</f>
        <v>0</v>
      </c>
      <c r="O13" s="73"/>
      <c r="P13" s="119"/>
      <c r="Q13" s="226">
        <v>0.05</v>
      </c>
      <c r="R13" s="222">
        <f>IF(Q2="k",IF($D$2="A",ABS(PMT(Q13,R4,-R9,Q10*R9,0)),SUM(R14:R15)),0)</f>
        <v>0</v>
      </c>
      <c r="S13" s="73"/>
      <c r="T13" s="36">
        <f>SUM(F13,J13,N13,R13)</f>
        <v>10358.565737051793</v>
      </c>
    </row>
    <row r="14" spans="1:29" x14ac:dyDescent="0.2">
      <c r="B14" s="30" t="s">
        <v>109</v>
      </c>
      <c r="F14" s="84">
        <f>IF(E2="k",IF(D2="A",E13*F9,F9/2*E13),0)</f>
        <v>2390.4382470119522</v>
      </c>
      <c r="G14" s="10"/>
      <c r="H14" s="405"/>
      <c r="J14" s="84">
        <f>IF(I2="k",IF($D$2="A",I13*J9,J9/2*I13),0)</f>
        <v>0</v>
      </c>
      <c r="K14" s="85"/>
      <c r="L14" s="405"/>
      <c r="N14" s="84">
        <f>IF(M2="k",IF($D$2="A",M13*N9,N9/2*M13),0)</f>
        <v>0</v>
      </c>
      <c r="O14" s="85"/>
      <c r="P14" s="405"/>
      <c r="R14" s="84">
        <f>IF(Q2="k",IF($D$2="A",Q13*R9,R9/2*Q13),0)</f>
        <v>0</v>
      </c>
      <c r="S14" s="85"/>
      <c r="T14" s="36">
        <f t="shared" ref="T14:T38" si="0">SUM(F14,J14,N14,R14)</f>
        <v>2390.4382470119522</v>
      </c>
    </row>
    <row r="15" spans="1:29" ht="13.5" thickBot="1" x14ac:dyDescent="0.25">
      <c r="B15" s="32" t="s">
        <v>110</v>
      </c>
      <c r="C15" s="33"/>
      <c r="D15" s="33"/>
      <c r="E15" s="33"/>
      <c r="F15" s="86">
        <f>IF(E2="k",IF(D2="A",F13-F14,F11/F4),0)</f>
        <v>7968.1274900398412</v>
      </c>
      <c r="H15" s="119"/>
      <c r="J15" s="86">
        <f>IF(I2="k",IF($D$2="A",J13-J14,J11/J4),0)</f>
        <v>0</v>
      </c>
      <c r="K15" s="73"/>
      <c r="L15" s="119"/>
      <c r="N15" s="86">
        <f>IF(M2="k",IF($D$2="A",N13-N14,N11/N4),0)</f>
        <v>0</v>
      </c>
      <c r="O15" s="73"/>
      <c r="P15" s="119"/>
      <c r="R15" s="86">
        <f>IF(Q2="k",IF($D$2="A",R13-R14,R11/R4),0)</f>
        <v>0</v>
      </c>
      <c r="S15" s="73"/>
      <c r="T15" s="36">
        <f t="shared" si="0"/>
        <v>7968.1274900398412</v>
      </c>
    </row>
    <row r="16" spans="1:29" ht="18" customHeight="1"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350</v>
      </c>
      <c r="G18" s="10"/>
      <c r="H18" s="405"/>
      <c r="J18" s="77">
        <v>0</v>
      </c>
      <c r="K18" s="85"/>
      <c r="L18" s="405"/>
      <c r="N18" s="77">
        <v>0</v>
      </c>
      <c r="O18" s="85"/>
      <c r="P18" s="405"/>
      <c r="R18" s="77">
        <v>0</v>
      </c>
      <c r="S18" s="85"/>
      <c r="T18" s="8">
        <f>IF($E$2="k",F18)+IF($I$2="k",J18)+IF($M$2="k",N18)+IF($Q$2="k",R18)</f>
        <v>350</v>
      </c>
    </row>
    <row r="19" spans="1:29" x14ac:dyDescent="0.2">
      <c r="B19" s="35" t="s">
        <v>113</v>
      </c>
      <c r="D19" s="44"/>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286.85258964143429</v>
      </c>
      <c r="G21" s="10"/>
      <c r="H21" s="405"/>
      <c r="I21" s="226">
        <v>3.0000000000000001E-3</v>
      </c>
      <c r="J21" s="290">
        <f>IF(I2="k",I21*J9,0)</f>
        <v>0</v>
      </c>
      <c r="K21" s="85"/>
      <c r="L21" s="405"/>
      <c r="M21" s="226">
        <v>3.0000000000000001E-3</v>
      </c>
      <c r="N21" s="290">
        <f>IF(M2="k",M21*N9,0)</f>
        <v>0</v>
      </c>
      <c r="O21" s="85"/>
      <c r="P21" s="405"/>
      <c r="Q21" s="226">
        <v>3.0000000000000001E-3</v>
      </c>
      <c r="R21" s="19">
        <f>IF(Q2="k",Q21*R9,0)</f>
        <v>0</v>
      </c>
      <c r="S21" s="85"/>
      <c r="T21" s="36">
        <f t="shared" si="0"/>
        <v>286.85258964143429</v>
      </c>
    </row>
    <row r="22" spans="1:29" ht="13.5" thickBot="1" x14ac:dyDescent="0.25">
      <c r="B22" s="50" t="s">
        <v>115</v>
      </c>
      <c r="C22" s="51"/>
      <c r="D22" s="51"/>
      <c r="E22" s="52"/>
      <c r="F22" s="91">
        <f>IF(E2="k",SUM(F14:F21),0)</f>
        <v>11235.418326693227</v>
      </c>
      <c r="G22" s="209">
        <f>IF($E$6=0%,F22/$F$5,F22/$F$6)</f>
        <v>7.0221364541832667</v>
      </c>
      <c r="H22" s="406"/>
      <c r="J22" s="91">
        <f>IF(I2="k",SUM(J14:J21),0)</f>
        <v>0</v>
      </c>
      <c r="K22" s="209">
        <f>IF(I$6=0%,J22/J$5,J22/J$6)</f>
        <v>0</v>
      </c>
      <c r="L22" s="406"/>
      <c r="N22" s="91">
        <f>IF(M2="k",SUM(N14:N21),0)</f>
        <v>0</v>
      </c>
      <c r="O22" s="209">
        <f>IF(M$6=0%,N22/N$5,N22/N$6)</f>
        <v>0</v>
      </c>
      <c r="P22" s="406"/>
      <c r="R22" s="93">
        <f>IF(Q2="k",SUM(R14:R21),0)</f>
        <v>0</v>
      </c>
      <c r="S22" s="209">
        <f>IF(Q$6=0%,R22/R$5,R22/R$6)</f>
        <v>0</v>
      </c>
      <c r="T22" s="94">
        <f t="shared" si="0"/>
        <v>11235.418326693227</v>
      </c>
      <c r="U22" s="425">
        <f>SUM(G22,K22,O22,S22)</f>
        <v>7.0221364541832667</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1000</v>
      </c>
      <c r="G24" s="47"/>
      <c r="H24" s="409"/>
      <c r="J24" s="77">
        <v>0</v>
      </c>
      <c r="K24" s="99"/>
      <c r="L24" s="409"/>
      <c r="N24" s="77">
        <v>0</v>
      </c>
      <c r="O24" s="99"/>
      <c r="P24" s="409"/>
      <c r="R24" s="77">
        <v>0</v>
      </c>
      <c r="S24" s="99"/>
      <c r="T24" s="8">
        <f>IF($E$2="k",F24)+IF($I$2="k",J24)+IF($M$2="k",N24)+IF($Q$2="k",R24)</f>
        <v>1000</v>
      </c>
    </row>
    <row r="25" spans="1:29" ht="15.75" x14ac:dyDescent="0.2">
      <c r="B25" s="11" t="s">
        <v>118</v>
      </c>
      <c r="C25" s="196">
        <v>15</v>
      </c>
      <c r="D25" s="197">
        <v>1.5</v>
      </c>
      <c r="E25" s="289"/>
      <c r="F25" s="100">
        <f>IF(E2="k",C25*D25*F5,0)</f>
        <v>36000</v>
      </c>
      <c r="G25" s="39"/>
      <c r="H25" s="410">
        <v>4</v>
      </c>
      <c r="I25" s="102">
        <f>$D$25</f>
        <v>1.5</v>
      </c>
      <c r="J25" s="100">
        <f>IF(I2="k",H25*I25*J5,0)</f>
        <v>0</v>
      </c>
      <c r="K25" s="101"/>
      <c r="L25" s="410">
        <f>H25</f>
        <v>4</v>
      </c>
      <c r="M25" s="102">
        <f>$D$25</f>
        <v>1.5</v>
      </c>
      <c r="N25" s="100">
        <f>IF(M2="k",L25*M25*N5,0)</f>
        <v>0</v>
      </c>
      <c r="O25" s="101"/>
      <c r="P25" s="410">
        <f>L25</f>
        <v>4</v>
      </c>
      <c r="Q25" s="102">
        <f>$D$25</f>
        <v>1.5</v>
      </c>
      <c r="R25" s="100">
        <f>IF(Q2="k",P25*Q25*R5,0)</f>
        <v>0</v>
      </c>
      <c r="S25" s="101"/>
      <c r="T25" s="36">
        <f t="shared" si="0"/>
        <v>36000</v>
      </c>
      <c r="V25" s="165" t="s">
        <v>37</v>
      </c>
      <c r="W25" s="642">
        <f>IF($E$2="k",(C25*F5),0)+IF($I$2="k",(H25*J5),0)+IF($M$2="k",(L25*N5),0)+IF($Q$2="k",(P25*R5),0)</f>
        <v>24000</v>
      </c>
      <c r="X25" s="642">
        <f>W25/159</f>
        <v>150.9433962264151</v>
      </c>
      <c r="Y25" s="161">
        <f>VLOOKUP(V25,Ohjeet!A63:F68,6,FALSE)</f>
        <v>2.66</v>
      </c>
      <c r="Z25" s="163">
        <f>W25*Y25</f>
        <v>63840</v>
      </c>
      <c r="AA25" s="164">
        <f>Z25/1000</f>
        <v>63.84</v>
      </c>
      <c r="AB25" s="162">
        <f>Z25*0.27</f>
        <v>17236.800000000003</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c r="V26" s="166" t="s">
        <v>123</v>
      </c>
      <c r="Z26" s="167">
        <f>Z25/T5</f>
        <v>39.9</v>
      </c>
    </row>
    <row r="27" spans="1:29" x14ac:dyDescent="0.2">
      <c r="B27" s="195" t="s">
        <v>124</v>
      </c>
      <c r="C27" s="393">
        <v>7.0000000000000007E-2</v>
      </c>
      <c r="D27" s="643">
        <f>C25*F5*C27</f>
        <v>1680.0000000000002</v>
      </c>
      <c r="E27" s="644">
        <v>1</v>
      </c>
      <c r="F27" s="397">
        <f>IF(E2="K",IF(G27&gt;0,G27,D27*E27),0)</f>
        <v>1680.0000000000002</v>
      </c>
      <c r="G27" s="645">
        <v>0</v>
      </c>
      <c r="H27" s="411"/>
      <c r="I27" s="400">
        <f>H25*$C$27</f>
        <v>0.28000000000000003</v>
      </c>
      <c r="J27" s="397">
        <f>IF(I2="K",IF(K27&gt;0,K27,I27*$E$27),0)</f>
        <v>0</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1680.0000000000002</v>
      </c>
    </row>
    <row r="28" spans="1:29" x14ac:dyDescent="0.2">
      <c r="B28" s="396" t="s">
        <v>125</v>
      </c>
      <c r="C28" s="919" t="s">
        <v>126</v>
      </c>
      <c r="D28" s="920"/>
      <c r="E28" s="920"/>
      <c r="F28" s="77">
        <v>2000</v>
      </c>
      <c r="G28" s="39"/>
      <c r="H28" s="411"/>
      <c r="I28" s="412" t="str">
        <f>$B$28</f>
        <v>Muut:</v>
      </c>
      <c r="J28" s="77">
        <v>0</v>
      </c>
      <c r="K28" s="101"/>
      <c r="L28" s="411"/>
      <c r="M28" s="412" t="str">
        <f>$B$28</f>
        <v>Muut:</v>
      </c>
      <c r="N28" s="77">
        <v>1</v>
      </c>
      <c r="O28" s="101"/>
      <c r="P28" s="411"/>
      <c r="Q28" s="412" t="str">
        <f>$B$28</f>
        <v>Muut:</v>
      </c>
      <c r="R28" s="77">
        <v>0</v>
      </c>
      <c r="S28" s="101"/>
      <c r="T28" s="8">
        <f>IF($E$2="k",F28)+IF($I$2="k",J28)+IF($M$2="k",N28)+IF($Q$2="k",R28)</f>
        <v>2000</v>
      </c>
    </row>
    <row r="29" spans="1:29" ht="13.5" thickBot="1" x14ac:dyDescent="0.25">
      <c r="B29" s="396" t="s">
        <v>125</v>
      </c>
      <c r="C29" s="919"/>
      <c r="D29" s="920"/>
      <c r="E29" s="920"/>
      <c r="F29" s="77"/>
      <c r="G29" s="39"/>
      <c r="H29" s="411"/>
      <c r="I29" s="412" t="str">
        <f>$B$29</f>
        <v>Muut:</v>
      </c>
      <c r="J29" s="77"/>
      <c r="K29" s="101"/>
      <c r="L29" s="411"/>
      <c r="M29" s="412" t="str">
        <f>$B$29</f>
        <v>Muut:</v>
      </c>
      <c r="N29" s="77">
        <v>1</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40680</v>
      </c>
      <c r="G30" s="209">
        <f>IF(E$6=0%,F30/F$5,F30/F$6)</f>
        <v>25.425000000000001</v>
      </c>
      <c r="H30" s="413"/>
      <c r="J30" s="55">
        <f>IF(I2="k",SUM(J24:J29),0)</f>
        <v>0</v>
      </c>
      <c r="K30" s="209">
        <f>IF(I$6=0%,J30/J$5,J30/J$6)</f>
        <v>0</v>
      </c>
      <c r="L30" s="413"/>
      <c r="N30" s="55">
        <f>IF(M2="k",SUM(N24:N29),0)</f>
        <v>0</v>
      </c>
      <c r="O30" s="209">
        <f>IF(M$6=0%,N30/N$5,N30/N$6)</f>
        <v>0</v>
      </c>
      <c r="P30" s="413"/>
      <c r="R30" s="55">
        <f>IF(Q2="k",SUM(R24:R29),0)</f>
        <v>0</v>
      </c>
      <c r="S30" s="209">
        <f>IF(Q$6=0%,R30/R$5,R30/R$6)</f>
        <v>0</v>
      </c>
      <c r="T30" s="94">
        <f t="shared" si="0"/>
        <v>40680</v>
      </c>
      <c r="U30" s="105">
        <f>SUM(G30,K30,O30,S30)</f>
        <v>25.425000000000001</v>
      </c>
    </row>
    <row r="31" spans="1:29" ht="13.5" thickBot="1" x14ac:dyDescent="0.25">
      <c r="A31" s="6" t="s">
        <v>128</v>
      </c>
      <c r="F31" s="106">
        <f>F22+F30</f>
        <v>51915.418326693223</v>
      </c>
      <c r="G31" s="12"/>
      <c r="H31" s="415"/>
      <c r="J31" s="55">
        <f>IF(I2="k",J22+J30,0)</f>
        <v>0</v>
      </c>
      <c r="K31" s="107"/>
      <c r="L31" s="415"/>
      <c r="N31" s="55">
        <f>IF(M2="k",N22+N30,0)</f>
        <v>0</v>
      </c>
      <c r="O31" s="107"/>
      <c r="P31" s="415"/>
      <c r="R31" s="55">
        <f>IF(Q2="k",R22+R30,0)</f>
        <v>0</v>
      </c>
      <c r="S31" s="107"/>
      <c r="T31" s="94">
        <f t="shared" si="0"/>
        <v>51915.418326693223</v>
      </c>
    </row>
    <row r="32" spans="1:29" ht="13.5" thickBot="1" x14ac:dyDescent="0.25">
      <c r="F32" s="7"/>
      <c r="H32" s="119"/>
      <c r="J32" s="7"/>
      <c r="K32" s="73"/>
      <c r="L32" s="119"/>
      <c r="N32" s="7"/>
      <c r="O32" s="73"/>
      <c r="P32" s="119"/>
      <c r="R32" s="7"/>
      <c r="S32" s="73"/>
    </row>
    <row r="33" spans="1:21" ht="13.5" thickBot="1" x14ac:dyDescent="0.25">
      <c r="A33" s="6" t="s">
        <v>129</v>
      </c>
      <c r="F33" s="235">
        <f>IF(E2="k",IF(E6=0%,F31/F5,F31/F6),0)</f>
        <v>32.447136454183266</v>
      </c>
      <c r="G33" s="12"/>
      <c r="H33" s="415"/>
      <c r="J33" s="235">
        <f>IF(I2="k",IF(I6=0%,J31/J5,J31/J6),0)</f>
        <v>0</v>
      </c>
      <c r="K33" s="107"/>
      <c r="L33" s="415"/>
      <c r="N33" s="235">
        <f>IF(M2="k",IF(M6=0%,N31/N5,N31/N6),0)</f>
        <v>0</v>
      </c>
      <c r="O33" s="107"/>
      <c r="P33" s="415"/>
      <c r="R33" s="235">
        <f>IF(Q2="k",IF(Q6=0%,R31/R5,R31/R6),0)</f>
        <v>0</v>
      </c>
      <c r="S33" s="107"/>
      <c r="T33" s="417">
        <f t="shared" si="0"/>
        <v>32.447136454183266</v>
      </c>
    </row>
    <row r="34" spans="1:21" ht="13.5" thickBot="1" x14ac:dyDescent="0.25">
      <c r="B34" s="6" t="s">
        <v>130</v>
      </c>
      <c r="E34" s="203">
        <v>0</v>
      </c>
      <c r="F34" s="234">
        <f>IF(E2="k",((100%/(100%-E34))*F33)-F33,0)</f>
        <v>0</v>
      </c>
      <c r="G34" s="10"/>
      <c r="H34" s="405"/>
      <c r="I34" s="295">
        <f>E34</f>
        <v>0</v>
      </c>
      <c r="J34" s="234">
        <f>IF(I2="k",((100%/(100%-I34))*J33)-J33,0)</f>
        <v>0</v>
      </c>
      <c r="K34" s="85"/>
      <c r="L34" s="405"/>
      <c r="M34" s="295">
        <f>I34</f>
        <v>0</v>
      </c>
      <c r="N34" s="234">
        <f>IF(M2="k",((100%/(100%-M34))*N33)-N33,0)</f>
        <v>0</v>
      </c>
      <c r="O34" s="85"/>
      <c r="P34" s="405"/>
      <c r="Q34" s="295">
        <f>M34</f>
        <v>0</v>
      </c>
      <c r="R34" s="234">
        <f>IF(Q2="k",((100%/(100%-Q34))*R33)-R33,0)</f>
        <v>0</v>
      </c>
      <c r="S34" s="85"/>
      <c r="T34" s="36">
        <f t="shared" si="0"/>
        <v>0</v>
      </c>
      <c r="U34" s="105">
        <f>SUM(F34,J34,N34,R34)</f>
        <v>0</v>
      </c>
    </row>
    <row r="35" spans="1:21" ht="13.5" thickBot="1" x14ac:dyDescent="0.25">
      <c r="B35" s="4" t="s">
        <v>131</v>
      </c>
      <c r="C35" s="160" t="s">
        <v>132</v>
      </c>
      <c r="F35" s="294">
        <v>25</v>
      </c>
      <c r="G35" s="10"/>
      <c r="H35" s="405"/>
      <c r="I35" s="109" t="s">
        <v>133</v>
      </c>
      <c r="J35" s="609">
        <v>0</v>
      </c>
      <c r="K35" s="85"/>
      <c r="L35" s="405"/>
      <c r="M35" s="109"/>
      <c r="N35" s="57">
        <v>0</v>
      </c>
      <c r="O35" s="85"/>
      <c r="P35" s="405"/>
      <c r="Q35" s="109"/>
      <c r="R35" s="57">
        <v>0</v>
      </c>
      <c r="S35" s="85"/>
      <c r="T35" s="8">
        <f>IF($E$2="k",F35)+IF($I$2="k",J35)+IF($M$2="k",N35)+IF($Q$2="k",R35)</f>
        <v>25</v>
      </c>
      <c r="U35" s="105">
        <f>SUM(T35)</f>
        <v>25</v>
      </c>
    </row>
    <row r="36" spans="1:21" x14ac:dyDescent="0.2">
      <c r="B36" s="116" t="s">
        <v>134</v>
      </c>
      <c r="C36" s="115"/>
      <c r="D36" s="115"/>
      <c r="E36" s="115"/>
      <c r="F36" s="117">
        <f>IF(E2="K",SUM(F33:F35),0)</f>
        <v>57.447136454183266</v>
      </c>
      <c r="G36" s="10"/>
      <c r="H36" s="405"/>
      <c r="J36" s="117">
        <f>IF(I2="K",SUM(J33:J35),0)</f>
        <v>0</v>
      </c>
      <c r="K36" s="85"/>
      <c r="L36" s="405"/>
      <c r="N36" s="117">
        <f>IF(M2="K",SUM(N33:N35),0)</f>
        <v>0</v>
      </c>
      <c r="O36" s="85"/>
      <c r="P36" s="405"/>
      <c r="R36" s="117">
        <f>IF(Q2="K",SUM(R33:R35),0)</f>
        <v>0</v>
      </c>
      <c r="S36" s="85"/>
      <c r="T36" s="418">
        <f>SUM(F36,J36,N36,R36)</f>
        <v>57.447136454183266</v>
      </c>
    </row>
    <row r="37" spans="1:21" ht="13.5" thickBot="1" x14ac:dyDescent="0.25">
      <c r="B37" s="119" t="s">
        <v>135</v>
      </c>
      <c r="E37" s="592">
        <v>0.255</v>
      </c>
      <c r="F37" s="291">
        <f>E37*F36</f>
        <v>14.649019795816733</v>
      </c>
      <c r="G37" s="401"/>
      <c r="H37" s="405"/>
      <c r="I37" s="593">
        <f>$E$37</f>
        <v>0.255</v>
      </c>
      <c r="J37" s="611">
        <f>I37*J36</f>
        <v>0</v>
      </c>
      <c r="K37" s="85"/>
      <c r="L37" s="405"/>
      <c r="M37" s="593">
        <f>$E$37</f>
        <v>0.255</v>
      </c>
      <c r="N37" s="291">
        <f>M37*N36</f>
        <v>0</v>
      </c>
      <c r="O37" s="85"/>
      <c r="P37" s="405"/>
      <c r="Q37" s="593">
        <f>$E$37</f>
        <v>0.255</v>
      </c>
      <c r="R37" s="291">
        <f>Q37*R36</f>
        <v>0</v>
      </c>
      <c r="S37" s="85"/>
      <c r="T37" s="120">
        <f>SUM(F37,J37,N37,R37)</f>
        <v>14.649019795816733</v>
      </c>
    </row>
    <row r="38" spans="1:21" ht="13.5" thickBot="1" x14ac:dyDescent="0.25">
      <c r="B38" s="121" t="s">
        <v>136</v>
      </c>
      <c r="C38" s="114"/>
      <c r="D38" s="114"/>
      <c r="E38" s="114"/>
      <c r="F38" s="110">
        <f>IF(E2="k",SUM(F36:F37),0)</f>
        <v>72.096156249999993</v>
      </c>
      <c r="G38" s="113"/>
      <c r="H38" s="416"/>
      <c r="I38" s="114"/>
      <c r="J38" s="110">
        <f>IF(I2="k",SUM(J36:J37),0)</f>
        <v>0</v>
      </c>
      <c r="K38" s="112"/>
      <c r="L38" s="416"/>
      <c r="M38" s="114"/>
      <c r="N38" s="110">
        <f>IF(M2="k",SUM(N36:N37),0)</f>
        <v>0</v>
      </c>
      <c r="O38" s="112"/>
      <c r="P38" s="416"/>
      <c r="Q38" s="114"/>
      <c r="R38" s="110">
        <f>IF(Q2="k",SUM(R36:R37),0)</f>
        <v>0</v>
      </c>
      <c r="S38" s="112"/>
      <c r="T38" s="417">
        <f t="shared" si="0"/>
        <v>72.096156249999993</v>
      </c>
    </row>
    <row r="40" spans="1:21" ht="18" x14ac:dyDescent="0.25">
      <c r="B40" s="581" t="s">
        <v>137</v>
      </c>
    </row>
    <row r="41" spans="1:21" ht="18" x14ac:dyDescent="0.25">
      <c r="B41" s="582" t="s">
        <v>138</v>
      </c>
    </row>
    <row r="43" spans="1:21" x14ac:dyDescent="0.2">
      <c r="B43" s="4" t="s">
        <v>139</v>
      </c>
      <c r="C43" s="398" t="str">
        <f>Ohjeet!C2</f>
        <v>2024.12</v>
      </c>
    </row>
  </sheetData>
  <sheetProtection algorithmName="SHA-512" hashValue="YFX/BbIgLxd8U5LnvrEjXqS92HQMtB/y9F6yBRkBIw9IuQPT4oNnxEZkff+DJufY4jwVg7GR49Z+7j0DCVjN3g==" saltValue="U64IACgoyfCY2172H9O9ow==" spinCount="100000" sheet="1" formatCells="0" formatColumns="0" formatRows="0"/>
  <mergeCells count="15">
    <mergeCell ref="C28:E28"/>
    <mergeCell ref="C29:E29"/>
    <mergeCell ref="E3:F3"/>
    <mergeCell ref="I3:J3"/>
    <mergeCell ref="M3:N3"/>
    <mergeCell ref="Q3:R3"/>
    <mergeCell ref="E1:G1"/>
    <mergeCell ref="H1:J1"/>
    <mergeCell ref="L1:N1"/>
    <mergeCell ref="P1:R1"/>
    <mergeCell ref="A2:B2"/>
    <mergeCell ref="E2:F2"/>
    <mergeCell ref="I2:J2"/>
    <mergeCell ref="M2:N2"/>
    <mergeCell ref="Q2:R2"/>
  </mergeCells>
  <hyperlinks>
    <hyperlink ref="B40" location="'Koneketjujen ketjutus'!A1" display="Siirry koneketjujen ketjuun urakan laskentaan tai tekemään vertailua" xr:uid="{8E252312-C730-43D9-A814-AA4682E04B27}"/>
  </hyperlinks>
  <printOptions verticalCentered="1"/>
  <pageMargins left="3.937007874015748E-2" right="3.937007874015748E-2" top="0.74803149606299213" bottom="0.74803149606299213" header="0.31496062992125984" footer="0.31496062992125984"/>
  <pageSetup paperSize="9" scale="59"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Ohjeet!$A$63:$A$68</xm:f>
          </x14:formula1>
          <xm:sqref>V25</xm:sqref>
        </x14:dataValidation>
        <x14:dataValidation type="list" allowBlank="1" showInputMessage="1" showErrorMessage="1" xr:uid="{00000000-0002-0000-0100-000001000000}">
          <x14:formula1>
            <xm:f>Laskentayksikot!$E$2:$E$3</xm:f>
          </x14:formula1>
          <xm:sqref>E2:F2 I2:J2 M2:N2 Q2:R2</xm:sqref>
        </x14:dataValidation>
        <x14:dataValidation type="list" allowBlank="1" showInputMessage="1" showErrorMessage="1" xr:uid="{ED3E68D4-3B17-4F5E-AD3C-7CB8E71BED30}">
          <x14:formula1>
            <xm:f>Laskentayksikot!$E$7:$E$8</xm:f>
          </x14:formula1>
          <xm:sqref>D2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pageSetUpPr fitToPage="1"/>
  </sheetPr>
  <dimension ref="A1:AC43"/>
  <sheetViews>
    <sheetView zoomScale="85" zoomScaleNormal="85" workbookViewId="0">
      <selection activeCell="B44" sqref="B44:C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5.28515625" style="4" customWidth="1"/>
    <col min="11" max="11" width="11" style="4" customWidth="1"/>
    <col min="12" max="12" width="6.28515625" style="4" customWidth="1"/>
    <col min="13" max="13" width="10.140625" style="4" customWidth="1"/>
    <col min="14" max="14" width="13.85546875" style="4" customWidth="1"/>
    <col min="15" max="15" width="12.42578125" style="4" customWidth="1"/>
    <col min="16" max="16" width="5" style="4" customWidth="1"/>
    <col min="17" max="17" width="9.140625" style="4"/>
    <col min="18" max="18" width="12.5703125" style="4" customWidth="1"/>
    <col min="19" max="19" width="11" style="4" customWidth="1"/>
    <col min="20" max="20" width="14.28515625" style="4" customWidth="1"/>
    <col min="21" max="21" width="12.7109375" style="4" customWidth="1"/>
    <col min="22" max="22" width="15.42578125" style="4" customWidth="1"/>
    <col min="23" max="23" width="12" style="4" customWidth="1"/>
    <col min="24" max="24" width="12.28515625" style="4" customWidth="1"/>
    <col min="25" max="25" width="9.140625" style="4"/>
    <col min="26" max="26" width="20.28515625" style="4" customWidth="1"/>
    <col min="27" max="27" width="13.7109375" style="4" customWidth="1"/>
    <col min="28" max="16384" width="9.140625" style="4"/>
  </cols>
  <sheetData>
    <row r="1" spans="1:29" ht="39" thickBot="1" x14ac:dyDescent="0.25">
      <c r="A1" s="6" t="s">
        <v>79</v>
      </c>
      <c r="C1" s="6"/>
      <c r="E1" s="917" t="s">
        <v>80</v>
      </c>
      <c r="F1" s="917"/>
      <c r="G1" s="917"/>
      <c r="H1" s="918" t="s">
        <v>81</v>
      </c>
      <c r="I1" s="918"/>
      <c r="J1" s="918"/>
      <c r="L1" s="918" t="s">
        <v>81</v>
      </c>
      <c r="M1" s="918"/>
      <c r="N1" s="918"/>
      <c r="P1" s="918" t="s">
        <v>81</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89</v>
      </c>
      <c r="B2" s="912"/>
      <c r="C2" s="4" t="s">
        <v>90</v>
      </c>
      <c r="D2" s="70" t="s">
        <v>69</v>
      </c>
      <c r="E2" s="913" t="s">
        <v>60</v>
      </c>
      <c r="F2" s="914"/>
      <c r="G2" s="72"/>
      <c r="H2" s="402"/>
      <c r="I2" s="913" t="s">
        <v>62</v>
      </c>
      <c r="J2" s="914"/>
      <c r="K2" s="71"/>
      <c r="L2" s="402"/>
      <c r="M2" s="913" t="s">
        <v>62</v>
      </c>
      <c r="N2" s="914"/>
      <c r="O2" s="71"/>
      <c r="P2" s="402"/>
      <c r="Q2" s="913" t="s">
        <v>62</v>
      </c>
      <c r="R2" s="914"/>
      <c r="S2" s="71"/>
    </row>
    <row r="3" spans="1:29" ht="13.5" thickBot="1" x14ac:dyDescent="0.25">
      <c r="C3" s="10" t="s">
        <v>91</v>
      </c>
      <c r="E3" s="921" t="s">
        <v>140</v>
      </c>
      <c r="F3" s="922"/>
      <c r="H3" s="403"/>
      <c r="I3" s="923" t="s">
        <v>92</v>
      </c>
      <c r="J3" s="916"/>
      <c r="K3" s="73"/>
      <c r="L3" s="403"/>
      <c r="M3" s="915" t="s">
        <v>93</v>
      </c>
      <c r="N3" s="916"/>
      <c r="O3" s="73"/>
      <c r="P3" s="403"/>
      <c r="Q3" s="915" t="s">
        <v>94</v>
      </c>
      <c r="R3" s="916"/>
      <c r="S3" s="73"/>
      <c r="T3" s="6" t="str">
        <f>"Kytketty koneet: "&amp;IF(E2="k",E3&amp;" ","")&amp;IF(I2="k",I3&amp;" ","")&amp;IF(M2="k",M3&amp;" ","")&amp;(IF(Q2="k",Q3&amp;" ",""))</f>
        <v xml:space="preserve">Kytketty koneet: New Holland </v>
      </c>
    </row>
    <row r="4" spans="1:29" x14ac:dyDescent="0.2">
      <c r="A4" s="4" t="s">
        <v>95</v>
      </c>
      <c r="E4" s="4" t="s">
        <v>96</v>
      </c>
      <c r="F4" s="75">
        <v>1</v>
      </c>
      <c r="H4" s="119"/>
      <c r="I4" s="4" t="s">
        <v>96</v>
      </c>
      <c r="J4" s="75">
        <v>1</v>
      </c>
      <c r="K4" s="73"/>
      <c r="L4" s="119"/>
      <c r="M4" s="4" t="s">
        <v>96</v>
      </c>
      <c r="N4" s="75">
        <v>1</v>
      </c>
      <c r="O4" s="73"/>
      <c r="P4" s="119"/>
      <c r="Q4" s="4" t="s">
        <v>96</v>
      </c>
      <c r="R4" s="75">
        <v>1</v>
      </c>
      <c r="S4" s="73"/>
      <c r="T4" s="160" t="s">
        <v>97</v>
      </c>
    </row>
    <row r="5" spans="1:29" ht="13.5" thickBot="1" x14ac:dyDescent="0.25">
      <c r="A5" s="4" t="s">
        <v>98</v>
      </c>
      <c r="E5" s="4" t="s">
        <v>99</v>
      </c>
      <c r="F5" s="640">
        <v>1</v>
      </c>
      <c r="H5" s="119"/>
      <c r="I5" s="4" t="s">
        <v>99</v>
      </c>
      <c r="J5" s="640">
        <v>1</v>
      </c>
      <c r="K5" s="73"/>
      <c r="L5" s="119"/>
      <c r="M5" s="4" t="s">
        <v>99</v>
      </c>
      <c r="N5" s="640">
        <v>1</v>
      </c>
      <c r="O5" s="73"/>
      <c r="P5" s="119"/>
      <c r="Q5" s="4" t="s">
        <v>99</v>
      </c>
      <c r="R5" s="640">
        <v>1</v>
      </c>
      <c r="S5" s="73"/>
      <c r="T5" s="641">
        <f>IF($E$2="k",(F5),0)+IF($I$2="k",(J5),0)+IF($M$2="k",(N5),0)+IF($Q$2="k",(R5),0)</f>
        <v>1</v>
      </c>
    </row>
    <row r="6" spans="1:29" ht="13.5" thickBot="1" x14ac:dyDescent="0.25">
      <c r="A6" s="160" t="s">
        <v>545</v>
      </c>
      <c r="E6" s="795">
        <v>1</v>
      </c>
      <c r="F6" s="794">
        <f>E6*F5</f>
        <v>1</v>
      </c>
      <c r="G6" s="793"/>
      <c r="I6" s="795">
        <f>E6</f>
        <v>1</v>
      </c>
      <c r="J6" s="794">
        <f>I6*J5</f>
        <v>1</v>
      </c>
      <c r="K6" s="73"/>
      <c r="M6" s="795">
        <f>I6</f>
        <v>1</v>
      </c>
      <c r="N6" s="794">
        <f>M6*N5</f>
        <v>1</v>
      </c>
      <c r="O6" s="73"/>
      <c r="Q6" s="795">
        <f>M6</f>
        <v>1</v>
      </c>
      <c r="R6" s="794">
        <f>Q6*R5</f>
        <v>1</v>
      </c>
      <c r="S6" s="73"/>
      <c r="T6" s="641">
        <f>IF($E$2="k",(F6),0)+IF($I$2="k",(J6),0)+IF($M$2="k",(N6),0)+IF($Q$2="k",(R6),0)</f>
        <v>1</v>
      </c>
    </row>
    <row r="7" spans="1:29" x14ac:dyDescent="0.2">
      <c r="A7" s="4" t="s">
        <v>100</v>
      </c>
      <c r="F7" s="77">
        <v>1</v>
      </c>
      <c r="H7" s="119"/>
      <c r="J7" s="77">
        <v>1</v>
      </c>
      <c r="K7" s="73"/>
      <c r="L7" s="119"/>
      <c r="N7" s="77">
        <v>0</v>
      </c>
      <c r="O7" s="73"/>
      <c r="P7" s="119"/>
      <c r="R7" s="77">
        <v>0</v>
      </c>
      <c r="S7" s="73"/>
    </row>
    <row r="8" spans="1:29" x14ac:dyDescent="0.2">
      <c r="A8" s="4" t="s">
        <v>101</v>
      </c>
      <c r="E8" s="596">
        <v>0.255</v>
      </c>
      <c r="F8" s="222">
        <f>F7/(100%+E8)*E8</f>
        <v>0.20318725099601595</v>
      </c>
      <c r="G8" s="7"/>
      <c r="H8" s="404"/>
      <c r="I8" s="596">
        <f>E8</f>
        <v>0.255</v>
      </c>
      <c r="J8" s="222">
        <f>J7/(100%+I8)*I8</f>
        <v>0.20318725099601595</v>
      </c>
      <c r="K8" s="79"/>
      <c r="L8" s="404"/>
      <c r="M8" s="596">
        <f>I8</f>
        <v>0.255</v>
      </c>
      <c r="N8" s="222">
        <f>N7/(100%+M8)*M8</f>
        <v>0</v>
      </c>
      <c r="O8" s="79"/>
      <c r="P8" s="404"/>
      <c r="Q8" s="596">
        <f>M8</f>
        <v>0.255</v>
      </c>
      <c r="R8" s="222">
        <f>R7/(100%+Q8)*Q8</f>
        <v>0</v>
      </c>
      <c r="S8" s="79"/>
    </row>
    <row r="9" spans="1:29" x14ac:dyDescent="0.2">
      <c r="A9" s="4" t="s">
        <v>102</v>
      </c>
      <c r="F9" s="80">
        <f>F7-F8</f>
        <v>0.79681274900398402</v>
      </c>
      <c r="H9" s="119"/>
      <c r="J9" s="80">
        <f>J7-J8</f>
        <v>0.79681274900398402</v>
      </c>
      <c r="K9" s="73"/>
      <c r="L9" s="119"/>
      <c r="N9" s="80">
        <f>N7-N8</f>
        <v>0</v>
      </c>
      <c r="O9" s="73"/>
      <c r="P9" s="119"/>
      <c r="R9" s="80">
        <f>R7-R8</f>
        <v>0</v>
      </c>
      <c r="S9" s="73"/>
    </row>
    <row r="10" spans="1:29" x14ac:dyDescent="0.2">
      <c r="A10" s="4" t="s">
        <v>103</v>
      </c>
      <c r="E10" s="225">
        <v>0.35</v>
      </c>
      <c r="F10" s="222">
        <f>E10*F9</f>
        <v>0.2788844621513944</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0.51792828685258963</v>
      </c>
      <c r="H11" s="119"/>
      <c r="J11" s="81">
        <f>J9-J10</f>
        <v>0.79681274900398402</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0.53784860557768921</v>
      </c>
      <c r="H13" s="119"/>
      <c r="I13" s="226">
        <v>0.05</v>
      </c>
      <c r="J13" s="222">
        <f>IF(I2="k",IF($D$2="A",ABS(PMT(I13,J4,-J9,I10*J9,0)),SUM(J14:J15)),0)</f>
        <v>0</v>
      </c>
      <c r="K13" s="73"/>
      <c r="L13" s="119"/>
      <c r="M13" s="226">
        <v>0.05</v>
      </c>
      <c r="N13" s="222">
        <f>IF(M2="k",IF($D$2="A",ABS(PMT(M13,N4,-N9,M10*N9,0)),SUM(N14:N15)),0)</f>
        <v>0</v>
      </c>
      <c r="O13" s="73"/>
      <c r="P13" s="119"/>
      <c r="Q13" s="226">
        <v>0.05</v>
      </c>
      <c r="R13" s="222">
        <f>IF(Q2="k",IF($D$2="A",ABS(PMT(Q13,R4,-R9,Q10*R9,0)),SUM(R14:R15)),0)</f>
        <v>0</v>
      </c>
      <c r="S13" s="73"/>
      <c r="T13" s="36">
        <f>SUM(F13,J13,N13,R13)</f>
        <v>0.53784860557768921</v>
      </c>
    </row>
    <row r="14" spans="1:29" x14ac:dyDescent="0.2">
      <c r="B14" s="30" t="s">
        <v>109</v>
      </c>
      <c r="F14" s="84">
        <f>IF(E2="k",IF(D2="A",E13*F9,F9/2*E13),0)</f>
        <v>1.9920318725099601E-2</v>
      </c>
      <c r="G14" s="10"/>
      <c r="H14" s="405"/>
      <c r="J14" s="84">
        <f>IF(I2="k",IF($D$2="A",I13*J9,J9/2*I13),0)</f>
        <v>0</v>
      </c>
      <c r="K14" s="85"/>
      <c r="L14" s="405"/>
      <c r="N14" s="84">
        <f>IF(M2="k",IF($D$2="A",M13*N9,N9/2*M13),0)</f>
        <v>0</v>
      </c>
      <c r="O14" s="85"/>
      <c r="P14" s="405"/>
      <c r="R14" s="84">
        <f>IF(Q2="k",IF($D$2="A",Q13*R9,R9/2*Q13),0)</f>
        <v>0</v>
      </c>
      <c r="S14" s="85"/>
      <c r="T14" s="36">
        <f t="shared" ref="T14:T25" si="0">SUM(F14,J14,N14,R14)</f>
        <v>1.9920318725099601E-2</v>
      </c>
    </row>
    <row r="15" spans="1:29" ht="13.5" thickBot="1" x14ac:dyDescent="0.25">
      <c r="B15" s="32" t="s">
        <v>110</v>
      </c>
      <c r="C15" s="33"/>
      <c r="D15" s="33"/>
      <c r="E15" s="33"/>
      <c r="F15" s="86">
        <f>IF(E2="k",IF(D2="A",F13-F14,F11/F4),0)</f>
        <v>0.51792828685258963</v>
      </c>
      <c r="H15" s="119"/>
      <c r="J15" s="86">
        <f>IF(I2="k",IF($D$2="A",J13-J14,J11/J4),0)</f>
        <v>0</v>
      </c>
      <c r="K15" s="73"/>
      <c r="L15" s="119"/>
      <c r="N15" s="86">
        <f>IF(M2="k",IF($D$2="A",N13-N14,N11/N4),0)</f>
        <v>0</v>
      </c>
      <c r="O15" s="73"/>
      <c r="P15" s="119"/>
      <c r="R15" s="86">
        <f>IF(Q2="k",IF($D$2="A",R13-R14,R11/R4),0)</f>
        <v>0</v>
      </c>
      <c r="S15" s="73"/>
      <c r="T15" s="36">
        <f t="shared" si="0"/>
        <v>0.51792828685258963</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350</v>
      </c>
      <c r="G18" s="10"/>
      <c r="H18" s="405"/>
      <c r="J18" s="77">
        <v>0</v>
      </c>
      <c r="K18" s="85"/>
      <c r="L18" s="405"/>
      <c r="N18" s="77">
        <v>0</v>
      </c>
      <c r="O18" s="85"/>
      <c r="P18" s="405"/>
      <c r="R18" s="77">
        <v>0</v>
      </c>
      <c r="S18" s="85"/>
      <c r="T18" s="8">
        <f>IF($E$2="k",F18)+IF($I$2="k",J18)+IF($M$2="k",N18)+IF($Q$2="k",R18)</f>
        <v>350</v>
      </c>
    </row>
    <row r="19" spans="1:29" x14ac:dyDescent="0.2">
      <c r="B19" s="35" t="s">
        <v>113</v>
      </c>
      <c r="D19" s="44"/>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2.3904382470119521E-3</v>
      </c>
      <c r="G21" s="10"/>
      <c r="H21" s="405"/>
      <c r="I21" s="226">
        <v>3.0000000000000001E-3</v>
      </c>
      <c r="J21" s="290">
        <f>IF(I2="k",I21*J9,0)</f>
        <v>0</v>
      </c>
      <c r="K21" s="85"/>
      <c r="L21" s="405"/>
      <c r="M21" s="226">
        <v>3.0000000000000001E-3</v>
      </c>
      <c r="N21" s="290">
        <f>IF(M2="k",M21*N9,0)</f>
        <v>0</v>
      </c>
      <c r="O21" s="85"/>
      <c r="P21" s="405"/>
      <c r="Q21" s="226">
        <v>3.0000000000000001E-3</v>
      </c>
      <c r="R21" s="19">
        <f>IF(Q2="k",Q21*R9,0)</f>
        <v>0</v>
      </c>
      <c r="S21" s="85"/>
      <c r="T21" s="36">
        <f t="shared" si="0"/>
        <v>2.3904382470119521E-3</v>
      </c>
    </row>
    <row r="22" spans="1:29" ht="13.5" thickBot="1" x14ac:dyDescent="0.25">
      <c r="B22" s="50" t="s">
        <v>115</v>
      </c>
      <c r="C22" s="51"/>
      <c r="D22" s="51"/>
      <c r="E22" s="52"/>
      <c r="F22" s="91">
        <f>IF(E2="k",SUM(F14:F21),0)</f>
        <v>590.54023904382473</v>
      </c>
      <c r="G22" s="209">
        <f>IF(E$6=0%,F22/F$5,F22/F$6)</f>
        <v>590.54023904382473</v>
      </c>
      <c r="H22" s="406"/>
      <c r="J22" s="91">
        <f>IF(I2="k",SUM(J14:J21),0)</f>
        <v>0</v>
      </c>
      <c r="K22" s="209">
        <f>IF(I$6=0%,J22/J$5,J22/J$6)</f>
        <v>0</v>
      </c>
      <c r="L22" s="406"/>
      <c r="N22" s="91">
        <f>IF(M2="k",SUM(N14:N21),0)</f>
        <v>0</v>
      </c>
      <c r="O22" s="209">
        <f>IF(M$6=0%,N22/N$5,N22/N$6)</f>
        <v>0</v>
      </c>
      <c r="P22" s="406"/>
      <c r="R22" s="93">
        <f>IF(Q2="k",SUM(R14:R21),0)</f>
        <v>0</v>
      </c>
      <c r="S22" s="209">
        <f>IF(Q$6=0%,R22/R$5,R22/R$6)</f>
        <v>0</v>
      </c>
      <c r="T22" s="94">
        <f t="shared" si="0"/>
        <v>590.54023904382473</v>
      </c>
      <c r="U22" s="425">
        <f>SUM(G22,K22,O22,S22)</f>
        <v>590.54023904382473</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1500</v>
      </c>
      <c r="G24" s="47"/>
      <c r="H24" s="409"/>
      <c r="J24" s="77">
        <v>0</v>
      </c>
      <c r="K24" s="99"/>
      <c r="L24" s="409"/>
      <c r="N24" s="77">
        <v>0</v>
      </c>
      <c r="O24" s="99"/>
      <c r="P24" s="409"/>
      <c r="R24" s="77">
        <v>0</v>
      </c>
      <c r="S24" s="99"/>
      <c r="T24" s="8">
        <f>IF($E$2="k",F24)+IF($I$2="k",J24)+IF($M$2="k",N24)+IF($Q$2="k",R24)</f>
        <v>1500</v>
      </c>
    </row>
    <row r="25" spans="1:29" ht="15.75" x14ac:dyDescent="0.2">
      <c r="B25" s="11" t="s">
        <v>118</v>
      </c>
      <c r="C25" s="196">
        <v>1</v>
      </c>
      <c r="D25" s="197">
        <v>1.5</v>
      </c>
      <c r="E25" s="289"/>
      <c r="F25" s="100">
        <f>IF(E2="k",C25*D25*F5,0)</f>
        <v>1.5</v>
      </c>
      <c r="G25" s="39"/>
      <c r="H25" s="410">
        <v>3</v>
      </c>
      <c r="I25" s="102">
        <f>$D$25</f>
        <v>1.5</v>
      </c>
      <c r="J25" s="100">
        <f>IF(I2="k",H25*I25*J5,0)</f>
        <v>0</v>
      </c>
      <c r="K25" s="101"/>
      <c r="L25" s="410">
        <f>H25</f>
        <v>3</v>
      </c>
      <c r="M25" s="102">
        <f>$D$25</f>
        <v>1.5</v>
      </c>
      <c r="N25" s="100">
        <f>IF(M2="k",L25*M25*N5,0)</f>
        <v>0</v>
      </c>
      <c r="O25" s="101"/>
      <c r="P25" s="410">
        <f>L25</f>
        <v>3</v>
      </c>
      <c r="Q25" s="102">
        <f>$D$25</f>
        <v>1.5</v>
      </c>
      <c r="R25" s="100">
        <f>IF(Q2="k",P25*Q25*R5,0)</f>
        <v>0</v>
      </c>
      <c r="S25" s="101"/>
      <c r="T25" s="36">
        <f t="shared" si="0"/>
        <v>1.5</v>
      </c>
      <c r="V25" s="165" t="s">
        <v>37</v>
      </c>
      <c r="W25" s="642">
        <f>IF($E$2="k",(C25*F5),0)+IF($I$2="k",(H25*J5),0)+IF($M$2="k",(L25*N5),0)+IF($Q$2="k",(P25*R5),0)</f>
        <v>1</v>
      </c>
      <c r="X25" s="642">
        <f>W25/159</f>
        <v>6.2893081761006293E-3</v>
      </c>
      <c r="Y25" s="161">
        <f>VLOOKUP(V25,Ohjeet!A63:F68,6,FALSE)</f>
        <v>2.66</v>
      </c>
      <c r="Z25" s="168">
        <f>W25*Y25</f>
        <v>2.66</v>
      </c>
      <c r="AA25" s="164">
        <f>Z25/1000</f>
        <v>2.66E-3</v>
      </c>
      <c r="AB25" s="162">
        <f>Z25*0.27</f>
        <v>0.71820000000000006</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2.66</v>
      </c>
    </row>
    <row r="27" spans="1:29" x14ac:dyDescent="0.2">
      <c r="B27" s="195" t="s">
        <v>124</v>
      </c>
      <c r="C27" s="393">
        <v>7.0000000000000007E-2</v>
      </c>
      <c r="D27" s="643">
        <f>C25*F5*C27</f>
        <v>7.0000000000000007E-2</v>
      </c>
      <c r="E27" s="644">
        <v>1</v>
      </c>
      <c r="F27" s="397">
        <f>IF(E2="K",IF(G27&gt;0,G27,D27*E27),0)</f>
        <v>7.0000000000000007E-2</v>
      </c>
      <c r="G27" s="645">
        <v>0</v>
      </c>
      <c r="H27" s="411"/>
      <c r="I27" s="400">
        <f>H25*$C$27</f>
        <v>0.21000000000000002</v>
      </c>
      <c r="J27" s="397">
        <f>IF(I2="K",IF(K27&gt;0,K27,I27*$E$27),0)</f>
        <v>0</v>
      </c>
      <c r="K27" s="646">
        <v>0</v>
      </c>
      <c r="L27" s="411"/>
      <c r="M27" s="400">
        <f>L25*$C$27</f>
        <v>0.21000000000000002</v>
      </c>
      <c r="N27" s="397">
        <f>IF(M2="K",IF(O27&gt;0,O27,M27*$E$27),0)</f>
        <v>0</v>
      </c>
      <c r="O27" s="646">
        <v>0</v>
      </c>
      <c r="P27" s="411"/>
      <c r="Q27" s="400">
        <f>P25*$C$27</f>
        <v>0.21000000000000002</v>
      </c>
      <c r="R27" s="397">
        <f>IF(Q2="K",IF(S27&gt;0,S27,Q27*$E$27),0)</f>
        <v>0</v>
      </c>
      <c r="S27" s="646">
        <v>0</v>
      </c>
      <c r="T27" s="8">
        <f>IF($E$2="k",F27)+IF($I$2="k",J27)+IF($M$2="k",N27)+IF($Q$2="k",R27)</f>
        <v>7.0000000000000007E-2</v>
      </c>
    </row>
    <row r="28" spans="1:29" x14ac:dyDescent="0.2">
      <c r="B28" s="396" t="s">
        <v>125</v>
      </c>
      <c r="C28" s="919" t="s">
        <v>126</v>
      </c>
      <c r="D28" s="920"/>
      <c r="E28" s="920"/>
      <c r="F28" s="77">
        <v>2000</v>
      </c>
      <c r="G28" s="39"/>
      <c r="H28" s="411"/>
      <c r="I28" s="412" t="str">
        <f>$B$28</f>
        <v>Muut:</v>
      </c>
      <c r="J28" s="77"/>
      <c r="K28" s="101"/>
      <c r="L28" s="411"/>
      <c r="M28" s="412" t="str">
        <f>$B$28</f>
        <v>Muut:</v>
      </c>
      <c r="N28" s="77">
        <v>0</v>
      </c>
      <c r="O28" s="101"/>
      <c r="P28" s="411"/>
      <c r="Q28" s="412" t="str">
        <f>$B$28</f>
        <v>Muut:</v>
      </c>
      <c r="R28" s="77">
        <v>0</v>
      </c>
      <c r="S28" s="101"/>
      <c r="T28" s="8">
        <f>IF($E$2="k",F28)+IF($I$2="k",J28)+IF($M$2="k",N28)+IF($Q$2="k",R28)</f>
        <v>2000</v>
      </c>
    </row>
    <row r="29" spans="1:29" ht="13.5" thickBot="1" x14ac:dyDescent="0.25">
      <c r="B29" s="396" t="s">
        <v>125</v>
      </c>
      <c r="C29" s="919"/>
      <c r="D29" s="920"/>
      <c r="E29" s="920"/>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3501.5699999999997</v>
      </c>
      <c r="G30" s="209">
        <f>IF(E$6=0%,F30/F$5,F30/F$6)</f>
        <v>3501.5699999999997</v>
      </c>
      <c r="H30" s="413"/>
      <c r="J30" s="55">
        <f>IF(I2="k",SUM(J24:J29),0)</f>
        <v>0</v>
      </c>
      <c r="K30" s="209">
        <f>IF(I$6=0%,J30/J$5,J30/J$6)</f>
        <v>0</v>
      </c>
      <c r="L30" s="413"/>
      <c r="N30" s="55">
        <f>IF(M2="k",SUM(N24:N29),0)</f>
        <v>0</v>
      </c>
      <c r="O30" s="209">
        <f>IF(M$6=0%,N30/N$5,N30/N$6)</f>
        <v>0</v>
      </c>
      <c r="P30" s="413"/>
      <c r="R30" s="55">
        <f>IF(Q2="k",SUM(R24:R29),0)</f>
        <v>0</v>
      </c>
      <c r="S30" s="209">
        <f>IF(Q$6=0%,R30/R$5,R30/R$6)</f>
        <v>0</v>
      </c>
      <c r="T30" s="94">
        <f t="shared" ref="T30:T38" si="1">SUM(F30,J30,N30,R30)</f>
        <v>3501.5699999999997</v>
      </c>
      <c r="U30" s="105">
        <f>SUM(G30,K30,O30,S30)</f>
        <v>3501.5699999999997</v>
      </c>
    </row>
    <row r="31" spans="1:29" ht="13.5" thickBot="1" x14ac:dyDescent="0.25">
      <c r="A31" s="6" t="s">
        <v>128</v>
      </c>
      <c r="F31" s="106">
        <f>F22+F30</f>
        <v>4092.1102390438245</v>
      </c>
      <c r="G31" s="12"/>
      <c r="H31" s="415"/>
      <c r="J31" s="55">
        <f>IF(I2="k",J22+J30,0)</f>
        <v>0</v>
      </c>
      <c r="K31" s="107"/>
      <c r="L31" s="415"/>
      <c r="N31" s="55">
        <f>IF(M2="k",N22+N30,0)</f>
        <v>0</v>
      </c>
      <c r="O31" s="107"/>
      <c r="P31" s="415"/>
      <c r="R31" s="55">
        <f>IF(Q2="k",R22+R30,0)</f>
        <v>0</v>
      </c>
      <c r="S31" s="107"/>
      <c r="T31" s="94">
        <f t="shared" si="1"/>
        <v>4092.1102390438245</v>
      </c>
    </row>
    <row r="32" spans="1:29" ht="13.5" thickBot="1" x14ac:dyDescent="0.25">
      <c r="F32" s="7"/>
      <c r="H32" s="119"/>
      <c r="J32" s="7"/>
      <c r="K32" s="73"/>
      <c r="L32" s="119"/>
      <c r="N32" s="7"/>
      <c r="O32" s="73"/>
      <c r="P32" s="119"/>
      <c r="R32" s="7"/>
      <c r="S32" s="73"/>
    </row>
    <row r="33" spans="1:20" ht="13.5" thickBot="1" x14ac:dyDescent="0.25">
      <c r="A33" s="6" t="s">
        <v>129</v>
      </c>
      <c r="F33" s="235">
        <f>IF(E2="k",IF(E6=0%,F31/F5,F31/F6),0)</f>
        <v>4092.1102390438245</v>
      </c>
      <c r="G33" s="12"/>
      <c r="H33" s="415"/>
      <c r="J33" s="235">
        <f>IF(I2="k",IF(I6=0%,J31/J5,J31/J6),0)</f>
        <v>0</v>
      </c>
      <c r="K33" s="107"/>
      <c r="L33" s="415"/>
      <c r="N33" s="235">
        <f>IF(M2="k",IF(M6=0%,N31/N5,N31/N6),0)</f>
        <v>0</v>
      </c>
      <c r="O33" s="107"/>
      <c r="P33" s="415"/>
      <c r="R33" s="235">
        <f>IF(Q2="k",IF(Q6=0%,R31/R5,R31/R6),0)</f>
        <v>0</v>
      </c>
      <c r="S33" s="107"/>
      <c r="T33" s="108">
        <f t="shared" si="1"/>
        <v>4092.1102390438245</v>
      </c>
    </row>
    <row r="34" spans="1:20" x14ac:dyDescent="0.2">
      <c r="B34" s="6" t="s">
        <v>130</v>
      </c>
      <c r="E34" s="203">
        <v>0</v>
      </c>
      <c r="F34" s="234">
        <f>IF(E2="k",((100%/(100%-E34))*F33)-F33,0)</f>
        <v>0</v>
      </c>
      <c r="G34" s="10"/>
      <c r="H34" s="405"/>
      <c r="I34" s="295">
        <f>E34</f>
        <v>0</v>
      </c>
      <c r="J34" s="234">
        <f>IF(I2="k",((100%/(100%-I34))*J33)-J33,0)</f>
        <v>0</v>
      </c>
      <c r="K34" s="85"/>
      <c r="L34" s="405"/>
      <c r="M34" s="295">
        <f>I34</f>
        <v>0</v>
      </c>
      <c r="N34" s="234">
        <f>IF(M2="k",((100%/(100%-M34))*N33)-N33,0)</f>
        <v>0</v>
      </c>
      <c r="O34" s="85"/>
      <c r="P34" s="405"/>
      <c r="Q34" s="295">
        <f>M34</f>
        <v>0</v>
      </c>
      <c r="R34" s="234">
        <f>IF(Q2="k",((100%/(100%-Q34))*R33)-R33,0)</f>
        <v>0</v>
      </c>
      <c r="S34" s="85"/>
      <c r="T34" s="36">
        <f t="shared" si="1"/>
        <v>0</v>
      </c>
    </row>
    <row r="35" spans="1:20" ht="13.5" thickBot="1" x14ac:dyDescent="0.25">
      <c r="B35" s="4" t="s">
        <v>131</v>
      </c>
      <c r="C35" s="160" t="s">
        <v>132</v>
      </c>
      <c r="F35" s="292">
        <v>0</v>
      </c>
      <c r="G35" s="10"/>
      <c r="H35" s="405"/>
      <c r="I35" s="109" t="s">
        <v>133</v>
      </c>
      <c r="J35" s="292">
        <v>0</v>
      </c>
      <c r="K35" s="85"/>
      <c r="L35" s="405"/>
      <c r="M35" s="109"/>
      <c r="N35" s="292">
        <v>0</v>
      </c>
      <c r="O35" s="85"/>
      <c r="P35" s="405"/>
      <c r="Q35" s="109"/>
      <c r="R35" s="292">
        <v>0</v>
      </c>
      <c r="S35" s="85"/>
      <c r="T35" s="8">
        <f>IF($E$2="k",F35)+IF($I$2="k",J35)+IF($M$2="k",N35)+IF($Q$2="k",R35)</f>
        <v>0</v>
      </c>
    </row>
    <row r="36" spans="1:20" x14ac:dyDescent="0.2">
      <c r="B36" s="116" t="s">
        <v>134</v>
      </c>
      <c r="C36" s="115"/>
      <c r="D36" s="115"/>
      <c r="E36" s="115"/>
      <c r="F36" s="293">
        <f>IF(E2="K",SUM(F33:F35),0)</f>
        <v>4092.1102390438245</v>
      </c>
      <c r="G36" s="10"/>
      <c r="H36" s="405"/>
      <c r="J36" s="293">
        <f>IF(I2="K",SUM(J33:J35),0)</f>
        <v>0</v>
      </c>
      <c r="K36" s="85"/>
      <c r="L36" s="405"/>
      <c r="N36" s="293">
        <f>IF(M2="K",SUM(N33:N35),0)</f>
        <v>0</v>
      </c>
      <c r="O36" s="85"/>
      <c r="P36" s="405"/>
      <c r="R36" s="293">
        <f>IF(Q2="K",SUM(R33:R35),0)</f>
        <v>0</v>
      </c>
      <c r="S36" s="85"/>
      <c r="T36" s="118">
        <f>SUM(F36,J36,N36,R36)</f>
        <v>4092.1102390438245</v>
      </c>
    </row>
    <row r="37" spans="1:20" ht="13.5" thickBot="1" x14ac:dyDescent="0.25">
      <c r="B37" s="119" t="s">
        <v>135</v>
      </c>
      <c r="E37" s="592">
        <v>0.255</v>
      </c>
      <c r="F37" s="291">
        <f>E37*F36</f>
        <v>1043.4881109561752</v>
      </c>
      <c r="G37" s="401"/>
      <c r="H37" s="405"/>
      <c r="I37" s="593">
        <f>$E$37</f>
        <v>0.255</v>
      </c>
      <c r="J37" s="291">
        <f>I37*J36</f>
        <v>0</v>
      </c>
      <c r="K37" s="85"/>
      <c r="L37" s="405"/>
      <c r="M37" s="593">
        <f>$E$37</f>
        <v>0.255</v>
      </c>
      <c r="N37" s="291">
        <f>M37*N36</f>
        <v>0</v>
      </c>
      <c r="O37" s="85"/>
      <c r="P37" s="405"/>
      <c r="Q37" s="593">
        <f>$E$37</f>
        <v>0.255</v>
      </c>
      <c r="R37" s="291">
        <f>Q37*R36</f>
        <v>0</v>
      </c>
      <c r="S37" s="85"/>
      <c r="T37" s="120">
        <f>SUM(F37,J37,N37,R37)</f>
        <v>1043.4881109561752</v>
      </c>
    </row>
    <row r="38" spans="1:20" ht="13.5" thickBot="1" x14ac:dyDescent="0.25">
      <c r="B38" s="121" t="s">
        <v>136</v>
      </c>
      <c r="C38" s="114"/>
      <c r="D38" s="114"/>
      <c r="E38" s="114"/>
      <c r="F38" s="110">
        <f>IF(E2="k",SUM(F36:F37),0)</f>
        <v>5135.5983500000002</v>
      </c>
      <c r="G38" s="113"/>
      <c r="H38" s="416"/>
      <c r="I38" s="114"/>
      <c r="J38" s="110">
        <f>IF(I2="k",SUM(J36:J37),0)</f>
        <v>0</v>
      </c>
      <c r="K38" s="112"/>
      <c r="L38" s="416"/>
      <c r="M38" s="114"/>
      <c r="N38" s="110">
        <f>IF(M2="k",SUM(N36:N37),0)</f>
        <v>0</v>
      </c>
      <c r="O38" s="112"/>
      <c r="P38" s="416"/>
      <c r="Q38" s="114"/>
      <c r="R38" s="110">
        <f>IF(Q2="k",SUM(R36:R37),0)</f>
        <v>0</v>
      </c>
      <c r="S38" s="112"/>
      <c r="T38" s="108">
        <f t="shared" si="1"/>
        <v>5135.5983500000002</v>
      </c>
    </row>
    <row r="40" spans="1:20" ht="18" x14ac:dyDescent="0.25">
      <c r="B40" s="581" t="s">
        <v>137</v>
      </c>
    </row>
    <row r="41" spans="1:20" ht="18" x14ac:dyDescent="0.25">
      <c r="B41" s="582" t="s">
        <v>138</v>
      </c>
    </row>
    <row r="43" spans="1:20" x14ac:dyDescent="0.2">
      <c r="B43" s="4" t="s">
        <v>139</v>
      </c>
      <c r="C43" s="398" t="str">
        <f>Ohjeet!C2</f>
        <v>2024.12</v>
      </c>
    </row>
  </sheetData>
  <sheetProtection algorithmName="SHA-512" hashValue="XqoZAUDRtdgCyJ/z+b7SFDN2z5BtE/NB/OvZsHILnAb1T9YbHesafTDSAG8Y1hhLpBJM+rIlJcLLF7A4JRMrOw==" saltValue="JA6gn6wsfO8x6CoFKhNM3w==" spinCount="100000" sheet="1" objects="1" scenarios="1" formatCells="0" formatColumns="0" formatRows="0"/>
  <mergeCells count="15">
    <mergeCell ref="C29:E29"/>
    <mergeCell ref="A2:B2"/>
    <mergeCell ref="E2:F2"/>
    <mergeCell ref="I2:J2"/>
    <mergeCell ref="E3:F3"/>
    <mergeCell ref="I3:J3"/>
    <mergeCell ref="M3:N3"/>
    <mergeCell ref="Q3:R3"/>
    <mergeCell ref="C28:E28"/>
    <mergeCell ref="E1:G1"/>
    <mergeCell ref="H1:J1"/>
    <mergeCell ref="L1:N1"/>
    <mergeCell ref="P1:R1"/>
    <mergeCell ref="M2:N2"/>
    <mergeCell ref="Q2:R2"/>
  </mergeCells>
  <hyperlinks>
    <hyperlink ref="B40" location="'Koneketjujen ketjutus'!A1" display="Siirry koneketjujen ketjuun urakan laskentaan tai tekemään vertailua" xr:uid="{379A608B-CA0D-4400-80DC-1297D4920BC9}"/>
  </hyperlinks>
  <printOptions verticalCentered="1"/>
  <pageMargins left="3.937007874015748E-2" right="3.937007874015748E-2" top="0.74803149606299213" bottom="0.74803149606299213" header="0.31496062992125984" footer="0.31496062992125984"/>
  <pageSetup paperSize="9" scale="57"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Ohjeet!$A$63:$A$68</xm:f>
          </x14:formula1>
          <xm:sqref>V25</xm:sqref>
        </x14:dataValidation>
        <x14:dataValidation type="list" allowBlank="1" showInputMessage="1" showErrorMessage="1" xr:uid="{57572C4A-5519-48C8-87F7-0925A51DEE7D}">
          <x14:formula1>
            <xm:f>Laskentayksikot!$E$2:$E$3</xm:f>
          </x14:formula1>
          <xm:sqref>E2:F2 I2:J2 M2:N2 Q2:R2</xm:sqref>
        </x14:dataValidation>
        <x14:dataValidation type="list" allowBlank="1" showInputMessage="1" showErrorMessage="1" xr:uid="{012ADC2E-B717-4A9D-882C-4F64654B111B}">
          <x14:formula1>
            <xm:f>Laskentayksikot!$E$7:$E$8</xm:f>
          </x14:formula1>
          <xm:sqref>D2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pageSetUpPr fitToPage="1"/>
  </sheetPr>
  <dimension ref="A1:AC43"/>
  <sheetViews>
    <sheetView zoomScale="85" zoomScaleNormal="85" workbookViewId="0">
      <selection activeCell="B44" sqref="B44:C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6.28515625" style="4" customWidth="1"/>
    <col min="11" max="11" width="11" style="4" customWidth="1"/>
    <col min="12" max="12" width="6.28515625" style="4" customWidth="1"/>
    <col min="13" max="13" width="10.140625" style="4" customWidth="1"/>
    <col min="14" max="14" width="15" style="4" customWidth="1"/>
    <col min="15" max="15" width="12.42578125" style="4" customWidth="1"/>
    <col min="16" max="16" width="5" style="4" customWidth="1"/>
    <col min="17" max="17" width="9.140625" style="4"/>
    <col min="18" max="18" width="14.42578125" style="4" customWidth="1"/>
    <col min="19" max="19" width="11" style="4" customWidth="1"/>
    <col min="20" max="20" width="14.28515625" style="4" customWidth="1"/>
    <col min="21" max="21" width="12.7109375" style="4" customWidth="1"/>
    <col min="22" max="22" width="15.140625" style="4" customWidth="1"/>
    <col min="23" max="23" width="11.140625" style="4" customWidth="1"/>
    <col min="24" max="25" width="9.140625" style="4"/>
    <col min="26" max="26" width="15.42578125" style="4" customWidth="1"/>
    <col min="27" max="27" width="15.85546875" style="4" customWidth="1"/>
    <col min="28" max="16384" width="9.140625" style="4"/>
  </cols>
  <sheetData>
    <row r="1" spans="1:29" ht="51.75" thickBot="1" x14ac:dyDescent="0.25">
      <c r="A1" s="6" t="s">
        <v>79</v>
      </c>
      <c r="C1" s="6"/>
      <c r="E1" s="917" t="s">
        <v>80</v>
      </c>
      <c r="F1" s="917"/>
      <c r="G1" s="917"/>
      <c r="H1" s="918" t="s">
        <v>81</v>
      </c>
      <c r="I1" s="918"/>
      <c r="J1" s="918"/>
      <c r="L1" s="918" t="s">
        <v>81</v>
      </c>
      <c r="M1" s="918"/>
      <c r="N1" s="918"/>
      <c r="P1" s="918" t="s">
        <v>81</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89</v>
      </c>
      <c r="B2" s="912"/>
      <c r="C2" s="4" t="s">
        <v>90</v>
      </c>
      <c r="D2" s="70" t="s">
        <v>69</v>
      </c>
      <c r="E2" s="913" t="s">
        <v>60</v>
      </c>
      <c r="F2" s="914"/>
      <c r="G2" s="72"/>
      <c r="H2" s="402"/>
      <c r="I2" s="913" t="s">
        <v>62</v>
      </c>
      <c r="J2" s="914"/>
      <c r="K2" s="71"/>
      <c r="L2" s="402"/>
      <c r="M2" s="913" t="s">
        <v>62</v>
      </c>
      <c r="N2" s="914"/>
      <c r="O2" s="71"/>
      <c r="P2" s="402"/>
      <c r="Q2" s="913" t="s">
        <v>62</v>
      </c>
      <c r="R2" s="914"/>
      <c r="S2" s="71"/>
    </row>
    <row r="3" spans="1:29" ht="13.5" thickBot="1" x14ac:dyDescent="0.25">
      <c r="C3" s="10" t="s">
        <v>91</v>
      </c>
      <c r="E3" s="921" t="s">
        <v>141</v>
      </c>
      <c r="F3" s="922"/>
      <c r="H3" s="403"/>
      <c r="I3" s="923" t="s">
        <v>92</v>
      </c>
      <c r="J3" s="916"/>
      <c r="K3" s="73"/>
      <c r="L3" s="403"/>
      <c r="M3" s="915" t="s">
        <v>93</v>
      </c>
      <c r="N3" s="916"/>
      <c r="O3" s="73"/>
      <c r="P3" s="403"/>
      <c r="Q3" s="915" t="s">
        <v>94</v>
      </c>
      <c r="R3" s="916"/>
      <c r="S3" s="73"/>
      <c r="T3" s="6" t="str">
        <f>"Kytketty koneet: "&amp;IF(E2="k",E3&amp;" ","")&amp;IF(I2="k",I3&amp;" ","")&amp;IF(M2="k",M3&amp;" ","")&amp;(IF(Q2="k",Q3&amp;" ",""))</f>
        <v xml:space="preserve">Kytketty koneet: MF </v>
      </c>
    </row>
    <row r="4" spans="1:29" x14ac:dyDescent="0.2">
      <c r="A4" s="4" t="s">
        <v>95</v>
      </c>
      <c r="E4" s="4" t="s">
        <v>96</v>
      </c>
      <c r="F4" s="75">
        <v>1</v>
      </c>
      <c r="H4" s="119"/>
      <c r="I4" s="4" t="s">
        <v>96</v>
      </c>
      <c r="J4" s="75">
        <v>1</v>
      </c>
      <c r="K4" s="73"/>
      <c r="L4" s="119"/>
      <c r="M4" s="4" t="s">
        <v>96</v>
      </c>
      <c r="N4" s="75">
        <v>1</v>
      </c>
      <c r="O4" s="73"/>
      <c r="P4" s="119"/>
      <c r="Q4" s="4" t="s">
        <v>96</v>
      </c>
      <c r="R4" s="75">
        <v>1</v>
      </c>
      <c r="S4" s="73"/>
      <c r="T4" s="160" t="s">
        <v>97</v>
      </c>
    </row>
    <row r="5" spans="1:29" ht="13.5" thickBot="1" x14ac:dyDescent="0.25">
      <c r="A5" s="4" t="s">
        <v>98</v>
      </c>
      <c r="E5" s="4" t="s">
        <v>99</v>
      </c>
      <c r="F5" s="640">
        <v>1</v>
      </c>
      <c r="H5" s="119"/>
      <c r="I5" s="4" t="s">
        <v>99</v>
      </c>
      <c r="J5" s="640">
        <v>1</v>
      </c>
      <c r="K5" s="73"/>
      <c r="L5" s="119"/>
      <c r="M5" s="4" t="s">
        <v>99</v>
      </c>
      <c r="N5" s="640">
        <v>1</v>
      </c>
      <c r="O5" s="73"/>
      <c r="P5" s="119"/>
      <c r="Q5" s="4" t="s">
        <v>99</v>
      </c>
      <c r="R5" s="640">
        <v>1</v>
      </c>
      <c r="S5" s="73"/>
      <c r="T5" s="641">
        <f>IF($E$2="k",(F5),0)+IF($I$2="k",(J5),0)+IF($M$2="k",(N5),0)+IF($Q$2="k",(R5),0)</f>
        <v>1</v>
      </c>
    </row>
    <row r="6" spans="1:29" ht="13.5" thickBot="1" x14ac:dyDescent="0.25">
      <c r="A6" s="160" t="s">
        <v>545</v>
      </c>
      <c r="E6" s="795">
        <v>1</v>
      </c>
      <c r="F6" s="794">
        <f>E6*F5</f>
        <v>1</v>
      </c>
      <c r="G6" s="793"/>
      <c r="I6" s="795">
        <f>E6</f>
        <v>1</v>
      </c>
      <c r="J6" s="794">
        <f>I6*J5</f>
        <v>1</v>
      </c>
      <c r="K6" s="73"/>
      <c r="M6" s="795">
        <f>I6</f>
        <v>1</v>
      </c>
      <c r="N6" s="794">
        <f>M6*N5</f>
        <v>1</v>
      </c>
      <c r="O6" s="73"/>
      <c r="Q6" s="795">
        <f>M6</f>
        <v>1</v>
      </c>
      <c r="R6" s="794">
        <f>Q6*R5</f>
        <v>1</v>
      </c>
      <c r="S6" s="73"/>
      <c r="T6" s="641">
        <f>IF($E$2="k",(F6),0)+IF($I$2="k",(J6),0)+IF($M$2="k",(N6),0)+IF($Q$2="k",(R6),0)</f>
        <v>1</v>
      </c>
    </row>
    <row r="7" spans="1:29" x14ac:dyDescent="0.2">
      <c r="A7" s="4" t="s">
        <v>100</v>
      </c>
      <c r="F7" s="77">
        <v>1</v>
      </c>
      <c r="H7" s="119"/>
      <c r="J7" s="77">
        <v>1</v>
      </c>
      <c r="K7" s="73"/>
      <c r="L7" s="119"/>
      <c r="N7" s="77">
        <v>0</v>
      </c>
      <c r="O7" s="73"/>
      <c r="P7" s="119"/>
      <c r="R7" s="77">
        <v>0</v>
      </c>
      <c r="S7" s="73"/>
    </row>
    <row r="8" spans="1:29" x14ac:dyDescent="0.2">
      <c r="A8" s="4" t="s">
        <v>101</v>
      </c>
      <c r="E8" s="596">
        <v>0.255</v>
      </c>
      <c r="F8" s="222">
        <f>F7/(100%+E8)*E8</f>
        <v>0.20318725099601595</v>
      </c>
      <c r="G8" s="7"/>
      <c r="H8" s="404"/>
      <c r="I8" s="596">
        <f>E8</f>
        <v>0.255</v>
      </c>
      <c r="J8" s="222">
        <f>J7/(100%+I8)*I8</f>
        <v>0.20318725099601595</v>
      </c>
      <c r="K8" s="79"/>
      <c r="L8" s="404"/>
      <c r="M8" s="596">
        <f>I8</f>
        <v>0.255</v>
      </c>
      <c r="N8" s="222">
        <f>N7/(100%+M8)*M8</f>
        <v>0</v>
      </c>
      <c r="O8" s="79"/>
      <c r="P8" s="404"/>
      <c r="Q8" s="596">
        <f>M8</f>
        <v>0.255</v>
      </c>
      <c r="R8" s="222">
        <f>R7/(100%+Q8)*Q8</f>
        <v>0</v>
      </c>
      <c r="S8" s="79"/>
    </row>
    <row r="9" spans="1:29" x14ac:dyDescent="0.2">
      <c r="A9" s="4" t="s">
        <v>102</v>
      </c>
      <c r="F9" s="80">
        <f>F7-F8</f>
        <v>0.79681274900398402</v>
      </c>
      <c r="H9" s="119"/>
      <c r="J9" s="80">
        <f>J7-J8</f>
        <v>0.79681274900398402</v>
      </c>
      <c r="K9" s="73"/>
      <c r="L9" s="119"/>
      <c r="N9" s="80">
        <f>N7-N8</f>
        <v>0</v>
      </c>
      <c r="O9" s="73"/>
      <c r="P9" s="119"/>
      <c r="R9" s="80">
        <f>R7-R8</f>
        <v>0</v>
      </c>
      <c r="S9" s="73"/>
    </row>
    <row r="10" spans="1:29" x14ac:dyDescent="0.2">
      <c r="A10" s="4" t="s">
        <v>103</v>
      </c>
      <c r="E10" s="225">
        <v>0.35</v>
      </c>
      <c r="F10" s="222">
        <f>E10*F9</f>
        <v>0.2788844621513944</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0.51792828685258963</v>
      </c>
      <c r="H11" s="119"/>
      <c r="J11" s="81">
        <f>J9-J10</f>
        <v>0.79681274900398402</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0.53784860557768921</v>
      </c>
      <c r="H13" s="119"/>
      <c r="I13" s="226">
        <v>0.05</v>
      </c>
      <c r="J13" s="222">
        <f>IF(I2="k",IF($D$2="A",ABS(PMT(I13,J4,-J9,I10*J9,0)),SUM(J14:J15)),0)</f>
        <v>0</v>
      </c>
      <c r="K13" s="73"/>
      <c r="L13" s="119"/>
      <c r="M13" s="226">
        <v>0.05</v>
      </c>
      <c r="N13" s="222">
        <f>IF(M2="k",IF($D$2="A",ABS(PMT(M13,N4,-N9,M10*N9,0)),SUM(N14:N15)),0)</f>
        <v>0</v>
      </c>
      <c r="O13" s="73"/>
      <c r="P13" s="119"/>
      <c r="Q13" s="226">
        <v>0.05</v>
      </c>
      <c r="R13" s="222">
        <f>IF(Q2="k",IF($D$2="A",ABS(PMT(Q13,R4,-R9,Q10*R9,0)),SUM(R14:R15)),0)</f>
        <v>0</v>
      </c>
      <c r="S13" s="73"/>
      <c r="T13" s="36">
        <f>SUM(F13,J13,N13,R13)</f>
        <v>0.53784860557768921</v>
      </c>
    </row>
    <row r="14" spans="1:29" x14ac:dyDescent="0.2">
      <c r="B14" s="30" t="s">
        <v>109</v>
      </c>
      <c r="F14" s="84">
        <f>IF(E2="k",IF(D2="A",E13*F9,F9/2*E13),0)</f>
        <v>1.9920318725099601E-2</v>
      </c>
      <c r="G14" s="10"/>
      <c r="H14" s="405"/>
      <c r="J14" s="84">
        <f>IF(I2="k",IF($D$2="A",I13*J9,J9/2*I13),0)</f>
        <v>0</v>
      </c>
      <c r="K14" s="85"/>
      <c r="L14" s="405"/>
      <c r="N14" s="84">
        <f>IF(M2="k",IF($D$2="A",M13*N9,N9/2*M13),0)</f>
        <v>0</v>
      </c>
      <c r="O14" s="85"/>
      <c r="P14" s="405"/>
      <c r="R14" s="84">
        <f>IF(Q2="k",IF($D$2="A",Q13*R9,R9/2*Q13),0)</f>
        <v>0</v>
      </c>
      <c r="S14" s="85"/>
      <c r="T14" s="36">
        <f t="shared" ref="T14:T25" si="0">SUM(F14,J14,N14,R14)</f>
        <v>1.9920318725099601E-2</v>
      </c>
    </row>
    <row r="15" spans="1:29" ht="13.5" thickBot="1" x14ac:dyDescent="0.25">
      <c r="B15" s="32" t="s">
        <v>110</v>
      </c>
      <c r="C15" s="33"/>
      <c r="D15" s="33"/>
      <c r="E15" s="33"/>
      <c r="F15" s="86">
        <f>IF(E2="k",IF(D2="A",F13-F14,F11/F4),0)</f>
        <v>0.51792828685258963</v>
      </c>
      <c r="H15" s="119"/>
      <c r="J15" s="86">
        <f>IF(I2="k",IF($D$2="A",J13-J14,J11/J4),0)</f>
        <v>0</v>
      </c>
      <c r="K15" s="73"/>
      <c r="L15" s="119"/>
      <c r="N15" s="86">
        <f>IF(M2="k",IF($D$2="A",N13-N14,N11/N4),0)</f>
        <v>0</v>
      </c>
      <c r="O15" s="73"/>
      <c r="P15" s="119"/>
      <c r="R15" s="86">
        <f>IF(Q2="k",IF($D$2="A",R13-R14,R11/R4),0)</f>
        <v>0</v>
      </c>
      <c r="S15" s="73"/>
      <c r="T15" s="36">
        <f t="shared" si="0"/>
        <v>0.51792828685258963</v>
      </c>
    </row>
    <row r="16" spans="1:29" x14ac:dyDescent="0.2">
      <c r="B16" s="35"/>
      <c r="F16" s="86"/>
      <c r="H16" s="119"/>
      <c r="J16" s="86"/>
      <c r="K16" s="73"/>
      <c r="L16" s="119"/>
      <c r="N16" s="86"/>
      <c r="O16" s="73"/>
      <c r="P16" s="119"/>
      <c r="R16" s="86"/>
      <c r="S16" s="73"/>
    </row>
    <row r="17" spans="1:29" x14ac:dyDescent="0.2">
      <c r="B17" s="419" t="s">
        <v>111</v>
      </c>
      <c r="F17" s="88">
        <v>200</v>
      </c>
      <c r="G17" s="10"/>
      <c r="H17" s="405"/>
      <c r="I17" s="44"/>
      <c r="J17" s="77">
        <v>0</v>
      </c>
      <c r="K17" s="85"/>
      <c r="L17" s="405"/>
      <c r="M17" s="44"/>
      <c r="N17" s="77">
        <v>0</v>
      </c>
      <c r="O17" s="85"/>
      <c r="P17" s="405"/>
      <c r="Q17" s="44"/>
      <c r="R17" s="77">
        <v>0</v>
      </c>
      <c r="S17" s="85"/>
      <c r="T17" s="8">
        <f>IF($E$2="k",F17)+IF($I$2="k",J17)+IF($M$2="k",N17)+IF($Q$2="k",R17)</f>
        <v>200</v>
      </c>
    </row>
    <row r="18" spans="1:29" x14ac:dyDescent="0.2">
      <c r="B18" s="40" t="s">
        <v>112</v>
      </c>
      <c r="C18" s="41"/>
      <c r="D18" s="42"/>
      <c r="E18" s="89"/>
      <c r="F18" s="88">
        <v>350</v>
      </c>
      <c r="G18" s="10"/>
      <c r="H18" s="405"/>
      <c r="J18" s="77">
        <v>0</v>
      </c>
      <c r="K18" s="85"/>
      <c r="L18" s="405"/>
      <c r="N18" s="77">
        <v>0</v>
      </c>
      <c r="O18" s="85"/>
      <c r="P18" s="405"/>
      <c r="R18" s="77">
        <v>0</v>
      </c>
      <c r="S18" s="85"/>
      <c r="T18" s="8">
        <f>IF($E$2="k",F18)+IF($I$2="k",J18)+IF($M$2="k",N18)+IF($Q$2="k",R18)</f>
        <v>350</v>
      </c>
    </row>
    <row r="19" spans="1:29" x14ac:dyDescent="0.2">
      <c r="B19" s="35" t="s">
        <v>113</v>
      </c>
      <c r="D19" s="44"/>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2.3904382470119521E-3</v>
      </c>
      <c r="G21" s="10"/>
      <c r="H21" s="405"/>
      <c r="I21" s="226">
        <v>3.0000000000000001E-3</v>
      </c>
      <c r="J21" s="290">
        <f>IF(I2="k",I21*J9,0)</f>
        <v>0</v>
      </c>
      <c r="K21" s="85"/>
      <c r="L21" s="405"/>
      <c r="M21" s="226">
        <v>3.0000000000000001E-3</v>
      </c>
      <c r="N21" s="290">
        <f>IF(M2="k",M21*N9,0)</f>
        <v>0</v>
      </c>
      <c r="O21" s="85"/>
      <c r="P21" s="405"/>
      <c r="Q21" s="226">
        <v>3.0000000000000001E-3</v>
      </c>
      <c r="R21" s="19">
        <f>IF(Q2="k",Q21*R9,0)</f>
        <v>0</v>
      </c>
      <c r="S21" s="85"/>
      <c r="T21" s="36">
        <f t="shared" si="0"/>
        <v>2.3904382470119521E-3</v>
      </c>
    </row>
    <row r="22" spans="1:29" ht="13.5" thickBot="1" x14ac:dyDescent="0.25">
      <c r="B22" s="50" t="s">
        <v>115</v>
      </c>
      <c r="C22" s="51"/>
      <c r="D22" s="51"/>
      <c r="E22" s="52"/>
      <c r="F22" s="91">
        <f>IF(E2="k",SUM(F14:F21),0)</f>
        <v>550.54023904382473</v>
      </c>
      <c r="G22" s="209">
        <f>IF(E$6=0%,F22/F$5,F22/F$6)</f>
        <v>550.54023904382473</v>
      </c>
      <c r="H22" s="406"/>
      <c r="J22" s="91">
        <f>IF(I2="k",SUM(J14:J21),0)</f>
        <v>0</v>
      </c>
      <c r="K22" s="209">
        <f>IF(I$6=0%,J22/J$5,J22/J$6)</f>
        <v>0</v>
      </c>
      <c r="L22" s="406"/>
      <c r="N22" s="91">
        <f>IF(M2="k",SUM(N14:N21),0)</f>
        <v>0</v>
      </c>
      <c r="O22" s="209">
        <f>IF(M$6=0%,N22/N$5,N22/N$6)</f>
        <v>0</v>
      </c>
      <c r="P22" s="406"/>
      <c r="R22" s="93">
        <f>IF(Q2="k",SUM(R14:R21),0)</f>
        <v>0</v>
      </c>
      <c r="S22" s="209">
        <f>IF(Q$6=0%,R22/R$5,R22/R$6)</f>
        <v>0</v>
      </c>
      <c r="T22" s="94">
        <f t="shared" si="0"/>
        <v>550.54023904382473</v>
      </c>
      <c r="U22" s="425">
        <f>SUM(G22,K22,O22,S22)</f>
        <v>550.54023904382473</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2000</v>
      </c>
      <c r="G24" s="47"/>
      <c r="H24" s="409"/>
      <c r="J24" s="77">
        <v>0</v>
      </c>
      <c r="K24" s="99"/>
      <c r="L24" s="409"/>
      <c r="N24" s="77">
        <v>0</v>
      </c>
      <c r="O24" s="99"/>
      <c r="P24" s="409"/>
      <c r="R24" s="77">
        <v>0</v>
      </c>
      <c r="S24" s="99"/>
      <c r="T24" s="8">
        <f>IF($E$2="k",F24)+IF($I$2="k",J24)+IF($M$2="k",N24)+IF($Q$2="k",R24)</f>
        <v>2000</v>
      </c>
    </row>
    <row r="25" spans="1:29" ht="15.75" x14ac:dyDescent="0.2">
      <c r="B25" s="11" t="s">
        <v>118</v>
      </c>
      <c r="C25" s="196">
        <v>1</v>
      </c>
      <c r="D25" s="197">
        <v>1.5</v>
      </c>
      <c r="E25" s="289"/>
      <c r="F25" s="100">
        <f>IF(E2="k",C25*D25*F5,0)</f>
        <v>1.5</v>
      </c>
      <c r="G25" s="39"/>
      <c r="H25" s="410">
        <v>4</v>
      </c>
      <c r="I25" s="102">
        <f>$D$25</f>
        <v>1.5</v>
      </c>
      <c r="J25" s="100">
        <f>IF(I2="k",H25*I25*J5,0)</f>
        <v>0</v>
      </c>
      <c r="K25" s="101"/>
      <c r="L25" s="410">
        <f>H25</f>
        <v>4</v>
      </c>
      <c r="M25" s="102">
        <f>$D$25</f>
        <v>1.5</v>
      </c>
      <c r="N25" s="100">
        <f>IF(M2="k",L25*M25*N5,0)</f>
        <v>0</v>
      </c>
      <c r="O25" s="101"/>
      <c r="P25" s="410">
        <f>L25</f>
        <v>4</v>
      </c>
      <c r="Q25" s="102">
        <f>$D$25</f>
        <v>1.5</v>
      </c>
      <c r="R25" s="100">
        <f>IF(Q2="k",P25*Q25*R5,0)</f>
        <v>0</v>
      </c>
      <c r="S25" s="101"/>
      <c r="T25" s="36">
        <f t="shared" si="0"/>
        <v>1.5</v>
      </c>
      <c r="V25" s="165" t="s">
        <v>37</v>
      </c>
      <c r="W25" s="642">
        <f>IF($E$2="k",(C25*F5),0)+IF($I$2="k",(H25*J5),0)+IF($M$2="k",(L25*N5),0)+IF($Q$2="k",(P25*R5),0)</f>
        <v>1</v>
      </c>
      <c r="X25" s="642">
        <f>W25/159</f>
        <v>6.2893081761006293E-3</v>
      </c>
      <c r="Y25" s="161">
        <f>VLOOKUP(V25,Ohjeet!A63:F68,6,FALSE)</f>
        <v>2.66</v>
      </c>
      <c r="Z25" s="163">
        <f>W25*Y25</f>
        <v>2.66</v>
      </c>
      <c r="AA25" s="164">
        <f>Z25/1000</f>
        <v>2.66E-3</v>
      </c>
      <c r="AB25" s="162">
        <f>Z25*0.27</f>
        <v>0.71820000000000006</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2.66</v>
      </c>
    </row>
    <row r="27" spans="1:29" x14ac:dyDescent="0.2">
      <c r="B27" s="195" t="s">
        <v>124</v>
      </c>
      <c r="C27" s="393">
        <v>7.0000000000000007E-2</v>
      </c>
      <c r="D27" s="643">
        <f>C25*F5*C27</f>
        <v>7.0000000000000007E-2</v>
      </c>
      <c r="E27" s="644">
        <v>1</v>
      </c>
      <c r="F27" s="397">
        <f>IF(E2="K",IF(G27&gt;0,G27,D27*E27),0)</f>
        <v>7.0000000000000007E-2</v>
      </c>
      <c r="G27" s="645">
        <v>0</v>
      </c>
      <c r="H27" s="411"/>
      <c r="I27" s="400">
        <f>H25*$C$27</f>
        <v>0.28000000000000003</v>
      </c>
      <c r="J27" s="397">
        <f>IF(I2="K",IF(K27&gt;0,K27,I27*$E$27),0)</f>
        <v>0</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7.0000000000000007E-2</v>
      </c>
    </row>
    <row r="28" spans="1:29" x14ac:dyDescent="0.2">
      <c r="B28" s="396" t="s">
        <v>125</v>
      </c>
      <c r="C28" s="919" t="s">
        <v>126</v>
      </c>
      <c r="D28" s="920"/>
      <c r="E28" s="920"/>
      <c r="F28" s="77">
        <v>2000</v>
      </c>
      <c r="G28" s="39"/>
      <c r="H28" s="411"/>
      <c r="I28" s="412" t="str">
        <f>$B$28</f>
        <v>Muut:</v>
      </c>
      <c r="J28" s="77">
        <v>500</v>
      </c>
      <c r="K28" s="101"/>
      <c r="L28" s="411"/>
      <c r="M28" s="412" t="str">
        <f>$B$28</f>
        <v>Muut:</v>
      </c>
      <c r="N28" s="77">
        <v>0</v>
      </c>
      <c r="O28" s="101"/>
      <c r="P28" s="411"/>
      <c r="Q28" s="412" t="str">
        <f>$B$28</f>
        <v>Muut:</v>
      </c>
      <c r="R28" s="77">
        <v>0</v>
      </c>
      <c r="S28" s="101"/>
      <c r="T28" s="8">
        <f>IF($E$2="k",F28)+IF($I$2="k",J28)+IF($M$2="k",N28)+IF($Q$2="k",R28)</f>
        <v>2000</v>
      </c>
    </row>
    <row r="29" spans="1:29" ht="13.5" thickBot="1" x14ac:dyDescent="0.25">
      <c r="B29" s="396" t="s">
        <v>125</v>
      </c>
      <c r="C29" s="919"/>
      <c r="D29" s="920"/>
      <c r="E29" s="920"/>
      <c r="F29" s="77"/>
      <c r="G29" s="39"/>
      <c r="H29" s="411"/>
      <c r="I29" s="412" t="str">
        <f>$B$29</f>
        <v>Muut:</v>
      </c>
      <c r="J29" s="77"/>
      <c r="K29" s="101"/>
      <c r="L29" s="411"/>
      <c r="M29" s="412" t="str">
        <f>$B$29</f>
        <v>Muut:</v>
      </c>
      <c r="N29" s="77">
        <v>0</v>
      </c>
      <c r="O29" s="101"/>
      <c r="P29" s="411"/>
      <c r="Q29" s="412" t="str">
        <f>$B$29</f>
        <v>Muut:</v>
      </c>
      <c r="R29" s="77">
        <v>0</v>
      </c>
      <c r="S29" s="101"/>
      <c r="T29" s="8">
        <f>IF($E$2="k",F29)+IF($I$2="k",J29)+IF($M$2="k",N29)+IF($Q$2="k",R29)</f>
        <v>0</v>
      </c>
    </row>
    <row r="30" spans="1:29" ht="13.5" thickBot="1" x14ac:dyDescent="0.25">
      <c r="B30" s="60" t="s">
        <v>127</v>
      </c>
      <c r="C30" s="51"/>
      <c r="D30" s="51"/>
      <c r="E30" s="51"/>
      <c r="F30" s="55">
        <f>IF(E2="k",SUM(F24:F29),0)</f>
        <v>4001.5699999999997</v>
      </c>
      <c r="G30" s="209">
        <f>IF(E$6=0%,F30/F$5,F30/F$6)</f>
        <v>4001.5699999999997</v>
      </c>
      <c r="H30" s="413"/>
      <c r="J30" s="55">
        <f>IF(I2="k",SUM(J24:J29),0)</f>
        <v>0</v>
      </c>
      <c r="K30" s="209">
        <f>IF(I$6=0%,J30/J$5,J30/J$6)</f>
        <v>0</v>
      </c>
      <c r="L30" s="413"/>
      <c r="N30" s="55">
        <f>IF(M2="k",SUM(N24:N29),0)</f>
        <v>0</v>
      </c>
      <c r="O30" s="209">
        <f>IF(M$6=0%,N30/N$5,N30/N$6)</f>
        <v>0</v>
      </c>
      <c r="P30" s="413"/>
      <c r="R30" s="55">
        <f>IF(Q2="k",SUM(R24:R29),0)</f>
        <v>0</v>
      </c>
      <c r="S30" s="209">
        <f>IF(Q$6=0%,R30/R$5,R30/R$6)</f>
        <v>0</v>
      </c>
      <c r="T30" s="94">
        <f t="shared" ref="T30:T38" si="1">SUM(F30,J30,N30,R30)</f>
        <v>4001.5699999999997</v>
      </c>
      <c r="U30" s="105">
        <f>SUM(G30,K30,O30,S30)</f>
        <v>4001.5699999999997</v>
      </c>
      <c r="V30" s="158"/>
    </row>
    <row r="31" spans="1:29" ht="13.5" thickBot="1" x14ac:dyDescent="0.25">
      <c r="A31" s="6" t="s">
        <v>128</v>
      </c>
      <c r="F31" s="106">
        <f>F22+F30</f>
        <v>4552.1102390438245</v>
      </c>
      <c r="G31" s="12"/>
      <c r="H31" s="415"/>
      <c r="J31" s="55">
        <f>IF(I2="k",J22+J30,0)</f>
        <v>0</v>
      </c>
      <c r="K31" s="107"/>
      <c r="L31" s="415"/>
      <c r="N31" s="55">
        <f>IF(M2="k",N22+N30,0)</f>
        <v>0</v>
      </c>
      <c r="O31" s="107"/>
      <c r="P31" s="415"/>
      <c r="R31" s="55">
        <f>IF(Q2="k",R22+R30,0)</f>
        <v>0</v>
      </c>
      <c r="S31" s="107"/>
      <c r="T31" s="94">
        <f t="shared" si="1"/>
        <v>4552.1102390438245</v>
      </c>
    </row>
    <row r="32" spans="1:29" ht="13.5" thickBot="1" x14ac:dyDescent="0.25">
      <c r="F32" s="7"/>
      <c r="H32" s="119"/>
      <c r="J32" s="7"/>
      <c r="K32" s="73"/>
      <c r="L32" s="119"/>
      <c r="N32" s="7"/>
      <c r="O32" s="73"/>
      <c r="P32" s="119"/>
      <c r="R32" s="7"/>
      <c r="S32" s="73"/>
    </row>
    <row r="33" spans="1:20" ht="13.5" thickBot="1" x14ac:dyDescent="0.25">
      <c r="A33" s="6" t="s">
        <v>129</v>
      </c>
      <c r="F33" s="235">
        <f>IF(E2="k",IF(E6=0%,F31/F5,F31/F6),0)</f>
        <v>4552.1102390438245</v>
      </c>
      <c r="G33" s="12"/>
      <c r="H33" s="415"/>
      <c r="J33" s="235">
        <f>IF(I2="k",IF(I6=0%,J31/J5,J31/J6),0)</f>
        <v>0</v>
      </c>
      <c r="K33" s="107"/>
      <c r="L33" s="415"/>
      <c r="N33" s="235">
        <f>IF(M2="k",IF(M6=0%,N31/N5,N31/N6),0)</f>
        <v>0</v>
      </c>
      <c r="O33" s="107"/>
      <c r="P33" s="415"/>
      <c r="R33" s="235">
        <f>IF(Q2="k",IF(Q6=0%,R31/R5,R31/R6),0)</f>
        <v>0</v>
      </c>
      <c r="S33" s="107"/>
      <c r="T33" s="108">
        <f t="shared" si="1"/>
        <v>4552.1102390438245</v>
      </c>
    </row>
    <row r="34" spans="1:20" x14ac:dyDescent="0.2">
      <c r="B34" s="6" t="s">
        <v>130</v>
      </c>
      <c r="E34" s="203">
        <v>0</v>
      </c>
      <c r="F34" s="234">
        <f>IF(E2="k",((100%/(100%-E34))*F33)-F33,0)</f>
        <v>0</v>
      </c>
      <c r="G34" s="10"/>
      <c r="H34" s="405"/>
      <c r="I34" s="295">
        <f>E34</f>
        <v>0</v>
      </c>
      <c r="J34" s="234">
        <f>IF(I2="k",((100%/(100%-I34))*J33)-J33,0)</f>
        <v>0</v>
      </c>
      <c r="K34" s="85"/>
      <c r="L34" s="405"/>
      <c r="M34" s="295">
        <f>I34</f>
        <v>0</v>
      </c>
      <c r="N34" s="234">
        <f>IF(M2="k",((100%/(100%-M34))*N33)-N33,0)</f>
        <v>0</v>
      </c>
      <c r="O34" s="85"/>
      <c r="P34" s="405"/>
      <c r="Q34" s="295">
        <f>M34</f>
        <v>0</v>
      </c>
      <c r="R34" s="234">
        <f>IF(Q2="k",((100%/(100%-Q34))*R33)-R33,0)</f>
        <v>0</v>
      </c>
      <c r="S34" s="85"/>
      <c r="T34" s="36">
        <f t="shared" si="1"/>
        <v>0</v>
      </c>
    </row>
    <row r="35" spans="1:20" ht="13.5" thickBot="1" x14ac:dyDescent="0.25">
      <c r="B35" s="4" t="s">
        <v>131</v>
      </c>
      <c r="C35" s="160" t="s">
        <v>132</v>
      </c>
      <c r="F35" s="292">
        <v>0</v>
      </c>
      <c r="G35" s="10"/>
      <c r="H35" s="405"/>
      <c r="I35" s="109" t="s">
        <v>133</v>
      </c>
      <c r="J35" s="609">
        <v>0</v>
      </c>
      <c r="K35" s="85"/>
      <c r="L35" s="405"/>
      <c r="M35" s="109" t="str">
        <f>I35</f>
        <v>Traktorissa</v>
      </c>
      <c r="N35" s="292">
        <v>0</v>
      </c>
      <c r="O35" s="85"/>
      <c r="P35" s="405"/>
      <c r="Q35" s="109" t="str">
        <f>M35</f>
        <v>Traktorissa</v>
      </c>
      <c r="R35" s="292">
        <v>20</v>
      </c>
      <c r="S35" s="85"/>
      <c r="T35" s="8">
        <f>IF($E$2="k",F35)+IF($I$2="k",J35)+IF($M$2="k",N35)+IF($Q$2="k",R35)</f>
        <v>0</v>
      </c>
    </row>
    <row r="36" spans="1:20" x14ac:dyDescent="0.2">
      <c r="B36" s="116" t="s">
        <v>134</v>
      </c>
      <c r="C36" s="115"/>
      <c r="D36" s="115"/>
      <c r="E36" s="115"/>
      <c r="F36" s="293">
        <f>IF(E2="K",SUM(F33:F35),0)</f>
        <v>4552.1102390438245</v>
      </c>
      <c r="G36" s="10"/>
      <c r="H36" s="405"/>
      <c r="J36" s="117">
        <f>IF(I2="K",SUM(J33:J35),0)</f>
        <v>0</v>
      </c>
      <c r="K36" s="85"/>
      <c r="L36" s="405"/>
      <c r="N36" s="293">
        <f>IF(M2="K",SUM(N33:N35),0)</f>
        <v>0</v>
      </c>
      <c r="O36" s="85"/>
      <c r="P36" s="405"/>
      <c r="R36" s="293">
        <f>IF(Q2="K",SUM(R33:R35),0)</f>
        <v>0</v>
      </c>
      <c r="S36" s="85"/>
      <c r="T36" s="118">
        <f>SUM(F36,J36,N36,R36)</f>
        <v>4552.1102390438245</v>
      </c>
    </row>
    <row r="37" spans="1:20" ht="13.5" thickBot="1" x14ac:dyDescent="0.25">
      <c r="B37" s="119" t="s">
        <v>135</v>
      </c>
      <c r="E37" s="592">
        <v>0.255</v>
      </c>
      <c r="F37" s="291">
        <f>E37*F36</f>
        <v>1160.7881109561754</v>
      </c>
      <c r="G37" s="401"/>
      <c r="H37" s="405"/>
      <c r="I37" s="593">
        <f>$E$37</f>
        <v>0.255</v>
      </c>
      <c r="J37" s="291">
        <f>I37*J36</f>
        <v>0</v>
      </c>
      <c r="K37" s="85"/>
      <c r="L37" s="405"/>
      <c r="M37" s="593">
        <f>$E$37</f>
        <v>0.255</v>
      </c>
      <c r="N37" s="291">
        <f>M37*N36</f>
        <v>0</v>
      </c>
      <c r="O37" s="85"/>
      <c r="P37" s="405"/>
      <c r="Q37" s="593">
        <f>$E$37</f>
        <v>0.255</v>
      </c>
      <c r="R37" s="291">
        <f>Q37*R36</f>
        <v>0</v>
      </c>
      <c r="S37" s="85"/>
      <c r="T37" s="120">
        <f>SUM(F37,J37,N37,R37)</f>
        <v>1160.7881109561754</v>
      </c>
    </row>
    <row r="38" spans="1:20" ht="13.5" thickBot="1" x14ac:dyDescent="0.25">
      <c r="B38" s="121" t="s">
        <v>136</v>
      </c>
      <c r="C38" s="114"/>
      <c r="D38" s="114"/>
      <c r="E38" s="114"/>
      <c r="F38" s="110">
        <f>IF(E2="k",SUM(F36:F37),0)</f>
        <v>5712.8983499999995</v>
      </c>
      <c r="G38" s="113"/>
      <c r="H38" s="416"/>
      <c r="I38" s="114"/>
      <c r="J38" s="110">
        <f>IF(I2="k",SUM(J36:J37),0)</f>
        <v>0</v>
      </c>
      <c r="K38" s="112"/>
      <c r="L38" s="416"/>
      <c r="M38" s="114"/>
      <c r="N38" s="110">
        <f>IF(M2="k",SUM(N36:N37),0)</f>
        <v>0</v>
      </c>
      <c r="O38" s="112"/>
      <c r="P38" s="416"/>
      <c r="Q38" s="114"/>
      <c r="R38" s="110">
        <f>IF(Q2="k",SUM(R36:R37),0)</f>
        <v>0</v>
      </c>
      <c r="S38" s="112"/>
      <c r="T38" s="108">
        <f t="shared" si="1"/>
        <v>5712.8983499999995</v>
      </c>
    </row>
    <row r="40" spans="1:20" ht="18" x14ac:dyDescent="0.25">
      <c r="B40" s="581" t="s">
        <v>137</v>
      </c>
    </row>
    <row r="41" spans="1:20" ht="18" x14ac:dyDescent="0.25">
      <c r="B41" s="582" t="s">
        <v>138</v>
      </c>
    </row>
    <row r="43" spans="1:20" x14ac:dyDescent="0.2">
      <c r="B43" s="4" t="s">
        <v>139</v>
      </c>
      <c r="C43" s="398" t="str">
        <f>Ohjeet!C2</f>
        <v>2024.12</v>
      </c>
    </row>
  </sheetData>
  <sheetProtection algorithmName="SHA-512" hashValue="+jK/2hn4i1uHGOCsfI3it2rN7vKblqYRcFaop1mA6sIZsb+mZziQYlBMVivOcSvDoqvW2fgUQ2IN7AdwvB++3g==" saltValue="Le0BTbk3cChDtKz4lkaPhQ==" spinCount="100000" sheet="1" formatCells="0" formatColumns="0" formatRows="0"/>
  <mergeCells count="15">
    <mergeCell ref="C29:E29"/>
    <mergeCell ref="A2:B2"/>
    <mergeCell ref="E2:F2"/>
    <mergeCell ref="I2:J2"/>
    <mergeCell ref="E3:F3"/>
    <mergeCell ref="I3:J3"/>
    <mergeCell ref="M3:N3"/>
    <mergeCell ref="Q3:R3"/>
    <mergeCell ref="C28:E28"/>
    <mergeCell ref="E1:G1"/>
    <mergeCell ref="H1:J1"/>
    <mergeCell ref="L1:N1"/>
    <mergeCell ref="P1:R1"/>
    <mergeCell ref="M2:N2"/>
    <mergeCell ref="Q2:R2"/>
  </mergeCells>
  <hyperlinks>
    <hyperlink ref="B40" location="'Koneketjujen ketjutus'!A1" display="Siirry koneketjujen ketjuun urakan laskentaan tai tekemään vertailua" xr:uid="{EB111AAD-D5A9-42C5-9AF5-1227CC65AC5C}"/>
  </hyperlinks>
  <printOptions verticalCentered="1"/>
  <pageMargins left="3.937007874015748E-2" right="3.937007874015748E-2" top="0.74803149606299213" bottom="0.74803149606299213" header="0.31496062992125984" footer="0.31496062992125984"/>
  <pageSetup paperSize="9" scale="58"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Ohjeet!$A$63:$A$68</xm:f>
          </x14:formula1>
          <xm:sqref>V25</xm:sqref>
        </x14:dataValidation>
        <x14:dataValidation type="list" allowBlank="1" showInputMessage="1" showErrorMessage="1" xr:uid="{5BBC60B6-C6A8-4A71-BF05-E74B66A4902C}">
          <x14:formula1>
            <xm:f>Laskentayksikot!$E$2:$E$3</xm:f>
          </x14:formula1>
          <xm:sqref>E2:F2 I2:J2 M2:N2 Q2:R2</xm:sqref>
        </x14:dataValidation>
        <x14:dataValidation type="list" allowBlank="1" showInputMessage="1" showErrorMessage="1" xr:uid="{BF1D1824-952A-420A-8824-0D21539D487C}">
          <x14:formula1>
            <xm:f>Laskentayksikot!$E$7:$E$8</xm:f>
          </x14:formula1>
          <xm:sqref>D2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61DC5-DE70-46C6-9390-81446C13D4EB}">
  <sheetPr>
    <pageSetUpPr fitToPage="1"/>
  </sheetPr>
  <dimension ref="A1:AC43"/>
  <sheetViews>
    <sheetView zoomScale="85" zoomScaleNormal="85" workbookViewId="0">
      <selection activeCell="B44" sqref="B44:C44"/>
    </sheetView>
  </sheetViews>
  <sheetFormatPr defaultColWidth="9.140625" defaultRowHeight="12.75" x14ac:dyDescent="0.2"/>
  <cols>
    <col min="1" max="1" width="5.140625" style="4" customWidth="1"/>
    <col min="2" max="2" width="24.7109375" style="4" customWidth="1"/>
    <col min="3" max="3" width="10.140625" style="4" customWidth="1"/>
    <col min="4" max="4" width="12.42578125" style="4" customWidth="1"/>
    <col min="5" max="5" width="10.85546875" style="4" customWidth="1"/>
    <col min="6" max="6" width="21.42578125" style="4" customWidth="1"/>
    <col min="7" max="7" width="12.5703125" style="4" customWidth="1"/>
    <col min="8" max="8" width="7.42578125" style="4" customWidth="1"/>
    <col min="9" max="9" width="10.5703125" style="4" customWidth="1"/>
    <col min="10" max="10" width="16.28515625" style="4" customWidth="1"/>
    <col min="11" max="11" width="11" style="4" customWidth="1"/>
    <col min="12" max="12" width="6.28515625" style="4" customWidth="1"/>
    <col min="13" max="13" width="10.140625" style="4" customWidth="1"/>
    <col min="14" max="14" width="15" style="4" customWidth="1"/>
    <col min="15" max="15" width="12.42578125" style="4" customWidth="1"/>
    <col min="16" max="16" width="5" style="4" customWidth="1"/>
    <col min="17" max="17" width="9.140625" style="4"/>
    <col min="18" max="18" width="14.42578125" style="4" customWidth="1"/>
    <col min="19" max="19" width="11" style="4" customWidth="1"/>
    <col min="20" max="20" width="14.28515625" style="4" customWidth="1"/>
    <col min="21" max="21" width="12.7109375" style="4" customWidth="1"/>
    <col min="22" max="22" width="15.140625" style="4" customWidth="1"/>
    <col min="23" max="23" width="11.140625" style="4" customWidth="1"/>
    <col min="24" max="25" width="9.140625" style="4"/>
    <col min="26" max="26" width="15.42578125" style="4" customWidth="1"/>
    <col min="27" max="27" width="15.85546875" style="4" customWidth="1"/>
    <col min="28" max="16384" width="9.140625" style="4"/>
  </cols>
  <sheetData>
    <row r="1" spans="1:29" ht="51.75" thickBot="1" x14ac:dyDescent="0.25">
      <c r="A1" s="6" t="s">
        <v>79</v>
      </c>
      <c r="C1" s="6"/>
      <c r="E1" s="917" t="s">
        <v>80</v>
      </c>
      <c r="F1" s="917"/>
      <c r="G1" s="917"/>
      <c r="H1" s="918" t="s">
        <v>81</v>
      </c>
      <c r="I1" s="918"/>
      <c r="J1" s="918"/>
      <c r="L1" s="918" t="s">
        <v>81</v>
      </c>
      <c r="M1" s="918"/>
      <c r="N1" s="918"/>
      <c r="P1" s="918" t="s">
        <v>81</v>
      </c>
      <c r="Q1" s="918"/>
      <c r="R1" s="918"/>
      <c r="T1" s="6" t="s">
        <v>82</v>
      </c>
      <c r="U1" s="6"/>
      <c r="V1" s="153" t="s">
        <v>33</v>
      </c>
      <c r="W1" s="152" t="s">
        <v>83</v>
      </c>
      <c r="X1" s="152" t="s">
        <v>84</v>
      </c>
      <c r="Y1" s="152" t="s">
        <v>85</v>
      </c>
      <c r="Z1" s="152" t="s">
        <v>86</v>
      </c>
      <c r="AA1" s="152" t="s">
        <v>87</v>
      </c>
      <c r="AB1" s="152" t="s">
        <v>88</v>
      </c>
      <c r="AC1" s="159"/>
    </row>
    <row r="2" spans="1:29" ht="16.5" thickBot="1" x14ac:dyDescent="0.3">
      <c r="A2" s="911" t="s">
        <v>89</v>
      </c>
      <c r="B2" s="912"/>
      <c r="C2" s="4" t="s">
        <v>90</v>
      </c>
      <c r="D2" s="70" t="s">
        <v>69</v>
      </c>
      <c r="E2" s="913" t="s">
        <v>60</v>
      </c>
      <c r="F2" s="914"/>
      <c r="G2" s="72"/>
      <c r="H2" s="402"/>
      <c r="I2" s="913" t="s">
        <v>62</v>
      </c>
      <c r="J2" s="914"/>
      <c r="K2" s="71"/>
      <c r="L2" s="402"/>
      <c r="M2" s="913" t="s">
        <v>62</v>
      </c>
      <c r="N2" s="914"/>
      <c r="O2" s="71"/>
      <c r="P2" s="402"/>
      <c r="Q2" s="913" t="s">
        <v>62</v>
      </c>
      <c r="R2" s="914"/>
      <c r="S2" s="71"/>
    </row>
    <row r="3" spans="1:29" ht="13.5" thickBot="1" x14ac:dyDescent="0.25">
      <c r="C3" s="10" t="s">
        <v>91</v>
      </c>
      <c r="E3" s="921" t="s">
        <v>24</v>
      </c>
      <c r="F3" s="922"/>
      <c r="H3" s="403"/>
      <c r="I3" s="923" t="s">
        <v>92</v>
      </c>
      <c r="J3" s="916"/>
      <c r="K3" s="73"/>
      <c r="L3" s="403"/>
      <c r="M3" s="915" t="s">
        <v>93</v>
      </c>
      <c r="N3" s="916"/>
      <c r="O3" s="73"/>
      <c r="P3" s="403"/>
      <c r="Q3" s="915" t="s">
        <v>94</v>
      </c>
      <c r="R3" s="916"/>
      <c r="S3" s="73"/>
      <c r="T3" s="6" t="str">
        <f>"Kytketty koneet: "&amp;IF(E2="k",E3&amp;" ","")&amp;IF(I2="k",I3&amp;" ","")&amp;IF(M2="k",M3&amp;" ","")&amp;(IF(Q2="k",Q3&amp;" ",""))</f>
        <v xml:space="preserve">Kytketty koneet: Kurottaja </v>
      </c>
    </row>
    <row r="4" spans="1:29" x14ac:dyDescent="0.2">
      <c r="A4" s="4" t="s">
        <v>95</v>
      </c>
      <c r="E4" s="4" t="s">
        <v>96</v>
      </c>
      <c r="F4" s="75">
        <v>1</v>
      </c>
      <c r="H4" s="119"/>
      <c r="I4" s="4" t="s">
        <v>96</v>
      </c>
      <c r="J4" s="75">
        <v>1</v>
      </c>
      <c r="K4" s="73"/>
      <c r="L4" s="119"/>
      <c r="M4" s="4" t="s">
        <v>96</v>
      </c>
      <c r="N4" s="75">
        <v>1</v>
      </c>
      <c r="O4" s="73"/>
      <c r="P4" s="119"/>
      <c r="Q4" s="4" t="s">
        <v>96</v>
      </c>
      <c r="R4" s="75">
        <v>1</v>
      </c>
      <c r="S4" s="73"/>
      <c r="T4" s="160" t="s">
        <v>97</v>
      </c>
    </row>
    <row r="5" spans="1:29" ht="13.5" thickBot="1" x14ac:dyDescent="0.25">
      <c r="A5" s="4" t="s">
        <v>98</v>
      </c>
      <c r="E5" s="4" t="s">
        <v>99</v>
      </c>
      <c r="F5" s="640">
        <v>1</v>
      </c>
      <c r="H5" s="119"/>
      <c r="I5" s="4" t="s">
        <v>99</v>
      </c>
      <c r="J5" s="640">
        <v>1</v>
      </c>
      <c r="K5" s="73"/>
      <c r="L5" s="119"/>
      <c r="M5" s="4" t="s">
        <v>99</v>
      </c>
      <c r="N5" s="640">
        <v>1</v>
      </c>
      <c r="O5" s="73"/>
      <c r="P5" s="119"/>
      <c r="Q5" s="4" t="s">
        <v>99</v>
      </c>
      <c r="R5" s="640">
        <v>1</v>
      </c>
      <c r="S5" s="73"/>
      <c r="T5" s="641">
        <f>IF($E$2="k",(F5),0)+IF($I$2="k",(J5),0)+IF($M$2="k",(N5),0)+IF($Q$2="k",(R5),0)</f>
        <v>1</v>
      </c>
    </row>
    <row r="6" spans="1:29" ht="13.5" thickBot="1" x14ac:dyDescent="0.25">
      <c r="A6" s="160" t="s">
        <v>545</v>
      </c>
      <c r="E6" s="795">
        <v>1</v>
      </c>
      <c r="F6" s="794">
        <f>E6*F5</f>
        <v>1</v>
      </c>
      <c r="G6" s="793"/>
      <c r="I6" s="795">
        <f>E6</f>
        <v>1</v>
      </c>
      <c r="J6" s="794">
        <f>I6*J5</f>
        <v>1</v>
      </c>
      <c r="K6" s="73"/>
      <c r="M6" s="795">
        <f>I6</f>
        <v>1</v>
      </c>
      <c r="N6" s="794">
        <f>M6*N5</f>
        <v>1</v>
      </c>
      <c r="O6" s="73"/>
      <c r="Q6" s="795">
        <f>M6</f>
        <v>1</v>
      </c>
      <c r="R6" s="794">
        <f>Q6*R5</f>
        <v>1</v>
      </c>
      <c r="S6" s="73"/>
      <c r="T6" s="641">
        <f>IF($E$2="k",(F6),0)+IF($I$2="k",(J6),0)+IF($M$2="k",(N6),0)+IF($Q$2="k",(R6),0)</f>
        <v>1</v>
      </c>
    </row>
    <row r="7" spans="1:29" x14ac:dyDescent="0.2">
      <c r="A7" s="4" t="s">
        <v>100</v>
      </c>
      <c r="F7" s="77">
        <v>1</v>
      </c>
      <c r="H7" s="119"/>
      <c r="J7" s="77">
        <v>0</v>
      </c>
      <c r="K7" s="73"/>
      <c r="L7" s="119"/>
      <c r="N7" s="77">
        <v>0</v>
      </c>
      <c r="O7" s="73"/>
      <c r="P7" s="119"/>
      <c r="R7" s="77">
        <v>0</v>
      </c>
      <c r="S7" s="73"/>
    </row>
    <row r="8" spans="1:29" x14ac:dyDescent="0.2">
      <c r="A8" s="4" t="s">
        <v>101</v>
      </c>
      <c r="E8" s="596">
        <v>0.255</v>
      </c>
      <c r="F8" s="222">
        <f>F7/(100%+E8)*E8</f>
        <v>0.20318725099601595</v>
      </c>
      <c r="G8" s="7"/>
      <c r="H8" s="404"/>
      <c r="I8" s="596">
        <f>E8</f>
        <v>0.255</v>
      </c>
      <c r="J8" s="222">
        <f>J7/(100%+I8)*I8</f>
        <v>0</v>
      </c>
      <c r="K8" s="79"/>
      <c r="L8" s="404"/>
      <c r="M8" s="596">
        <f>I8</f>
        <v>0.255</v>
      </c>
      <c r="N8" s="222">
        <f>N7/(100%+M8)*M8</f>
        <v>0</v>
      </c>
      <c r="O8" s="79"/>
      <c r="P8" s="404"/>
      <c r="Q8" s="596">
        <f>M8</f>
        <v>0.255</v>
      </c>
      <c r="R8" s="222">
        <f>R7/(100%+Q8)*Q8</f>
        <v>0</v>
      </c>
      <c r="S8" s="79"/>
    </row>
    <row r="9" spans="1:29" x14ac:dyDescent="0.2">
      <c r="A9" s="4" t="s">
        <v>102</v>
      </c>
      <c r="F9" s="80">
        <f>F7-F8</f>
        <v>0.79681274900398402</v>
      </c>
      <c r="H9" s="119"/>
      <c r="J9" s="80">
        <f>J7-J8</f>
        <v>0</v>
      </c>
      <c r="K9" s="73"/>
      <c r="L9" s="119"/>
      <c r="N9" s="80">
        <f>N7-N8</f>
        <v>0</v>
      </c>
      <c r="O9" s="73"/>
      <c r="P9" s="119"/>
      <c r="R9" s="80">
        <f>R7-R8</f>
        <v>0</v>
      </c>
      <c r="S9" s="73"/>
    </row>
    <row r="10" spans="1:29" x14ac:dyDescent="0.2">
      <c r="A10" s="4" t="s">
        <v>103</v>
      </c>
      <c r="E10" s="225">
        <v>0.35</v>
      </c>
      <c r="F10" s="222">
        <f>E10*F9</f>
        <v>0.2788844621513944</v>
      </c>
      <c r="H10" s="119"/>
      <c r="I10" s="225">
        <v>0</v>
      </c>
      <c r="J10" s="222">
        <f>I10*J9</f>
        <v>0</v>
      </c>
      <c r="K10" s="73"/>
      <c r="L10" s="119"/>
      <c r="M10" s="225">
        <v>0</v>
      </c>
      <c r="N10" s="222">
        <f>M10*N9</f>
        <v>0</v>
      </c>
      <c r="O10" s="73"/>
      <c r="P10" s="119"/>
      <c r="Q10" s="225">
        <v>0</v>
      </c>
      <c r="R10" s="222">
        <f>Q10*R9</f>
        <v>0</v>
      </c>
      <c r="S10" s="73"/>
    </row>
    <row r="11" spans="1:29" x14ac:dyDescent="0.2">
      <c r="A11" s="4" t="s">
        <v>104</v>
      </c>
      <c r="F11" s="81">
        <f>F9-F10</f>
        <v>0.51792828685258963</v>
      </c>
      <c r="H11" s="119"/>
      <c r="J11" s="81">
        <f>J9-J10</f>
        <v>0</v>
      </c>
      <c r="K11" s="73"/>
      <c r="L11" s="119"/>
      <c r="N11" s="81">
        <f>N9-N10</f>
        <v>0</v>
      </c>
      <c r="O11" s="73"/>
      <c r="P11" s="119"/>
      <c r="R11" s="81">
        <f>R9-R10</f>
        <v>0</v>
      </c>
      <c r="S11" s="73"/>
    </row>
    <row r="12" spans="1:29" ht="13.5" thickBot="1" x14ac:dyDescent="0.25">
      <c r="A12" s="24" t="s">
        <v>105</v>
      </c>
      <c r="F12" s="82"/>
      <c r="H12" s="119"/>
      <c r="J12" s="82"/>
      <c r="K12" s="73"/>
      <c r="L12" s="119"/>
      <c r="N12" s="82"/>
      <c r="O12" s="73"/>
      <c r="P12" s="119"/>
      <c r="R12" s="82"/>
      <c r="S12" s="73"/>
      <c r="T12" s="6" t="s">
        <v>106</v>
      </c>
    </row>
    <row r="13" spans="1:29" x14ac:dyDescent="0.2">
      <c r="A13" s="9"/>
      <c r="B13" s="25" t="s">
        <v>107</v>
      </c>
      <c r="C13" s="26"/>
      <c r="D13" s="27" t="s">
        <v>108</v>
      </c>
      <c r="E13" s="226">
        <v>0.05</v>
      </c>
      <c r="F13" s="222">
        <f>IF(E2="k",IF(D2="A",ABS(PMT(E13,F4,-F9,E10*F9,0)),SUM(F14:F15)),0)</f>
        <v>0.53784860557768921</v>
      </c>
      <c r="H13" s="119"/>
      <c r="I13" s="226">
        <v>0.05</v>
      </c>
      <c r="J13" s="222">
        <f>IF(I2="k",IF($D$2="A",ABS(PMT(I13,J4,-J9,I10*J9,0)),SUM(J14:J15)),0)</f>
        <v>0</v>
      </c>
      <c r="K13" s="73"/>
      <c r="L13" s="119"/>
      <c r="M13" s="226">
        <v>0.05</v>
      </c>
      <c r="N13" s="222">
        <f>IF(M2="k",IF($D$2="A",ABS(PMT(M13,N4,-N9,M10*N9,0)),SUM(N14:N15)),0)</f>
        <v>0</v>
      </c>
      <c r="O13" s="73"/>
      <c r="P13" s="119"/>
      <c r="Q13" s="226">
        <v>0.05</v>
      </c>
      <c r="R13" s="222">
        <f>IF(Q2="k",IF($D$2="A",ABS(PMT(Q13,R4,-R9,Q10*R9,0)),SUM(R14:R15)),0)</f>
        <v>0</v>
      </c>
      <c r="S13" s="73"/>
      <c r="T13" s="36">
        <f>SUM(F13,J13,N13,R13)</f>
        <v>0.53784860557768921</v>
      </c>
    </row>
    <row r="14" spans="1:29" x14ac:dyDescent="0.2">
      <c r="B14" s="30" t="s">
        <v>109</v>
      </c>
      <c r="F14" s="84">
        <f>IF(E2="k",IF(D2="A",E13*F9,F9/2*E13),0)</f>
        <v>1.9920318725099601E-2</v>
      </c>
      <c r="G14" s="10"/>
      <c r="H14" s="405"/>
      <c r="J14" s="84">
        <f>IF(I2="k",IF($D$2="A",I13*J9,J9/2*I13),0)</f>
        <v>0</v>
      </c>
      <c r="K14" s="85"/>
      <c r="L14" s="405"/>
      <c r="N14" s="84">
        <f>IF(M2="k",IF($D$2="A",M13*N9,N9/2*M13),0)</f>
        <v>0</v>
      </c>
      <c r="O14" s="85"/>
      <c r="P14" s="405"/>
      <c r="R14" s="84">
        <f>IF(Q2="k",IF($D$2="A",Q13*R9,R9/2*Q13),0)</f>
        <v>0</v>
      </c>
      <c r="S14" s="85"/>
      <c r="T14" s="36">
        <f t="shared" ref="T14:T25" si="0">SUM(F14,J14,N14,R14)</f>
        <v>1.9920318725099601E-2</v>
      </c>
    </row>
    <row r="15" spans="1:29" ht="13.5" thickBot="1" x14ac:dyDescent="0.25">
      <c r="B15" s="32" t="s">
        <v>110</v>
      </c>
      <c r="C15" s="33"/>
      <c r="D15" s="33"/>
      <c r="E15" s="33"/>
      <c r="F15" s="86">
        <f>IF(E2="k",IF(D2="A",F13-F14,F11/F4),0)</f>
        <v>0.51792828685258963</v>
      </c>
      <c r="H15" s="119"/>
      <c r="J15" s="86">
        <f>IF(I2="k",IF($D$2="A",J13-J14,J11/J4),0)</f>
        <v>0</v>
      </c>
      <c r="K15" s="73"/>
      <c r="L15" s="119"/>
      <c r="N15" s="86">
        <f>IF(M2="k",IF($D$2="A",N13-N14,N11/N4),0)</f>
        <v>0</v>
      </c>
      <c r="O15" s="73"/>
      <c r="P15" s="119"/>
      <c r="R15" s="86">
        <f>IF(Q2="k",IF($D$2="A",R13-R14,R11/R4),0)</f>
        <v>0</v>
      </c>
      <c r="S15" s="73"/>
      <c r="T15" s="36">
        <f t="shared" si="0"/>
        <v>0.51792828685258963</v>
      </c>
    </row>
    <row r="16" spans="1:29" x14ac:dyDescent="0.2">
      <c r="B16" s="35"/>
      <c r="F16" s="86"/>
      <c r="H16" s="119"/>
      <c r="J16" s="86"/>
      <c r="K16" s="73"/>
      <c r="L16" s="119"/>
      <c r="N16" s="86"/>
      <c r="O16" s="73"/>
      <c r="P16" s="119"/>
      <c r="R16" s="86"/>
      <c r="S16" s="73"/>
    </row>
    <row r="17" spans="1:29" x14ac:dyDescent="0.2">
      <c r="B17" s="419" t="s">
        <v>111</v>
      </c>
      <c r="F17" s="88">
        <v>240</v>
      </c>
      <c r="G17" s="10"/>
      <c r="H17" s="405"/>
      <c r="I17" s="44"/>
      <c r="J17" s="77">
        <v>0</v>
      </c>
      <c r="K17" s="85"/>
      <c r="L17" s="405"/>
      <c r="M17" s="44"/>
      <c r="N17" s="77">
        <v>0</v>
      </c>
      <c r="O17" s="85"/>
      <c r="P17" s="405"/>
      <c r="Q17" s="44"/>
      <c r="R17" s="77">
        <v>0</v>
      </c>
      <c r="S17" s="85"/>
      <c r="T17" s="8">
        <f>IF($E$2="k",F17)+IF($I$2="k",J17)+IF($M$2="k",N17)+IF($Q$2="k",R17)</f>
        <v>240</v>
      </c>
    </row>
    <row r="18" spans="1:29" x14ac:dyDescent="0.2">
      <c r="B18" s="40" t="s">
        <v>112</v>
      </c>
      <c r="C18" s="41"/>
      <c r="D18" s="42"/>
      <c r="E18" s="89"/>
      <c r="F18" s="88">
        <v>350</v>
      </c>
      <c r="G18" s="10"/>
      <c r="H18" s="405"/>
      <c r="J18" s="77">
        <v>0</v>
      </c>
      <c r="K18" s="85"/>
      <c r="L18" s="405"/>
      <c r="N18" s="77">
        <v>0</v>
      </c>
      <c r="O18" s="85"/>
      <c r="P18" s="405"/>
      <c r="R18" s="77">
        <v>0</v>
      </c>
      <c r="S18" s="85"/>
      <c r="T18" s="8">
        <f>IF($E$2="k",F18)+IF($I$2="k",J18)+IF($M$2="k",N18)+IF($Q$2="k",R18)</f>
        <v>350</v>
      </c>
    </row>
    <row r="19" spans="1:29" x14ac:dyDescent="0.2">
      <c r="B19" s="35" t="s">
        <v>113</v>
      </c>
      <c r="D19" s="44"/>
      <c r="F19" s="77"/>
      <c r="G19" s="10"/>
      <c r="H19" s="405"/>
      <c r="J19" s="77"/>
      <c r="K19" s="85"/>
      <c r="L19" s="405"/>
      <c r="N19" s="77"/>
      <c r="O19" s="85"/>
      <c r="P19" s="405"/>
      <c r="R19" s="77"/>
      <c r="S19" s="85"/>
      <c r="T19" s="8">
        <f>IF($E$2="k",F19)+IF($I$2="k",J19)+IF($M$2="k",N19)+IF($Q$2="k",R19)</f>
        <v>0</v>
      </c>
    </row>
    <row r="20" spans="1:29" x14ac:dyDescent="0.2">
      <c r="B20" s="11"/>
      <c r="C20" s="45"/>
      <c r="D20" s="10"/>
      <c r="E20" s="10"/>
      <c r="F20" s="90"/>
      <c r="G20" s="10"/>
      <c r="H20" s="405"/>
      <c r="I20" s="10"/>
      <c r="J20" s="90"/>
      <c r="K20" s="85"/>
      <c r="L20" s="405"/>
      <c r="M20" s="10"/>
      <c r="N20" s="90"/>
      <c r="O20" s="85"/>
      <c r="P20" s="405"/>
      <c r="Q20" s="10"/>
      <c r="R20" s="90"/>
      <c r="S20" s="85"/>
    </row>
    <row r="21" spans="1:29" ht="13.5" thickBot="1" x14ac:dyDescent="0.25">
      <c r="B21" s="35" t="s">
        <v>114</v>
      </c>
      <c r="C21" s="10"/>
      <c r="D21" s="10"/>
      <c r="E21" s="226">
        <v>3.0000000000000001E-3</v>
      </c>
      <c r="F21" s="290">
        <f>IF(E2="k",E21*F9,0)</f>
        <v>2.3904382470119521E-3</v>
      </c>
      <c r="G21" s="10"/>
      <c r="H21" s="405"/>
      <c r="I21" s="226">
        <v>3.0000000000000001E-3</v>
      </c>
      <c r="J21" s="290">
        <f>IF(I2="k",I21*J9,0)</f>
        <v>0</v>
      </c>
      <c r="K21" s="85"/>
      <c r="L21" s="405"/>
      <c r="M21" s="226">
        <v>3.0000000000000001E-3</v>
      </c>
      <c r="N21" s="290">
        <f>IF(M2="k",M21*N9,0)</f>
        <v>0</v>
      </c>
      <c r="O21" s="85"/>
      <c r="P21" s="405"/>
      <c r="Q21" s="226">
        <v>3.0000000000000001E-3</v>
      </c>
      <c r="R21" s="19">
        <f>IF(Q2="k",Q21*R9,0)</f>
        <v>0</v>
      </c>
      <c r="S21" s="85"/>
      <c r="T21" s="36">
        <f t="shared" si="0"/>
        <v>2.3904382470119521E-3</v>
      </c>
    </row>
    <row r="22" spans="1:29" ht="13.5" thickBot="1" x14ac:dyDescent="0.25">
      <c r="B22" s="50" t="s">
        <v>115</v>
      </c>
      <c r="C22" s="51"/>
      <c r="D22" s="51"/>
      <c r="E22" s="52"/>
      <c r="F22" s="91">
        <f>IF(E2="k",SUM(F14:F21),0)</f>
        <v>590.54023904382473</v>
      </c>
      <c r="G22" s="209">
        <f>IF(E$6=0%,F22/F$5,F22/F$6)</f>
        <v>590.54023904382473</v>
      </c>
      <c r="H22" s="406"/>
      <c r="J22" s="91">
        <f>IF(I2="k",SUM(J14:J21),0)</f>
        <v>0</v>
      </c>
      <c r="K22" s="209">
        <f>IF(I$6=0%,J22/J$5,J22/J$6)</f>
        <v>0</v>
      </c>
      <c r="L22" s="406"/>
      <c r="N22" s="91">
        <f>IF(M2="k",SUM(N14:N21),0)</f>
        <v>0</v>
      </c>
      <c r="O22" s="209">
        <f>IF(M$6=0%,N22/N$5,N22/N$6)</f>
        <v>0</v>
      </c>
      <c r="P22" s="406"/>
      <c r="R22" s="93">
        <f>IF(Q2="k",SUM(R14:R21),0)</f>
        <v>0</v>
      </c>
      <c r="S22" s="209">
        <f>IF(Q$6=0%,R22/R$5,R22/R$6)</f>
        <v>0</v>
      </c>
      <c r="T22" s="94">
        <f t="shared" si="0"/>
        <v>590.54023904382473</v>
      </c>
      <c r="U22" s="425">
        <f>SUM(G22,K22,O22,S22)</f>
        <v>590.54023904382473</v>
      </c>
      <c r="W22" s="94"/>
      <c r="X22" s="94"/>
    </row>
    <row r="23" spans="1:29" x14ac:dyDescent="0.2">
      <c r="A23" s="24" t="s">
        <v>116</v>
      </c>
      <c r="B23" s="6"/>
      <c r="F23" s="96"/>
      <c r="G23" s="55"/>
      <c r="H23" s="408"/>
      <c r="J23" s="98"/>
      <c r="K23" s="97"/>
      <c r="L23" s="408"/>
      <c r="N23" s="98"/>
      <c r="O23" s="97"/>
      <c r="P23" s="408"/>
      <c r="R23" s="98"/>
      <c r="S23" s="97"/>
    </row>
    <row r="24" spans="1:29" x14ac:dyDescent="0.2">
      <c r="B24" s="11" t="s">
        <v>117</v>
      </c>
      <c r="C24" s="22"/>
      <c r="D24" s="10"/>
      <c r="F24" s="77">
        <v>2000</v>
      </c>
      <c r="G24" s="47"/>
      <c r="H24" s="409"/>
      <c r="J24" s="77">
        <v>0</v>
      </c>
      <c r="K24" s="99"/>
      <c r="L24" s="409"/>
      <c r="N24" s="77">
        <v>0</v>
      </c>
      <c r="O24" s="99"/>
      <c r="P24" s="409"/>
      <c r="R24" s="77">
        <v>0</v>
      </c>
      <c r="S24" s="99"/>
      <c r="T24" s="8">
        <f>IF($E$2="k",F24)+IF($I$2="k",J24)+IF($M$2="k",N24)+IF($Q$2="k",R24)</f>
        <v>2000</v>
      </c>
    </row>
    <row r="25" spans="1:29" ht="15.75" x14ac:dyDescent="0.2">
      <c r="B25" s="11" t="s">
        <v>118</v>
      </c>
      <c r="C25" s="196">
        <v>1</v>
      </c>
      <c r="D25" s="197">
        <v>1.5</v>
      </c>
      <c r="E25" s="289"/>
      <c r="F25" s="100">
        <f>IF(E2="k",C25*D25*F5,0)</f>
        <v>1.5</v>
      </c>
      <c r="G25" s="39"/>
      <c r="H25" s="410">
        <v>4</v>
      </c>
      <c r="I25" s="102">
        <f>$D$25</f>
        <v>1.5</v>
      </c>
      <c r="J25" s="100">
        <f>IF(I2="k",H25*I25*J5,0)</f>
        <v>0</v>
      </c>
      <c r="K25" s="101"/>
      <c r="L25" s="410">
        <f>H25</f>
        <v>4</v>
      </c>
      <c r="M25" s="102">
        <f>$D$25</f>
        <v>1.5</v>
      </c>
      <c r="N25" s="100">
        <f>IF(M2="k",L25*M25*N5,0)</f>
        <v>0</v>
      </c>
      <c r="O25" s="101"/>
      <c r="P25" s="410">
        <f>L25</f>
        <v>4</v>
      </c>
      <c r="Q25" s="102">
        <f>$D$25</f>
        <v>1.5</v>
      </c>
      <c r="R25" s="100">
        <f>IF(Q2="k",P25*Q25*R5,0)</f>
        <v>0</v>
      </c>
      <c r="S25" s="101"/>
      <c r="T25" s="36">
        <f t="shared" si="0"/>
        <v>1.5</v>
      </c>
      <c r="V25" s="165" t="s">
        <v>37</v>
      </c>
      <c r="W25" s="642">
        <f>IF($E$2="k",(C25*F5),0)+IF($I$2="k",(H25*J5),0)+IF($M$2="k",(L25*N5),0)+IF($Q$2="k",(P25*R5),0)</f>
        <v>1</v>
      </c>
      <c r="X25" s="642">
        <f>W25/159</f>
        <v>6.2893081761006293E-3</v>
      </c>
      <c r="Y25" s="161">
        <f>VLOOKUP(V25,Ohjeet!A63:F68,6,FALSE)</f>
        <v>2.66</v>
      </c>
      <c r="Z25" s="163">
        <f>W25*Y25</f>
        <v>2.66</v>
      </c>
      <c r="AA25" s="164">
        <f>Z25/1000</f>
        <v>2.66E-3</v>
      </c>
      <c r="AB25" s="162">
        <f>Z25*0.27</f>
        <v>0.71820000000000006</v>
      </c>
      <c r="AC25" s="162"/>
    </row>
    <row r="26" spans="1:29" ht="36" x14ac:dyDescent="0.2">
      <c r="B26" s="11" t="s">
        <v>119</v>
      </c>
      <c r="C26" s="394" t="s">
        <v>120</v>
      </c>
      <c r="D26" s="271" t="s">
        <v>121</v>
      </c>
      <c r="E26" s="160" t="s">
        <v>122</v>
      </c>
      <c r="F26" s="395"/>
      <c r="G26" s="39"/>
      <c r="H26" s="411"/>
      <c r="J26" s="395"/>
      <c r="K26" s="101"/>
      <c r="L26" s="411"/>
      <c r="N26" s="395"/>
      <c r="O26" s="101"/>
      <c r="P26" s="411"/>
      <c r="R26" s="395"/>
      <c r="S26" s="101"/>
      <c r="T26" s="8">
        <f>IF($E$2="k",F26)+IF($I$2="k",J26)+IF($M$2="k",N26)+IF($Q$2="k",R26)</f>
        <v>0</v>
      </c>
      <c r="V26" s="166" t="s">
        <v>123</v>
      </c>
      <c r="Z26" s="167">
        <f>Z25/T5</f>
        <v>2.66</v>
      </c>
    </row>
    <row r="27" spans="1:29" x14ac:dyDescent="0.2">
      <c r="B27" s="195" t="s">
        <v>124</v>
      </c>
      <c r="C27" s="393">
        <v>7.0000000000000007E-2</v>
      </c>
      <c r="D27" s="643">
        <f>C25*F5*C27</f>
        <v>7.0000000000000007E-2</v>
      </c>
      <c r="E27" s="644">
        <v>1</v>
      </c>
      <c r="F27" s="397">
        <f>IF(E2="K",IF(G27&gt;0,G27,D27*E27),0)</f>
        <v>7.0000000000000007E-2</v>
      </c>
      <c r="G27" s="645">
        <v>0</v>
      </c>
      <c r="H27" s="411"/>
      <c r="I27" s="400">
        <f>H25*$C$27</f>
        <v>0.28000000000000003</v>
      </c>
      <c r="J27" s="397">
        <f>IF(I2="K",IF(K27&gt;0,K27,I27*$E$27),0)</f>
        <v>0</v>
      </c>
      <c r="K27" s="646">
        <v>0</v>
      </c>
      <c r="L27" s="411"/>
      <c r="M27" s="400">
        <f>L25*$C$27</f>
        <v>0.28000000000000003</v>
      </c>
      <c r="N27" s="397">
        <f>IF(M2="K",IF(O27&gt;0,O27,M27*$E$27),0)</f>
        <v>0</v>
      </c>
      <c r="O27" s="646">
        <v>0</v>
      </c>
      <c r="P27" s="411"/>
      <c r="Q27" s="400">
        <f>P25*$C$27</f>
        <v>0.28000000000000003</v>
      </c>
      <c r="R27" s="397">
        <f>IF(Q2="K",IF(S27&gt;0,S27,Q27*$E$27),0)</f>
        <v>0</v>
      </c>
      <c r="S27" s="646">
        <v>0</v>
      </c>
      <c r="T27" s="8">
        <f>IF($E$2="k",F27)+IF($I$2="k",J27)+IF($M$2="k",N27)+IF($Q$2="k",R27)</f>
        <v>7.0000000000000007E-2</v>
      </c>
    </row>
    <row r="28" spans="1:29" x14ac:dyDescent="0.2">
      <c r="B28" s="396" t="s">
        <v>125</v>
      </c>
      <c r="C28" s="919" t="s">
        <v>126</v>
      </c>
      <c r="D28" s="920"/>
      <c r="E28" s="920"/>
      <c r="F28" s="77">
        <v>2000</v>
      </c>
      <c r="G28" s="39"/>
      <c r="H28" s="411"/>
      <c r="I28" s="412" t="str">
        <f>$B$28</f>
        <v>Muut:</v>
      </c>
      <c r="J28" s="77"/>
      <c r="K28" s="101"/>
      <c r="L28" s="411"/>
      <c r="M28" s="412" t="str">
        <f>$B$28</f>
        <v>Muut:</v>
      </c>
      <c r="N28" s="77"/>
      <c r="O28" s="101"/>
      <c r="P28" s="411"/>
      <c r="Q28" s="412" t="str">
        <f>$B$28</f>
        <v>Muut:</v>
      </c>
      <c r="R28" s="77"/>
      <c r="S28" s="101"/>
      <c r="T28" s="8">
        <f>IF($E$2="k",F28)+IF($I$2="k",J28)+IF($M$2="k",N28)+IF($Q$2="k",R28)</f>
        <v>2000</v>
      </c>
    </row>
    <row r="29" spans="1:29" ht="13.5" thickBot="1" x14ac:dyDescent="0.25">
      <c r="B29" s="396" t="s">
        <v>125</v>
      </c>
      <c r="C29" s="919"/>
      <c r="D29" s="920"/>
      <c r="E29" s="920"/>
      <c r="F29" s="77"/>
      <c r="G29" s="39"/>
      <c r="H29" s="411"/>
      <c r="I29" s="412" t="str">
        <f>$B$29</f>
        <v>Muut:</v>
      </c>
      <c r="J29" s="77"/>
      <c r="K29" s="101"/>
      <c r="L29" s="411"/>
      <c r="M29" s="412" t="str">
        <f>$B$29</f>
        <v>Muut:</v>
      </c>
      <c r="N29" s="77"/>
      <c r="O29" s="101"/>
      <c r="P29" s="411"/>
      <c r="Q29" s="412" t="str">
        <f>$B$29</f>
        <v>Muut:</v>
      </c>
      <c r="R29" s="77"/>
      <c r="S29" s="101"/>
      <c r="T29" s="8">
        <f>IF($E$2="k",F29)+IF($I$2="k",J29)+IF($M$2="k",N29)+IF($Q$2="k",R29)</f>
        <v>0</v>
      </c>
    </row>
    <row r="30" spans="1:29" ht="13.5" thickBot="1" x14ac:dyDescent="0.25">
      <c r="B30" s="60" t="s">
        <v>127</v>
      </c>
      <c r="C30" s="51"/>
      <c r="D30" s="51"/>
      <c r="E30" s="51"/>
      <c r="F30" s="55">
        <f>IF(E2="k",SUM(F24:F29),0)</f>
        <v>4001.5699999999997</v>
      </c>
      <c r="G30" s="209">
        <f>IF(E$6=0%,F30/F$5,F30/F$6)</f>
        <v>4001.5699999999997</v>
      </c>
      <c r="H30" s="413"/>
      <c r="J30" s="55">
        <f>IF(I2="k",SUM(J24:J29),0)</f>
        <v>0</v>
      </c>
      <c r="K30" s="209">
        <f>IF(I$6=0%,J30/J$5,J30/J$6)</f>
        <v>0</v>
      </c>
      <c r="L30" s="413"/>
      <c r="N30" s="55">
        <f>IF(M2="k",SUM(N24:N29),0)</f>
        <v>0</v>
      </c>
      <c r="O30" s="209">
        <f>IF(M$6=0%,N30/N$5,N30/N$6)</f>
        <v>0</v>
      </c>
      <c r="P30" s="413"/>
      <c r="R30" s="55">
        <f>IF(Q2="k",SUM(R24:R29),0)</f>
        <v>0</v>
      </c>
      <c r="S30" s="209">
        <f>IF(Q$6=0%,R30/R$5,R30/R$6)</f>
        <v>0</v>
      </c>
      <c r="T30" s="94">
        <f t="shared" ref="T30:T38" si="1">SUM(F30,J30,N30,R30)</f>
        <v>4001.5699999999997</v>
      </c>
      <c r="U30" s="105">
        <f>SUM(G30,K30,O30,S30)</f>
        <v>4001.5699999999997</v>
      </c>
      <c r="V30" s="158"/>
    </row>
    <row r="31" spans="1:29" ht="13.5" thickBot="1" x14ac:dyDescent="0.25">
      <c r="A31" s="6" t="s">
        <v>128</v>
      </c>
      <c r="F31" s="106">
        <f>F22+F30</f>
        <v>4592.1102390438245</v>
      </c>
      <c r="G31" s="12"/>
      <c r="H31" s="415"/>
      <c r="J31" s="55">
        <f>IF(I2="k",J22+J30,0)</f>
        <v>0</v>
      </c>
      <c r="K31" s="107"/>
      <c r="L31" s="415"/>
      <c r="N31" s="55">
        <f>IF(M2="k",N22+N30,0)</f>
        <v>0</v>
      </c>
      <c r="O31" s="107"/>
      <c r="P31" s="415"/>
      <c r="R31" s="55">
        <f>IF(Q2="k",R22+R30,0)</f>
        <v>0</v>
      </c>
      <c r="S31" s="107"/>
      <c r="T31" s="94">
        <f t="shared" si="1"/>
        <v>4592.1102390438245</v>
      </c>
    </row>
    <row r="32" spans="1:29" ht="13.5" thickBot="1" x14ac:dyDescent="0.25">
      <c r="F32" s="7"/>
      <c r="H32" s="119"/>
      <c r="J32" s="7"/>
      <c r="K32" s="73"/>
      <c r="L32" s="119"/>
      <c r="N32" s="7"/>
      <c r="O32" s="73"/>
      <c r="P32" s="119"/>
      <c r="R32" s="7"/>
      <c r="S32" s="73"/>
    </row>
    <row r="33" spans="1:20" ht="13.5" thickBot="1" x14ac:dyDescent="0.25">
      <c r="A33" s="6" t="s">
        <v>129</v>
      </c>
      <c r="F33" s="235">
        <f>IF(E2="k",IF(E6=0%,F31/F5,F31/F6),0)</f>
        <v>4592.1102390438245</v>
      </c>
      <c r="G33" s="12"/>
      <c r="H33" s="415"/>
      <c r="J33" s="235">
        <f>IF(I2="k",IF(I6=0%,J31/J5,J31/J6),0)</f>
        <v>0</v>
      </c>
      <c r="K33" s="107"/>
      <c r="L33" s="415"/>
      <c r="N33" s="235">
        <f>IF(M2="k",IF(M6=0%,N31/N5,N31/N6),0)</f>
        <v>0</v>
      </c>
      <c r="O33" s="107"/>
      <c r="P33" s="415"/>
      <c r="R33" s="235">
        <f>IF(Q2="k",IF(Q6=0%,R31/R5,R31/R6),0)</f>
        <v>0</v>
      </c>
      <c r="S33" s="107"/>
      <c r="T33" s="108">
        <f t="shared" si="1"/>
        <v>4592.1102390438245</v>
      </c>
    </row>
    <row r="34" spans="1:20" x14ac:dyDescent="0.2">
      <c r="B34" s="6" t="s">
        <v>130</v>
      </c>
      <c r="E34" s="203">
        <v>0</v>
      </c>
      <c r="F34" s="234">
        <f>IF(E2="k",((100%/(100%-E34))*F33)-F33,0)</f>
        <v>0</v>
      </c>
      <c r="G34" s="10"/>
      <c r="H34" s="405"/>
      <c r="I34" s="295">
        <f>E34</f>
        <v>0</v>
      </c>
      <c r="J34" s="234">
        <f>IF(I2="k",((100%/(100%-I34))*J33)-J33,0)</f>
        <v>0</v>
      </c>
      <c r="K34" s="85"/>
      <c r="L34" s="405"/>
      <c r="M34" s="295">
        <f>I34</f>
        <v>0</v>
      </c>
      <c r="N34" s="234">
        <f>IF(M2="k",((100%/(100%-M34))*N33)-N33,0)</f>
        <v>0</v>
      </c>
      <c r="O34" s="85"/>
      <c r="P34" s="405"/>
      <c r="Q34" s="295">
        <f>M34</f>
        <v>0</v>
      </c>
      <c r="R34" s="234">
        <f>IF(Q2="k",((100%/(100%-Q34))*R33)-R33,0)</f>
        <v>0</v>
      </c>
      <c r="S34" s="85"/>
      <c r="T34" s="36">
        <f t="shared" si="1"/>
        <v>0</v>
      </c>
    </row>
    <row r="35" spans="1:20" ht="13.5" thickBot="1" x14ac:dyDescent="0.25">
      <c r="B35" s="4" t="s">
        <v>131</v>
      </c>
      <c r="C35" s="160" t="s">
        <v>132</v>
      </c>
      <c r="F35" s="292">
        <v>0</v>
      </c>
      <c r="G35" s="10"/>
      <c r="H35" s="405"/>
      <c r="I35" s="109" t="s">
        <v>133</v>
      </c>
      <c r="J35" s="609">
        <v>0</v>
      </c>
      <c r="K35" s="85"/>
      <c r="L35" s="405"/>
      <c r="M35" s="109" t="str">
        <f>I35</f>
        <v>Traktorissa</v>
      </c>
      <c r="N35" s="292">
        <v>0</v>
      </c>
      <c r="O35" s="85"/>
      <c r="P35" s="405"/>
      <c r="Q35" s="109" t="str">
        <f>M35</f>
        <v>Traktorissa</v>
      </c>
      <c r="R35" s="292">
        <v>0</v>
      </c>
      <c r="S35" s="85"/>
      <c r="T35" s="8">
        <f>IF($E$2="k",F35)+IF($I$2="k",J35)+IF($M$2="k",N35)+IF($Q$2="k",R35)</f>
        <v>0</v>
      </c>
    </row>
    <row r="36" spans="1:20" x14ac:dyDescent="0.2">
      <c r="B36" s="116" t="s">
        <v>134</v>
      </c>
      <c r="C36" s="115"/>
      <c r="D36" s="115"/>
      <c r="E36" s="115"/>
      <c r="F36" s="293">
        <f>IF(E2="K",SUM(F33:F35),0)</f>
        <v>4592.1102390438245</v>
      </c>
      <c r="G36" s="10"/>
      <c r="H36" s="405"/>
      <c r="J36" s="117">
        <f>IF(I2="K",SUM(J33:J35),0)</f>
        <v>0</v>
      </c>
      <c r="K36" s="85"/>
      <c r="L36" s="405"/>
      <c r="N36" s="293">
        <f>IF(M2="K",SUM(N33:N35),0)</f>
        <v>0</v>
      </c>
      <c r="O36" s="85"/>
      <c r="P36" s="405"/>
      <c r="R36" s="293">
        <f>IF(Q2="K",SUM(R33:R35),0)</f>
        <v>0</v>
      </c>
      <c r="S36" s="85"/>
      <c r="T36" s="118">
        <f>SUM(F36,J36,N36,R36)</f>
        <v>4592.1102390438245</v>
      </c>
    </row>
    <row r="37" spans="1:20" ht="13.5" thickBot="1" x14ac:dyDescent="0.25">
      <c r="B37" s="119" t="s">
        <v>135</v>
      </c>
      <c r="E37" s="592">
        <v>0.255</v>
      </c>
      <c r="F37" s="291">
        <f>E37*F36</f>
        <v>1170.9881109561752</v>
      </c>
      <c r="G37" s="401"/>
      <c r="H37" s="405"/>
      <c r="I37" s="593">
        <f>$E$37</f>
        <v>0.255</v>
      </c>
      <c r="J37" s="291">
        <f>I37*J36</f>
        <v>0</v>
      </c>
      <c r="K37" s="85"/>
      <c r="L37" s="405"/>
      <c r="M37" s="593">
        <f>$E$37</f>
        <v>0.255</v>
      </c>
      <c r="N37" s="291">
        <f>M37*N36</f>
        <v>0</v>
      </c>
      <c r="O37" s="85"/>
      <c r="P37" s="405"/>
      <c r="Q37" s="593">
        <f>$E$37</f>
        <v>0.255</v>
      </c>
      <c r="R37" s="291">
        <f>Q37*R36</f>
        <v>0</v>
      </c>
      <c r="S37" s="85"/>
      <c r="T37" s="120">
        <f>SUM(F37,J37,N37,R37)</f>
        <v>1170.9881109561752</v>
      </c>
    </row>
    <row r="38" spans="1:20" ht="13.5" thickBot="1" x14ac:dyDescent="0.25">
      <c r="B38" s="121" t="s">
        <v>136</v>
      </c>
      <c r="C38" s="114"/>
      <c r="D38" s="114"/>
      <c r="E38" s="114"/>
      <c r="F38" s="110">
        <f>IF(E2="k",SUM(F36:F37),0)</f>
        <v>5763.0983500000002</v>
      </c>
      <c r="G38" s="113"/>
      <c r="H38" s="416"/>
      <c r="I38" s="114"/>
      <c r="J38" s="110">
        <f>IF(I2="k",SUM(J36:J37),0)</f>
        <v>0</v>
      </c>
      <c r="K38" s="112"/>
      <c r="L38" s="416"/>
      <c r="M38" s="114"/>
      <c r="N38" s="110">
        <f>IF(M2="k",SUM(N36:N37),0)</f>
        <v>0</v>
      </c>
      <c r="O38" s="112"/>
      <c r="P38" s="416"/>
      <c r="Q38" s="114"/>
      <c r="R38" s="110">
        <f>IF(Q2="k",SUM(R36:R37),0)</f>
        <v>0</v>
      </c>
      <c r="S38" s="112"/>
      <c r="T38" s="108">
        <f t="shared" si="1"/>
        <v>5763.0983500000002</v>
      </c>
    </row>
    <row r="40" spans="1:20" ht="18" x14ac:dyDescent="0.25">
      <c r="B40" s="581" t="s">
        <v>137</v>
      </c>
    </row>
    <row r="41" spans="1:20" ht="18" x14ac:dyDescent="0.25">
      <c r="B41" s="582" t="s">
        <v>138</v>
      </c>
    </row>
    <row r="43" spans="1:20" x14ac:dyDescent="0.2">
      <c r="B43" s="4" t="s">
        <v>139</v>
      </c>
      <c r="C43" s="398" t="str">
        <f>Ohjeet!C2</f>
        <v>2024.12</v>
      </c>
    </row>
  </sheetData>
  <sheetProtection algorithmName="SHA-512" hashValue="xk7dnVuudEjKn2jjc4O3xpMoDpOTkj/pXW4s3hWGjEsewHDyGRhMNsElFM4nWgYiMDGydqAD2lGLsEcz1mJy7Q==" saltValue="MAhkGKLKwpckJ2vgYmCoxA==" spinCount="100000" sheet="1" formatCells="0" formatColumns="0" formatRows="0"/>
  <mergeCells count="15">
    <mergeCell ref="C29:E29"/>
    <mergeCell ref="E1:G1"/>
    <mergeCell ref="H1:J1"/>
    <mergeCell ref="L1:N1"/>
    <mergeCell ref="P1:R1"/>
    <mergeCell ref="E3:F3"/>
    <mergeCell ref="I3:J3"/>
    <mergeCell ref="M3:N3"/>
    <mergeCell ref="Q3:R3"/>
    <mergeCell ref="C28:E28"/>
    <mergeCell ref="A2:B2"/>
    <mergeCell ref="E2:F2"/>
    <mergeCell ref="I2:J2"/>
    <mergeCell ref="M2:N2"/>
    <mergeCell ref="Q2:R2"/>
  </mergeCells>
  <hyperlinks>
    <hyperlink ref="B40" location="'Koneketjujen ketjutus'!A1" display="Siirry koneketjujen ketjuun urakan laskentaan tai tekemään vertailua" xr:uid="{6B5D07D3-2E2E-4993-8C88-593E3BF4DEE4}"/>
  </hyperlinks>
  <printOptions verticalCentered="1"/>
  <pageMargins left="3.937007874015748E-2" right="3.937007874015748E-2" top="0.74803149606299213" bottom="0.74803149606299213" header="0.31496062992125984" footer="0.31496062992125984"/>
  <pageSetup paperSize="9" scale="58" firstPageNumber="0" orientation="landscape" horizontalDpi="300" verticalDpi="300" r:id="rId1"/>
  <headerFooter alignWithMargins="0">
    <oddHeader>&amp;C&amp;D&amp;R&amp;P</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AA3EF61-7E9B-4479-868F-391DBD079C29}">
          <x14:formula1>
            <xm:f>Laskentayksikot!$E$7:$E$8</xm:f>
          </x14:formula1>
          <xm:sqref>D2</xm:sqref>
        </x14:dataValidation>
        <x14:dataValidation type="list" allowBlank="1" showInputMessage="1" showErrorMessage="1" xr:uid="{7E0FDD54-6522-4AF0-9A34-AB565FBF9E59}">
          <x14:formula1>
            <xm:f>Laskentayksikot!$E$2:$E$3</xm:f>
          </x14:formula1>
          <xm:sqref>E2:F2 I2:J2 M2:N2 Q2:R2</xm:sqref>
        </x14:dataValidation>
        <x14:dataValidation type="list" allowBlank="1" showInputMessage="1" showErrorMessage="1" xr:uid="{20532F87-EFC0-4F89-8E7E-70A4D660E45D}">
          <x14:formula1>
            <xm:f>Ohjeet!$A$63:$A$68</xm:f>
          </x14:formula1>
          <xm:sqref>V25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5"/>
  <dimension ref="A1:X118"/>
  <sheetViews>
    <sheetView zoomScale="70" zoomScaleNormal="70" workbookViewId="0">
      <pane ySplit="4" topLeftCell="A5" activePane="bottomLeft" state="frozen"/>
      <selection activeCell="B44" sqref="B44:C44"/>
      <selection pane="bottomLeft" activeCell="B44" sqref="B44:C44"/>
    </sheetView>
  </sheetViews>
  <sheetFormatPr defaultRowHeight="12.75" x14ac:dyDescent="0.2"/>
  <cols>
    <col min="4" max="4" width="11.42578125" customWidth="1"/>
    <col min="6" max="6" width="11.140625" customWidth="1"/>
    <col min="7" max="7" width="14.140625" customWidth="1"/>
    <col min="8" max="8" width="30.28515625" customWidth="1"/>
    <col min="9" max="9" width="9" customWidth="1"/>
    <col min="10" max="10" width="15.28515625" customWidth="1"/>
    <col min="11" max="11" width="26.7109375" customWidth="1"/>
    <col min="12" max="12" width="10.7109375" customWidth="1"/>
    <col min="13" max="13" width="13.7109375" customWidth="1"/>
    <col min="14" max="14" width="30.42578125" customWidth="1"/>
    <col min="15" max="15" width="10.7109375" customWidth="1"/>
    <col min="16" max="16" width="14.5703125" customWidth="1"/>
    <col min="17" max="17" width="30.42578125" customWidth="1"/>
    <col min="18" max="18" width="23.42578125" customWidth="1"/>
    <col min="20" max="20" width="15.5703125" customWidth="1"/>
    <col min="21" max="21" width="17.85546875" customWidth="1"/>
  </cols>
  <sheetData>
    <row r="1" spans="1:24" x14ac:dyDescent="0.2">
      <c r="A1" s="2" t="s">
        <v>142</v>
      </c>
      <c r="H1" s="122" t="s">
        <v>143</v>
      </c>
      <c r="I1" s="122"/>
      <c r="J1" s="122"/>
      <c r="K1" s="122" t="s">
        <v>144</v>
      </c>
      <c r="L1" s="122"/>
      <c r="M1" s="122"/>
      <c r="N1" s="122" t="s">
        <v>145</v>
      </c>
      <c r="O1" s="122"/>
      <c r="P1" s="122"/>
      <c r="Q1" s="122" t="s">
        <v>146</v>
      </c>
    </row>
    <row r="2" spans="1:24" ht="13.5" thickBot="1" x14ac:dyDescent="0.25">
      <c r="A2" s="154" t="s">
        <v>147</v>
      </c>
      <c r="H2" s="429" t="s">
        <v>148</v>
      </c>
      <c r="I2" s="122"/>
      <c r="J2" s="122"/>
      <c r="K2" s="429" t="s">
        <v>148</v>
      </c>
      <c r="L2" s="122"/>
      <c r="M2" s="122"/>
      <c r="N2" s="429" t="s">
        <v>148</v>
      </c>
      <c r="O2" s="122"/>
      <c r="P2" s="122"/>
      <c r="Q2" s="429" t="s">
        <v>148</v>
      </c>
      <c r="R2" s="122"/>
    </row>
    <row r="3" spans="1:24" ht="16.5" thickBot="1" x14ac:dyDescent="0.3">
      <c r="A3" s="154" t="s">
        <v>149</v>
      </c>
      <c r="H3" s="428" t="s">
        <v>60</v>
      </c>
      <c r="I3" s="430"/>
      <c r="J3" s="430"/>
      <c r="K3" s="428" t="s">
        <v>60</v>
      </c>
      <c r="L3" s="430"/>
      <c r="M3" s="430"/>
      <c r="N3" s="428" t="s">
        <v>62</v>
      </c>
      <c r="O3" s="430"/>
      <c r="P3" s="430"/>
      <c r="Q3" s="428" t="s">
        <v>62</v>
      </c>
      <c r="R3" s="431" t="s">
        <v>82</v>
      </c>
    </row>
    <row r="4" spans="1:24" ht="13.5" thickBot="1" x14ac:dyDescent="0.25">
      <c r="H4" s="953" t="str">
        <f>'Traktorin tuntihinta ketju 1'!T3</f>
        <v xml:space="preserve">Kytketty koneet: Valtra T-sarja </v>
      </c>
      <c r="I4" s="128"/>
      <c r="J4" s="129"/>
      <c r="K4" s="954" t="str">
        <f>'Traktorin tuntihinta ketju 2'!T3</f>
        <v xml:space="preserve">Kytketty koneet: New Holland </v>
      </c>
      <c r="L4" s="128"/>
      <c r="M4" s="129"/>
      <c r="N4" s="954" t="str">
        <f>'Traktorin tuntihinta ketju 3'!T3</f>
        <v xml:space="preserve">Kytketty koneet: MF </v>
      </c>
      <c r="O4" s="128"/>
      <c r="P4" s="129"/>
      <c r="Q4" s="954" t="str">
        <f>'Traktorin tuntihinta ketju 4'!T3</f>
        <v xml:space="preserve">Kytketty koneet: Kurottaja </v>
      </c>
      <c r="R4" s="967" t="str">
        <f>IF(H3="k",H4&amp;" ","")&amp;IF(K3="k",K4&amp;" ","")&amp;IF(N3="k",N4&amp;" ","")&amp;(IF(Q3="k",Q4&amp;" ",""))</f>
        <v xml:space="preserve">Kytketty koneet: Valtra T-sarja  Kytketty koneet: New Holland  </v>
      </c>
      <c r="S4" s="968"/>
      <c r="T4" s="968"/>
      <c r="U4" s="968"/>
      <c r="V4" s="968"/>
      <c r="W4" s="968"/>
      <c r="X4" s="969"/>
    </row>
    <row r="5" spans="1:24" ht="15.75" thickBot="1" x14ac:dyDescent="0.3">
      <c r="A5" s="946" t="s">
        <v>150</v>
      </c>
      <c r="B5" s="947"/>
      <c r="C5" s="947"/>
      <c r="D5" s="947"/>
      <c r="E5" s="947"/>
      <c r="F5" s="947"/>
      <c r="G5" s="948"/>
      <c r="H5" s="953"/>
      <c r="I5" s="130"/>
      <c r="J5" s="131"/>
      <c r="K5" s="954"/>
      <c r="L5" s="130"/>
      <c r="M5" s="131"/>
      <c r="N5" s="954"/>
      <c r="O5" s="130"/>
      <c r="P5" s="131"/>
      <c r="Q5" s="954"/>
      <c r="R5" s="970"/>
      <c r="S5" s="971"/>
      <c r="T5" s="971"/>
      <c r="U5" s="971"/>
      <c r="V5" s="971"/>
      <c r="W5" s="971"/>
      <c r="X5" s="972"/>
    </row>
    <row r="6" spans="1:24" ht="13.5" thickBot="1" x14ac:dyDescent="0.25">
      <c r="H6" s="953"/>
      <c r="I6" s="132"/>
      <c r="J6" s="133"/>
      <c r="K6" s="954"/>
      <c r="L6" s="132"/>
      <c r="M6" s="133"/>
      <c r="N6" s="954"/>
      <c r="O6" s="132"/>
      <c r="P6" s="133"/>
      <c r="Q6" s="954"/>
      <c r="R6" s="973"/>
      <c r="S6" s="974"/>
      <c r="T6" s="974"/>
      <c r="U6" s="974"/>
      <c r="V6" s="974"/>
      <c r="W6" s="974"/>
      <c r="X6" s="975"/>
    </row>
    <row r="7" spans="1:24" hidden="1" x14ac:dyDescent="0.2">
      <c r="A7" t="str">
        <f>'Traktorin tuntihinta ketju 1'!A4</f>
        <v>Koneen arvioitu käyttöaika</v>
      </c>
      <c r="H7" s="433"/>
      <c r="K7" s="134"/>
      <c r="N7" s="138"/>
      <c r="Q7" s="138"/>
      <c r="R7" s="432"/>
    </row>
    <row r="8" spans="1:24" hidden="1" x14ac:dyDescent="0.2">
      <c r="A8" t="str">
        <f>'Traktorin tuntihinta ketju 1'!A5</f>
        <v>Käyttötunnit/vuosi</v>
      </c>
      <c r="H8" s="434"/>
      <c r="K8" s="136"/>
      <c r="L8" s="435"/>
      <c r="M8" s="435"/>
      <c r="N8" s="139"/>
      <c r="O8" s="435"/>
      <c r="P8" s="435"/>
      <c r="Q8" s="139"/>
      <c r="R8" s="432"/>
    </row>
    <row r="9" spans="1:24" hidden="1" x14ac:dyDescent="0.2">
      <c r="A9" t="str">
        <f>'Traktorin tuntihinta ketju 1'!A7</f>
        <v>Koneen hankintahinta alv</v>
      </c>
      <c r="H9" s="434"/>
      <c r="K9" s="136"/>
      <c r="L9" s="435"/>
      <c r="M9" s="435"/>
      <c r="N9" s="139"/>
      <c r="O9" s="435"/>
      <c r="P9" s="435"/>
      <c r="Q9" s="139"/>
      <c r="R9" s="432"/>
    </row>
    <row r="10" spans="1:24" hidden="1" x14ac:dyDescent="0.2">
      <c r="A10" t="str">
        <f>'Traktorin tuntihinta ketju 1'!A8</f>
        <v>ALV:n osuus</v>
      </c>
      <c r="H10" s="434"/>
      <c r="K10" s="136"/>
      <c r="L10" s="435"/>
      <c r="M10" s="435"/>
      <c r="N10" s="139"/>
      <c r="O10" s="435"/>
      <c r="P10" s="435"/>
      <c r="Q10" s="139"/>
      <c r="R10" s="432"/>
    </row>
    <row r="11" spans="1:24" hidden="1" x14ac:dyDescent="0.2">
      <c r="A11" t="str">
        <f>'Traktorin tuntihinta ketju 1'!A9</f>
        <v>Koneen hankintahinta alv 0 % (Laskennan peruste)</v>
      </c>
      <c r="H11" s="434"/>
      <c r="K11" s="136"/>
      <c r="L11" s="435"/>
      <c r="M11" s="435"/>
      <c r="N11" s="139"/>
      <c r="O11" s="435"/>
      <c r="P11" s="435"/>
      <c r="Q11" s="139"/>
      <c r="R11" s="432"/>
    </row>
    <row r="12" spans="1:24" hidden="1" x14ac:dyDescent="0.2">
      <c r="A12" t="str">
        <f>'Traktorin tuntihinta ketju 1'!A10</f>
        <v>Jäännösarvo (Arvio koneen arvosta se myytäessä)</v>
      </c>
      <c r="H12" s="434"/>
      <c r="K12" s="136"/>
      <c r="L12" s="435"/>
      <c r="M12" s="435"/>
      <c r="N12" s="139"/>
      <c r="O12" s="435"/>
      <c r="P12" s="435"/>
      <c r="Q12" s="139"/>
      <c r="R12" s="432"/>
    </row>
    <row r="13" spans="1:24" hidden="1" x14ac:dyDescent="0.2">
      <c r="A13" t="str">
        <f>'Traktorin tuntihinta ketju 1'!A11</f>
        <v>Hank.hinta-jäännösarvo</v>
      </c>
      <c r="H13" s="434"/>
      <c r="K13" s="136"/>
      <c r="L13" s="435"/>
      <c r="M13" s="435"/>
      <c r="N13" s="139"/>
      <c r="O13" s="435"/>
      <c r="P13" s="435"/>
      <c r="Q13" s="139"/>
      <c r="R13" s="432"/>
    </row>
    <row r="14" spans="1:24" hidden="1" x14ac:dyDescent="0.2">
      <c r="A14" s="2" t="str">
        <f>'Traktorin tuntihinta ketju 1'!A12</f>
        <v>Kiinteät kustannukset €/v</v>
      </c>
      <c r="H14" s="434"/>
      <c r="K14" s="136"/>
      <c r="L14" s="435"/>
      <c r="M14" s="435"/>
      <c r="N14" s="139"/>
      <c r="O14" s="435"/>
      <c r="P14" s="435"/>
      <c r="Q14" s="139"/>
      <c r="R14" s="432"/>
    </row>
    <row r="15" spans="1:24" hidden="1" x14ac:dyDescent="0.2">
      <c r="B15" t="str">
        <f>'Traktorin tuntihinta ketju 1'!B13</f>
        <v>Poisto ja korko yhteensä</v>
      </c>
      <c r="H15" s="436">
        <f>IF($H$3="K",'Traktorin tuntihinta ketju 1'!T13,0)</f>
        <v>10358.565737051793</v>
      </c>
      <c r="I15" s="435"/>
      <c r="J15" s="435"/>
      <c r="K15" s="136">
        <f>IF($K$3="K",'Traktorin tuntihinta ketju 2'!T15,0)</f>
        <v>0.51792828685258963</v>
      </c>
      <c r="L15" s="435"/>
      <c r="M15" s="435"/>
      <c r="N15" s="139">
        <f>IF($N$3="K",'Traktorin tuntihinta ketju 3'!$T15,0)</f>
        <v>0</v>
      </c>
      <c r="O15" s="435"/>
      <c r="P15" s="435"/>
      <c r="Q15" s="139">
        <f>IF($Q$3="K",'Traktorin tuntihinta ketju 4'!$T15,0)</f>
        <v>0</v>
      </c>
      <c r="R15" s="437">
        <f>SUM(H15:Q15)</f>
        <v>10359.083665338645</v>
      </c>
    </row>
    <row r="16" spans="1:24" hidden="1" x14ac:dyDescent="0.2">
      <c r="B16" t="str">
        <f>'Traktorin tuntihinta ketju 1'!B14</f>
        <v>Korko</v>
      </c>
      <c r="H16" s="436">
        <f>IF($H$3="K",'Traktorin tuntihinta ketju 1'!T14,0)</f>
        <v>2390.4382470119522</v>
      </c>
      <c r="I16" s="435"/>
      <c r="J16" s="435"/>
      <c r="K16" s="136">
        <f>IF($K$3="K",'Traktorin tuntihinta ketju 2'!T16,0)</f>
        <v>0</v>
      </c>
      <c r="L16" s="435"/>
      <c r="M16" s="435"/>
      <c r="N16" s="139">
        <f>IF($N$3="K",'Traktorin tuntihinta ketju 3'!$T16,0)</f>
        <v>0</v>
      </c>
      <c r="O16" s="435"/>
      <c r="P16" s="435"/>
      <c r="Q16" s="139">
        <f>IF($Q$3="K",'Traktorin tuntihinta ketju 4'!$T16,0)</f>
        <v>0</v>
      </c>
      <c r="R16" s="437">
        <f t="shared" ref="R16:R40" si="0">SUM(H16:Q16)</f>
        <v>2390.4382470119522</v>
      </c>
    </row>
    <row r="17" spans="1:18" hidden="1" x14ac:dyDescent="0.2">
      <c r="B17" t="str">
        <f>'Traktorin tuntihinta ketju 1'!B15</f>
        <v>Poisto</v>
      </c>
      <c r="H17" s="436">
        <f>IF($H$3="K",'Traktorin tuntihinta ketju 1'!T15,0)</f>
        <v>7968.1274900398412</v>
      </c>
      <c r="I17" s="435"/>
      <c r="J17" s="435"/>
      <c r="K17" s="136">
        <f>IF($K$3="K",'Traktorin tuntihinta ketju 2'!T17,0)</f>
        <v>240</v>
      </c>
      <c r="L17" s="435"/>
      <c r="M17" s="435"/>
      <c r="N17" s="139">
        <f>IF($N$3="K",'Traktorin tuntihinta ketju 3'!$T17,0)</f>
        <v>0</v>
      </c>
      <c r="O17" s="435"/>
      <c r="P17" s="435"/>
      <c r="Q17" s="139">
        <f>IF($Q$3="K",'Traktorin tuntihinta ketju 4'!$T17,0)</f>
        <v>0</v>
      </c>
      <c r="R17" s="437">
        <f t="shared" si="0"/>
        <v>8208.1274900398421</v>
      </c>
    </row>
    <row r="18" spans="1:18" hidden="1" x14ac:dyDescent="0.2">
      <c r="H18" s="436">
        <f>IF($H$3="K",'Traktorin tuntihinta ketju 1'!T16,0)</f>
        <v>0</v>
      </c>
      <c r="I18" s="435"/>
      <c r="J18" s="435"/>
      <c r="K18" s="136">
        <f>IF($K$3="K",'Traktorin tuntihinta ketju 2'!T18,0)</f>
        <v>350</v>
      </c>
      <c r="L18" s="435"/>
      <c r="M18" s="435"/>
      <c r="N18" s="139">
        <f>IF($N$3="K",'Traktorin tuntihinta ketju 3'!$T18,0)</f>
        <v>0</v>
      </c>
      <c r="O18" s="435"/>
      <c r="P18" s="435"/>
      <c r="Q18" s="139">
        <f>IF($Q$3="K",'Traktorin tuntihinta ketju 4'!$T18,0)</f>
        <v>0</v>
      </c>
      <c r="R18" s="437">
        <f t="shared" si="0"/>
        <v>350</v>
      </c>
    </row>
    <row r="19" spans="1:18" hidden="1" x14ac:dyDescent="0.2">
      <c r="B19" t="str">
        <f>'Traktorin tuntihinta ketju 1'!B17</f>
        <v>Liikennevakuutus €/v</v>
      </c>
      <c r="H19" s="436">
        <f>IF($H$3="K",'Traktorin tuntihinta ketju 1'!T17,0)</f>
        <v>240</v>
      </c>
      <c r="I19" s="435"/>
      <c r="J19" s="435"/>
      <c r="K19" s="136">
        <f>IF($K$3="K",'Traktorin tuntihinta ketju 2'!T19,0)</f>
        <v>0</v>
      </c>
      <c r="L19" s="435"/>
      <c r="M19" s="435"/>
      <c r="N19" s="139">
        <f>IF($N$3="K",'Traktorin tuntihinta ketju 3'!$T19,0)</f>
        <v>0</v>
      </c>
      <c r="O19" s="435"/>
      <c r="P19" s="435"/>
      <c r="Q19" s="139">
        <f>IF($Q$3="K",'Traktorin tuntihinta ketju 4'!$T19,0)</f>
        <v>0</v>
      </c>
      <c r="R19" s="437">
        <f t="shared" si="0"/>
        <v>240</v>
      </c>
    </row>
    <row r="20" spans="1:18" hidden="1" x14ac:dyDescent="0.2">
      <c r="B20" t="str">
        <f>'Traktorin tuntihinta ketju 1'!B18</f>
        <v>Vahinkovakuutus Kasko (Osakasko:Palo- ja varkausvakuutus) €/v</v>
      </c>
      <c r="H20" s="436">
        <f>IF($H$3="K",'Traktorin tuntihinta ketju 1'!T18,0)</f>
        <v>350</v>
      </c>
      <c r="I20" s="435"/>
      <c r="J20" s="435"/>
      <c r="K20" s="136">
        <f>IF($K$3="K",'Traktorin tuntihinta ketju 2'!T20,0)</f>
        <v>0</v>
      </c>
      <c r="L20" s="435"/>
      <c r="M20" s="435"/>
      <c r="N20" s="139">
        <f>IF($N$3="K",'Traktorin tuntihinta ketju 3'!$T20,0)</f>
        <v>0</v>
      </c>
      <c r="O20" s="435"/>
      <c r="P20" s="435"/>
      <c r="Q20" s="139">
        <f>IF($Q$3="K",'Traktorin tuntihinta ketju 4'!$T20,0)</f>
        <v>0</v>
      </c>
      <c r="R20" s="437">
        <f t="shared" si="0"/>
        <v>350</v>
      </c>
    </row>
    <row r="21" spans="1:18" hidden="1" x14ac:dyDescent="0.2">
      <c r="B21" t="str">
        <f>'Traktorin tuntihinta ketju 1'!B19</f>
        <v>Muut</v>
      </c>
      <c r="H21" s="436">
        <f>IF($H$3="K",'Traktorin tuntihinta ketju 1'!T19,0)</f>
        <v>0</v>
      </c>
      <c r="I21" s="435"/>
      <c r="J21" s="435"/>
      <c r="K21" s="136">
        <f>IF($K$3="K",'Traktorin tuntihinta ketju 2'!T21,0)</f>
        <v>2.3904382470119521E-3</v>
      </c>
      <c r="L21" s="435"/>
      <c r="M21" s="435"/>
      <c r="N21" s="139">
        <f>IF($N$3="K",'Traktorin tuntihinta ketju 3'!$T21,0)</f>
        <v>0</v>
      </c>
      <c r="O21" s="435"/>
      <c r="P21" s="435"/>
      <c r="Q21" s="139">
        <f>IF($Q$3="K",'Traktorin tuntihinta ketju 4'!$T21,0)</f>
        <v>0</v>
      </c>
      <c r="R21" s="437">
        <f t="shared" si="0"/>
        <v>2.3904382470119521E-3</v>
      </c>
    </row>
    <row r="22" spans="1:18" hidden="1" x14ac:dyDescent="0.2">
      <c r="H22" s="436">
        <f>IF($H$3="K",'Traktorin tuntihinta ketju 1'!T20,0)</f>
        <v>0</v>
      </c>
      <c r="I22" s="435"/>
      <c r="J22" s="435"/>
      <c r="K22" s="136">
        <f>IF($K$3="K",'Traktorin tuntihinta ketju 2'!T22,0)</f>
        <v>590.54023904382473</v>
      </c>
      <c r="L22" s="435"/>
      <c r="M22" s="435"/>
      <c r="N22" s="139">
        <f>IF($N$3="K",'Traktorin tuntihinta ketju 3'!$T22,0)</f>
        <v>0</v>
      </c>
      <c r="O22" s="435"/>
      <c r="P22" s="435"/>
      <c r="Q22" s="139">
        <f>IF($Q$3="K",'Traktorin tuntihinta ketju 4'!$T22,0)</f>
        <v>0</v>
      </c>
      <c r="R22" s="437">
        <f t="shared" si="0"/>
        <v>590.54023904382473</v>
      </c>
    </row>
    <row r="23" spans="1:18" hidden="1" x14ac:dyDescent="0.2">
      <c r="B23" t="str">
        <f>'Traktorin tuntihinta ketju 1'!B21</f>
        <v>Säilytyskustannus</v>
      </c>
      <c r="H23" s="436">
        <f>IF($H$3="K",'Traktorin tuntihinta ketju 1'!T21,0)</f>
        <v>286.85258964143429</v>
      </c>
      <c r="I23" s="435"/>
      <c r="J23" s="435"/>
      <c r="K23" s="136">
        <f>IF($K$3="K",'Traktorin tuntihinta ketju 2'!T23,0)</f>
        <v>0</v>
      </c>
      <c r="L23" s="435"/>
      <c r="M23" s="435"/>
      <c r="N23" s="139">
        <f>IF($N$3="K",'Traktorin tuntihinta ketju 3'!$T23,0)</f>
        <v>0</v>
      </c>
      <c r="O23" s="435"/>
      <c r="P23" s="435"/>
      <c r="Q23" s="139">
        <f>IF($Q$3="K",'Traktorin tuntihinta ketju 4'!$T23,0)</f>
        <v>0</v>
      </c>
      <c r="R23" s="437">
        <f t="shared" si="0"/>
        <v>286.85258964143429</v>
      </c>
    </row>
    <row r="24" spans="1:18" hidden="1" x14ac:dyDescent="0.2">
      <c r="B24" s="2" t="str">
        <f>'Traktorin tuntihinta ketju 1'!B22</f>
        <v>Kiinteät kustannukset yhteensä vuodessa</v>
      </c>
      <c r="C24" s="2"/>
      <c r="D24" s="2"/>
      <c r="E24" s="2"/>
      <c r="F24" s="2"/>
      <c r="G24" s="2"/>
      <c r="H24" s="436">
        <f>IF($H$3="K",'Traktorin tuntihinta ketju 1'!T22,0)</f>
        <v>11235.418326693227</v>
      </c>
      <c r="I24" s="438"/>
      <c r="J24" s="438"/>
      <c r="K24" s="136">
        <f>IF($K$3="K",'Traktorin tuntihinta ketju 2'!T24,0)</f>
        <v>1500</v>
      </c>
      <c r="L24" s="438"/>
      <c r="M24" s="438"/>
      <c r="N24" s="139">
        <f>IF($N$3="K",'Traktorin tuntihinta ketju 3'!$T24,0)</f>
        <v>0</v>
      </c>
      <c r="O24" s="438"/>
      <c r="P24" s="438"/>
      <c r="Q24" s="139">
        <f>IF($Q$3="K",'Traktorin tuntihinta ketju 4'!$T24,0)</f>
        <v>0</v>
      </c>
      <c r="R24" s="437">
        <f t="shared" si="0"/>
        <v>12735.418326693227</v>
      </c>
    </row>
    <row r="25" spans="1:18" hidden="1" x14ac:dyDescent="0.2">
      <c r="A25" s="2" t="str">
        <f>'Traktorin tuntihinta ketju 1'!A23</f>
        <v>Muuttuvat kustannukset €/v</v>
      </c>
      <c r="H25" s="436">
        <f>IF($H$3="K",'Traktorin tuntihinta ketju 1'!T23,0)</f>
        <v>0</v>
      </c>
      <c r="I25" s="435"/>
      <c r="J25" s="435"/>
      <c r="K25" s="136">
        <f>IF($K$3="K",'Traktorin tuntihinta ketju 2'!T25,0)</f>
        <v>1.5</v>
      </c>
      <c r="L25" s="435"/>
      <c r="M25" s="435"/>
      <c r="N25" s="139">
        <f>IF($N$3="K",'Traktorin tuntihinta ketju 3'!$T25,0)</f>
        <v>0</v>
      </c>
      <c r="O25" s="435"/>
      <c r="P25" s="435"/>
      <c r="Q25" s="139">
        <f>IF($Q$3="K",'Traktorin tuntihinta ketju 4'!$T25,0)</f>
        <v>0</v>
      </c>
      <c r="R25" s="437">
        <f t="shared" si="0"/>
        <v>1.5</v>
      </c>
    </row>
    <row r="26" spans="1:18" hidden="1" x14ac:dyDescent="0.2">
      <c r="B26" t="str">
        <f>'Traktorin tuntihinta ketju 1'!B24</f>
        <v>Kunnossapitokustannus €/v</v>
      </c>
      <c r="H26" s="436">
        <f>IF($H$3="K",'Traktorin tuntihinta ketju 1'!T24,0)</f>
        <v>1000</v>
      </c>
      <c r="I26" s="435"/>
      <c r="J26" s="435"/>
      <c r="K26" s="136">
        <f>IF($K$3="K",'Traktorin tuntihinta ketju 2'!T26,0)</f>
        <v>0</v>
      </c>
      <c r="L26" s="435"/>
      <c r="M26" s="435"/>
      <c r="N26" s="139">
        <f>IF($N$3="K",'Traktorin tuntihinta ketju 3'!$T26,0)</f>
        <v>0</v>
      </c>
      <c r="O26" s="435"/>
      <c r="P26" s="435"/>
      <c r="Q26" s="139">
        <f>IF($Q$3="K",'Traktorin tuntihinta ketju 4'!$T26,0)</f>
        <v>0</v>
      </c>
      <c r="R26" s="437">
        <f t="shared" si="0"/>
        <v>1000</v>
      </c>
    </row>
    <row r="27" spans="1:18" hidden="1" x14ac:dyDescent="0.2">
      <c r="B27" t="str">
        <f>'Traktorin tuntihinta ketju 1'!B25</f>
        <v>Polttoaineen kulutus l/h hinta/l</v>
      </c>
      <c r="H27" s="436">
        <f>IF($H$3="K",'Traktorin tuntihinta ketju 1'!T25,0)</f>
        <v>36000</v>
      </c>
      <c r="I27" s="435"/>
      <c r="J27" s="435"/>
      <c r="K27" s="136">
        <f>IF($K$3="K",'Traktorin tuntihinta ketju 2'!T27,0)</f>
        <v>7.0000000000000007E-2</v>
      </c>
      <c r="L27" s="435"/>
      <c r="M27" s="435"/>
      <c r="N27" s="139">
        <f>IF($N$3="K",'Traktorin tuntihinta ketju 3'!$T27,0)</f>
        <v>0</v>
      </c>
      <c r="O27" s="435"/>
      <c r="P27" s="435"/>
      <c r="Q27" s="139">
        <f>IF($Q$3="K",'Traktorin tuntihinta ketju 4'!$T27,0)</f>
        <v>0</v>
      </c>
      <c r="R27" s="437">
        <f t="shared" si="0"/>
        <v>36000.07</v>
      </c>
    </row>
    <row r="28" spans="1:18" hidden="1" x14ac:dyDescent="0.2">
      <c r="B28" t="str">
        <f>'Traktorin tuntihinta ketju 1'!B26</f>
        <v>Lisäaine</v>
      </c>
      <c r="H28" s="436">
        <f>IF($H$3="K",'Traktorin tuntihinta ketju 1'!T26,0)</f>
        <v>0</v>
      </c>
      <c r="I28" s="435"/>
      <c r="J28" s="435"/>
      <c r="K28" s="136">
        <f>IF($K$3="K",'Traktorin tuntihinta ketju 2'!T28,0)</f>
        <v>2000</v>
      </c>
      <c r="L28" s="435"/>
      <c r="M28" s="435"/>
      <c r="N28" s="139">
        <f>IF($N$3="K",'Traktorin tuntihinta ketju 3'!$T28,0)</f>
        <v>0</v>
      </c>
      <c r="O28" s="435"/>
      <c r="P28" s="435"/>
      <c r="Q28" s="139">
        <f>IF($Q$3="K",'Traktorin tuntihinta ketju 4'!$T28,0)</f>
        <v>0</v>
      </c>
      <c r="R28" s="437">
        <f t="shared" si="0"/>
        <v>2000</v>
      </c>
    </row>
    <row r="29" spans="1:18" hidden="1" x14ac:dyDescent="0.2">
      <c r="B29" t="str">
        <f>'Traktorin tuntihinta ketju 1'!B27</f>
        <v>AdBlue</v>
      </c>
      <c r="H29" s="436">
        <f>IF($H$3="K",'Traktorin tuntihinta ketju 1'!T27,0)</f>
        <v>1680.0000000000002</v>
      </c>
      <c r="I29" s="435"/>
      <c r="J29" s="435"/>
      <c r="K29" s="136">
        <f>IF($K$3="K",'Traktorin tuntihinta ketju 2'!T29,0)</f>
        <v>0</v>
      </c>
      <c r="L29" s="435"/>
      <c r="M29" s="435"/>
      <c r="N29" s="139">
        <f>IF($N$3="K",'Traktorin tuntihinta ketju 3'!$T29,0)</f>
        <v>0</v>
      </c>
      <c r="O29" s="435"/>
      <c r="P29" s="435"/>
      <c r="Q29" s="139">
        <f>IF($Q$3="K",'Traktorin tuntihinta ketju 4'!$T29,0)</f>
        <v>0</v>
      </c>
      <c r="R29" s="437">
        <f t="shared" si="0"/>
        <v>1680.0000000000002</v>
      </c>
    </row>
    <row r="30" spans="1:18" hidden="1" x14ac:dyDescent="0.2">
      <c r="B30" t="str">
        <f>'Traktorin tuntihinta ketju 1'!B28</f>
        <v>Muut:</v>
      </c>
      <c r="H30" s="436">
        <f>IF($H$3="K",'Traktorin tuntihinta ketju 1'!T28,0)</f>
        <v>2000</v>
      </c>
      <c r="I30" s="435"/>
      <c r="J30" s="435"/>
      <c r="K30" s="136">
        <f>IF($K$3="K",'Traktorin tuntihinta ketju 2'!T30,0)</f>
        <v>3501.5699999999997</v>
      </c>
      <c r="L30" s="435"/>
      <c r="M30" s="435"/>
      <c r="N30" s="139">
        <f>IF($N$3="K",'Traktorin tuntihinta ketju 3'!$T30,0)</f>
        <v>0</v>
      </c>
      <c r="O30" s="435"/>
      <c r="P30" s="435"/>
      <c r="Q30" s="139">
        <f>IF($Q$3="K",'Traktorin tuntihinta ketju 4'!$T30,0)</f>
        <v>0</v>
      </c>
      <c r="R30" s="437">
        <f t="shared" si="0"/>
        <v>5501.57</v>
      </c>
    </row>
    <row r="31" spans="1:18" hidden="1" x14ac:dyDescent="0.2">
      <c r="B31" t="str">
        <f>'Traktorin tuntihinta ketju 1'!B29</f>
        <v>Muut:</v>
      </c>
      <c r="H31" s="436">
        <f>IF($H$3="K",'Traktorin tuntihinta ketju 1'!T29,0)</f>
        <v>0</v>
      </c>
      <c r="I31" s="435"/>
      <c r="J31" s="435"/>
      <c r="K31" s="136">
        <f>IF($K$3="K",'Traktorin tuntihinta ketju 2'!T31,0)</f>
        <v>4092.1102390438245</v>
      </c>
      <c r="L31" s="435"/>
      <c r="M31" s="435"/>
      <c r="N31" s="139">
        <f>IF($N$3="K",'Traktorin tuntihinta ketju 3'!$T31,0)</f>
        <v>0</v>
      </c>
      <c r="O31" s="435"/>
      <c r="P31" s="435"/>
      <c r="Q31" s="139">
        <f>IF($Q$3="K",'Traktorin tuntihinta ketju 4'!$T31,0)</f>
        <v>0</v>
      </c>
      <c r="R31" s="437">
        <f t="shared" si="0"/>
        <v>4092.1102390438245</v>
      </c>
    </row>
    <row r="32" spans="1:18" hidden="1" x14ac:dyDescent="0.2">
      <c r="B32" s="2" t="str">
        <f>'Traktorin tuntihinta ketju 1'!B30</f>
        <v>Muuttuvat kustannukset/vuosi</v>
      </c>
      <c r="C32" s="2"/>
      <c r="D32" s="2"/>
      <c r="E32" s="2"/>
      <c r="F32" s="2"/>
      <c r="G32" s="2"/>
      <c r="H32" s="436">
        <f>IF($H$3="K",'Traktorin tuntihinta ketju 1'!T30,0)</f>
        <v>40680</v>
      </c>
      <c r="I32" s="438"/>
      <c r="J32" s="438"/>
      <c r="K32" s="136">
        <f>IF($K$3="K",'Traktorin tuntihinta ketju 2'!T32,0)</f>
        <v>0</v>
      </c>
      <c r="L32" s="438"/>
      <c r="M32" s="438"/>
      <c r="N32" s="139">
        <f>IF($N$3="K",'Traktorin tuntihinta ketju 3'!$T32,0)</f>
        <v>0</v>
      </c>
      <c r="O32" s="438"/>
      <c r="P32" s="438"/>
      <c r="Q32" s="139">
        <f>IF($Q$3="K",'Traktorin tuntihinta ketju 4'!$T32,0)</f>
        <v>0</v>
      </c>
      <c r="R32" s="437">
        <f t="shared" si="0"/>
        <v>40680</v>
      </c>
    </row>
    <row r="33" spans="1:21" x14ac:dyDescent="0.2">
      <c r="A33" s="2" t="str">
        <f>'Traktorin tuntihinta ketju 1'!A31</f>
        <v>Kustannukset yhteensä (kiinteät ja muuttuvat kustannukset) €/v</v>
      </c>
      <c r="B33" s="2"/>
      <c r="C33" s="2"/>
      <c r="D33" s="2"/>
      <c r="E33" s="2"/>
      <c r="F33" s="2"/>
      <c r="G33" s="2"/>
      <c r="H33" s="436">
        <f>IF($H$3="K",'Traktorin tuntihinta ketju 1'!T31,0)</f>
        <v>51915.418326693223</v>
      </c>
      <c r="I33" s="438"/>
      <c r="J33" s="438"/>
      <c r="K33" s="136">
        <f>IF($K$3="K",'Traktorin tuntihinta ketju 2'!T33,0)</f>
        <v>4092.1102390438245</v>
      </c>
      <c r="L33" s="438"/>
      <c r="M33" s="438"/>
      <c r="N33" s="139">
        <f>IF($N$3="K",'Traktorin tuntihinta ketju 3'!$T33,0)</f>
        <v>0</v>
      </c>
      <c r="O33" s="438"/>
      <c r="P33" s="438"/>
      <c r="Q33" s="139">
        <f>IF($Q$3="K",'Traktorin tuntihinta ketju 4'!$T33,0)</f>
        <v>0</v>
      </c>
      <c r="R33" s="437">
        <f t="shared" si="0"/>
        <v>56007.528565737048</v>
      </c>
    </row>
    <row r="34" spans="1:21" hidden="1" x14ac:dyDescent="0.2">
      <c r="H34" s="436">
        <f>IF($H$3="K",'Traktorin tuntihinta ketju 1'!T32,0)</f>
        <v>0</v>
      </c>
      <c r="I34" s="435"/>
      <c r="J34" s="435"/>
      <c r="K34" s="136">
        <f>IF($K$3="K",'Traktorin tuntihinta ketju 2'!T34,0)</f>
        <v>0</v>
      </c>
      <c r="L34" s="435"/>
      <c r="M34" s="435"/>
      <c r="N34" s="139">
        <f>IF($N$3="K",'Traktorin tuntihinta ketju 3'!$T34,0)</f>
        <v>0</v>
      </c>
      <c r="O34" s="435"/>
      <c r="P34" s="435"/>
      <c r="Q34" s="139">
        <f>IF($Q$3="K",'Traktorin tuntihinta ketju 4'!$T34,0)</f>
        <v>0</v>
      </c>
      <c r="R34" s="437">
        <f t="shared" si="0"/>
        <v>0</v>
      </c>
    </row>
    <row r="35" spans="1:21" x14ac:dyDescent="0.2">
      <c r="A35" t="str">
        <f>'Traktorin tuntihinta ketju 1'!A33</f>
        <v>Koneen työtunnin hinta (yrittäjän oma hinta)</v>
      </c>
      <c r="H35" s="436">
        <f>IF($H$3="K",'Traktorin tuntihinta ketju 1'!T33,0)</f>
        <v>32.447136454183266</v>
      </c>
      <c r="I35" s="435"/>
      <c r="J35" s="435"/>
      <c r="K35" s="136">
        <f>IF($K$3="K",'Traktorin tuntihinta ketju 2'!T35,0)</f>
        <v>0</v>
      </c>
      <c r="L35" s="435"/>
      <c r="M35" s="435"/>
      <c r="N35" s="139">
        <f>IF($N$3="K",'Traktorin tuntihinta ketju 3'!$T35,0)</f>
        <v>0</v>
      </c>
      <c r="O35" s="435"/>
      <c r="P35" s="435"/>
      <c r="Q35" s="139">
        <f>IF($Q$3="K",'Traktorin tuntihinta ketju 4'!$T35,0)</f>
        <v>0</v>
      </c>
      <c r="R35" s="437">
        <f t="shared" si="0"/>
        <v>32.447136454183266</v>
      </c>
    </row>
    <row r="36" spans="1:21" x14ac:dyDescent="0.2">
      <c r="B36" t="str">
        <f>'Traktorin tuntihinta ketju 1'!B34</f>
        <v>Voitto %</v>
      </c>
      <c r="H36" s="436">
        <f>IF($H$3="K",'Traktorin tuntihinta ketju 1'!T34,0)</f>
        <v>0</v>
      </c>
      <c r="I36" s="435"/>
      <c r="J36" s="435"/>
      <c r="K36" s="136">
        <f>IF($K$3="K",'Traktorin tuntihinta ketju 2'!T36,0)</f>
        <v>4092.1102390438245</v>
      </c>
      <c r="L36" s="435"/>
      <c r="M36" s="435"/>
      <c r="N36" s="139">
        <f>IF($N$3="K",'Traktorin tuntihinta ketju 3'!$T36,0)</f>
        <v>0</v>
      </c>
      <c r="O36" s="435"/>
      <c r="P36" s="435"/>
      <c r="Q36" s="139">
        <f>IF($Q$3="K",'Traktorin tuntihinta ketju 4'!$T36,0)</f>
        <v>0</v>
      </c>
      <c r="R36" s="437">
        <f t="shared" si="0"/>
        <v>4092.1102390438245</v>
      </c>
    </row>
    <row r="37" spans="1:21" ht="13.5" thickBot="1" x14ac:dyDescent="0.25">
      <c r="B37" t="str">
        <f>'Traktorin tuntihinta ketju 1'!B35</f>
        <v>Ajajan palkka</v>
      </c>
      <c r="H37" s="436">
        <f>IF($H$3="K",'Traktorin tuntihinta ketju 1'!T35,0)</f>
        <v>25</v>
      </c>
      <c r="I37" s="435"/>
      <c r="J37" s="435"/>
      <c r="K37" s="136">
        <f>IF($K$3="K",'Traktorin tuntihinta ketju 2'!T37,0)</f>
        <v>1043.4881109561752</v>
      </c>
      <c r="L37" s="435"/>
      <c r="M37" s="435"/>
      <c r="N37" s="139">
        <f>IF($N$3="K",'Traktorin tuntihinta ketju 3'!$T37,0)</f>
        <v>0</v>
      </c>
      <c r="O37" s="435"/>
      <c r="P37" s="435"/>
      <c r="Q37" s="139">
        <f>IF($Q$3="K",'Traktorin tuntihinta ketju 4'!$T37,0)</f>
        <v>0</v>
      </c>
      <c r="R37" s="437">
        <f t="shared" si="0"/>
        <v>1068.4881109561752</v>
      </c>
    </row>
    <row r="38" spans="1:21" ht="15.75" thickBot="1" x14ac:dyDescent="0.3">
      <c r="A38" s="536"/>
      <c r="B38" s="537" t="str">
        <f>'Traktorin tuntihinta ketju 1'!B36</f>
        <v>Yhteensä (hinta alv 0%)</v>
      </c>
      <c r="C38" s="537"/>
      <c r="D38" s="537"/>
      <c r="E38" s="537"/>
      <c r="F38" s="537"/>
      <c r="G38" s="537"/>
      <c r="H38" s="538">
        <f>IF($H$3="K",'Traktorin tuntihinta ketju 1'!T36,0)</f>
        <v>57.447136454183266</v>
      </c>
      <c r="I38" s="539"/>
      <c r="J38" s="539"/>
      <c r="K38" s="540">
        <f>IF($K$3="K",'Traktorin tuntihinta ketju 2'!T36,0)</f>
        <v>4092.1102390438245</v>
      </c>
      <c r="L38" s="539"/>
      <c r="M38" s="539"/>
      <c r="N38" s="541">
        <f>IF($N$3="K",'Traktorin tuntihinta ketju 3'!$T36,0)</f>
        <v>0</v>
      </c>
      <c r="O38" s="539"/>
      <c r="P38" s="539"/>
      <c r="Q38" s="541">
        <f>IF($Q$3="K",'Traktorin tuntihinta ketju 4'!$T36,0)</f>
        <v>0</v>
      </c>
      <c r="R38" s="542">
        <f t="shared" si="0"/>
        <v>4149.5573754980078</v>
      </c>
    </row>
    <row r="39" spans="1:21" ht="15" x14ac:dyDescent="0.25">
      <c r="B39" t="str">
        <f>'Traktorin tuntihinta ketju 1'!B37</f>
        <v>Alv</v>
      </c>
      <c r="H39" s="436">
        <f>IF($H$3="K",'Traktorin tuntihinta ketju 1'!T37,0)</f>
        <v>14.649019795816733</v>
      </c>
      <c r="I39" s="489"/>
      <c r="J39" s="489"/>
      <c r="K39" s="136">
        <f>IF($K$3="K",'Traktorin tuntihinta ketju 2'!T37,0)</f>
        <v>1043.4881109561752</v>
      </c>
      <c r="L39" s="435"/>
      <c r="M39" s="435"/>
      <c r="N39" s="139">
        <f>IF($N$3="K",'Traktorin tuntihinta ketju 3'!$T37,0)</f>
        <v>0</v>
      </c>
      <c r="O39" s="435"/>
      <c r="P39" s="435"/>
      <c r="Q39" s="139">
        <f>IF($Q$3="K",'Traktorin tuntihinta ketju 4'!$T37,0)</f>
        <v>0</v>
      </c>
      <c r="R39" s="437">
        <f t="shared" si="0"/>
        <v>1058.1371307519919</v>
      </c>
    </row>
    <row r="40" spans="1:21" ht="15.75" thickBot="1" x14ac:dyDescent="0.3">
      <c r="B40" s="2" t="str">
        <f>'Traktorin tuntihinta ketju 1'!B38</f>
        <v>Yhteensä (asiakkaalta perittävä hinta)</v>
      </c>
      <c r="H40" s="523">
        <f>IF($H$3="K",'Traktorin tuntihinta ketju 1'!T38,0)</f>
        <v>72.096156249999993</v>
      </c>
      <c r="I40" s="489"/>
      <c r="J40" s="489"/>
      <c r="K40" s="524">
        <f>IF($K$3="K",'Traktorin tuntihinta ketju 2'!T38,0)</f>
        <v>5135.5983500000002</v>
      </c>
      <c r="L40" s="486"/>
      <c r="M40" s="486"/>
      <c r="N40" s="487">
        <f>IF($N$3="K",'Traktorin tuntihinta ketju 3'!$T38,0)</f>
        <v>0</v>
      </c>
      <c r="O40" s="486"/>
      <c r="P40" s="486"/>
      <c r="Q40" s="487">
        <f>IF($Q$3="K",'Traktorin tuntihinta ketju 4'!$T38,0)</f>
        <v>0</v>
      </c>
      <c r="R40" s="488">
        <f t="shared" si="0"/>
        <v>5207.6945062499999</v>
      </c>
    </row>
    <row r="41" spans="1:21" ht="13.5" thickBot="1" x14ac:dyDescent="0.25">
      <c r="A41" s="475" t="s">
        <v>151</v>
      </c>
      <c r="B41" s="535"/>
      <c r="C41" s="535"/>
      <c r="D41" s="535"/>
      <c r="E41" s="535"/>
      <c r="F41" s="535"/>
      <c r="G41" s="535"/>
      <c r="H41" s="515">
        <f>IF(H3="K",'Traktorin tuntihinta ketju 1'!Z26,0)</f>
        <v>39.9</v>
      </c>
      <c r="I41" s="424"/>
      <c r="J41" s="424"/>
      <c r="K41" s="515">
        <f>IF($K$3="K",'Traktorin tuntihinta ketju 2'!Z26,0)</f>
        <v>2.66</v>
      </c>
      <c r="L41" s="424"/>
      <c r="M41" s="424"/>
      <c r="N41" s="532">
        <f>IF($N$3="K",'Traktorin tuntihinta ketju 3'!Z26,0)</f>
        <v>0</v>
      </c>
      <c r="O41" s="533"/>
      <c r="P41" s="534"/>
      <c r="Q41" s="515">
        <f>IF($Q$3="K",'Traktorin tuntihinta ketju 4'!Z26,0)</f>
        <v>0</v>
      </c>
      <c r="R41" s="515">
        <f>SUM(H41:Q41)</f>
        <v>42.56</v>
      </c>
    </row>
    <row r="42" spans="1:21" x14ac:dyDescent="0.2">
      <c r="A42" s="443"/>
      <c r="B42" s="14"/>
      <c r="C42" s="14"/>
      <c r="D42" s="14"/>
      <c r="E42" s="14"/>
      <c r="F42" s="949" t="s">
        <v>152</v>
      </c>
      <c r="G42" s="950"/>
      <c r="H42" s="445"/>
      <c r="I42" s="949" t="s">
        <v>153</v>
      </c>
      <c r="J42" s="955"/>
      <c r="K42" s="462"/>
      <c r="L42" s="949" t="s">
        <v>154</v>
      </c>
      <c r="M42" s="950"/>
      <c r="N42" s="443"/>
      <c r="O42" s="949" t="s">
        <v>155</v>
      </c>
      <c r="P42" s="955"/>
      <c r="Q42" s="445"/>
      <c r="R42" s="447">
        <f t="shared" ref="R42" si="1">SUM(H42:N42)</f>
        <v>0</v>
      </c>
    </row>
    <row r="43" spans="1:21" ht="15.75" thickBot="1" x14ac:dyDescent="0.25">
      <c r="A43" s="314" t="s">
        <v>156</v>
      </c>
      <c r="E43" s="122"/>
      <c r="F43" s="441" t="s">
        <v>157</v>
      </c>
      <c r="G43" s="122" t="s">
        <v>158</v>
      </c>
      <c r="H43" s="574"/>
      <c r="I43" s="441" t="s">
        <v>157</v>
      </c>
      <c r="J43" s="448" t="s">
        <v>158</v>
      </c>
      <c r="K43" s="517"/>
      <c r="L43" s="441" t="s">
        <v>157</v>
      </c>
      <c r="M43" s="122" t="s">
        <v>158</v>
      </c>
      <c r="N43" s="251"/>
      <c r="O43" s="441" t="s">
        <v>157</v>
      </c>
      <c r="P43" s="448" t="s">
        <v>158</v>
      </c>
      <c r="Q43" s="574"/>
      <c r="R43" s="448" t="s">
        <v>82</v>
      </c>
      <c r="S43" s="509" t="s">
        <v>158</v>
      </c>
      <c r="T43" s="170" t="s">
        <v>159</v>
      </c>
      <c r="U43" s="122" t="s">
        <v>160</v>
      </c>
    </row>
    <row r="44" spans="1:21" ht="15" x14ac:dyDescent="0.2">
      <c r="A44" s="951" t="s">
        <v>161</v>
      </c>
      <c r="B44" s="952"/>
      <c r="C44" s="952"/>
      <c r="D44" s="952"/>
      <c r="E44" s="952"/>
      <c r="F44" s="572">
        <v>1</v>
      </c>
      <c r="G44" s="573">
        <v>1</v>
      </c>
      <c r="H44" s="575">
        <f>H$38*F44*G44</f>
        <v>57.447136454183266</v>
      </c>
      <c r="I44" s="572">
        <v>1</v>
      </c>
      <c r="J44" s="573">
        <v>1</v>
      </c>
      <c r="K44" s="575">
        <f>K$38*I44*J44</f>
        <v>4092.1102390438245</v>
      </c>
      <c r="L44" s="572">
        <v>0</v>
      </c>
      <c r="M44" s="576">
        <v>1</v>
      </c>
      <c r="N44" s="577">
        <f>N$38*L44*M44</f>
        <v>0</v>
      </c>
      <c r="O44" s="572">
        <v>0</v>
      </c>
      <c r="P44" s="573">
        <v>1</v>
      </c>
      <c r="Q44" s="578">
        <f>Q$38*O44*P44</f>
        <v>0</v>
      </c>
      <c r="R44" s="579">
        <f>SUM(H44,K44,N44,Q44)</f>
        <v>4149.5573754980078</v>
      </c>
      <c r="S44" s="522">
        <f>IF(R44&gt;0,R44/$R$66,0)</f>
        <v>1</v>
      </c>
      <c r="T44" s="450">
        <f>($H$41*F44*G44)+($K$41*I44*J44)+($N$41*L44*M44)</f>
        <v>42.56</v>
      </c>
      <c r="U44" s="451">
        <f>IF($T$64&gt;0,T44/$T$64,0)</f>
        <v>1</v>
      </c>
    </row>
    <row r="45" spans="1:21" ht="15" x14ac:dyDescent="0.2">
      <c r="A45" s="951" t="s">
        <v>162</v>
      </c>
      <c r="B45" s="952"/>
      <c r="C45" s="952"/>
      <c r="D45" s="952"/>
      <c r="E45" s="952"/>
      <c r="F45" s="442">
        <v>0</v>
      </c>
      <c r="G45" s="516">
        <v>1</v>
      </c>
      <c r="H45" s="563">
        <f t="shared" ref="H45:H58" si="2">H$38*F45*G45</f>
        <v>0</v>
      </c>
      <c r="I45" s="442">
        <v>0</v>
      </c>
      <c r="J45" s="516">
        <v>1</v>
      </c>
      <c r="K45" s="563">
        <f t="shared" ref="K45:K58" si="3">K$38*I45*J45</f>
        <v>0</v>
      </c>
      <c r="L45" s="442">
        <v>0</v>
      </c>
      <c r="M45" s="439">
        <v>1</v>
      </c>
      <c r="N45" s="549">
        <f t="shared" ref="N45:N58" si="4">N$38*L45*M45</f>
        <v>0</v>
      </c>
      <c r="O45" s="442">
        <v>0</v>
      </c>
      <c r="P45" s="516">
        <v>1</v>
      </c>
      <c r="Q45" s="446">
        <f t="shared" ref="Q45:Q58" si="5">Q$38*O45*P45</f>
        <v>0</v>
      </c>
      <c r="R45" s="449">
        <f t="shared" ref="R45:R58" si="6">SUM(H45,K45,N45,Q45)</f>
        <v>0</v>
      </c>
      <c r="S45" s="522">
        <f t="shared" ref="S45:S59" si="7">IF(R45&gt;0,R45/$R$66,0)</f>
        <v>0</v>
      </c>
      <c r="T45" s="450">
        <f t="shared" ref="T45:T58" si="8">($H$41*F45*G45)+($K$41*I45*J45)+($N$41*L45*M45)</f>
        <v>0</v>
      </c>
      <c r="U45" s="451">
        <f t="shared" ref="U45:U58" si="9">IF($T$64&gt;0,T45/$T$64,0)</f>
        <v>0</v>
      </c>
    </row>
    <row r="46" spans="1:21" ht="15" x14ac:dyDescent="0.2">
      <c r="A46" s="938" t="s">
        <v>163</v>
      </c>
      <c r="B46" s="939"/>
      <c r="C46" s="939"/>
      <c r="D46" s="939"/>
      <c r="E46" s="939"/>
      <c r="F46" s="442">
        <v>0</v>
      </c>
      <c r="G46" s="516">
        <v>1</v>
      </c>
      <c r="H46" s="563">
        <f t="shared" si="2"/>
        <v>0</v>
      </c>
      <c r="I46" s="442">
        <v>0</v>
      </c>
      <c r="J46" s="516">
        <v>1</v>
      </c>
      <c r="K46" s="563">
        <f t="shared" si="3"/>
        <v>0</v>
      </c>
      <c r="L46" s="442">
        <v>0</v>
      </c>
      <c r="M46" s="439">
        <v>1</v>
      </c>
      <c r="N46" s="549">
        <f>N$38*L46*M46</f>
        <v>0</v>
      </c>
      <c r="O46" s="442">
        <v>0</v>
      </c>
      <c r="P46" s="516">
        <v>1</v>
      </c>
      <c r="Q46" s="446">
        <f>Q$38*O46*P46</f>
        <v>0</v>
      </c>
      <c r="R46" s="449">
        <f t="shared" si="6"/>
        <v>0</v>
      </c>
      <c r="S46" s="522">
        <f t="shared" si="7"/>
        <v>0</v>
      </c>
      <c r="T46" s="450">
        <f>($H$41*F46*G46)+($K$41*I46*J46)+($N$41*L46*M46)</f>
        <v>0</v>
      </c>
      <c r="U46" s="451">
        <f t="shared" si="9"/>
        <v>0</v>
      </c>
    </row>
    <row r="47" spans="1:21" ht="15" x14ac:dyDescent="0.2">
      <c r="A47" s="938" t="s">
        <v>164</v>
      </c>
      <c r="B47" s="939"/>
      <c r="C47" s="939"/>
      <c r="D47" s="939"/>
      <c r="E47" s="939"/>
      <c r="F47" s="442">
        <v>0</v>
      </c>
      <c r="G47" s="516">
        <v>1</v>
      </c>
      <c r="H47" s="563">
        <f t="shared" si="2"/>
        <v>0</v>
      </c>
      <c r="I47" s="442">
        <v>0</v>
      </c>
      <c r="J47" s="516">
        <v>1</v>
      </c>
      <c r="K47" s="563">
        <f t="shared" si="3"/>
        <v>0</v>
      </c>
      <c r="L47" s="442">
        <v>0</v>
      </c>
      <c r="M47" s="439">
        <v>1</v>
      </c>
      <c r="N47" s="549">
        <f t="shared" si="4"/>
        <v>0</v>
      </c>
      <c r="O47" s="442">
        <v>0</v>
      </c>
      <c r="P47" s="516">
        <v>1</v>
      </c>
      <c r="Q47" s="446">
        <f t="shared" si="5"/>
        <v>0</v>
      </c>
      <c r="R47" s="449">
        <f t="shared" si="6"/>
        <v>0</v>
      </c>
      <c r="S47" s="522">
        <f t="shared" si="7"/>
        <v>0</v>
      </c>
      <c r="T47" s="450">
        <f t="shared" si="8"/>
        <v>0</v>
      </c>
      <c r="U47" s="451">
        <f t="shared" si="9"/>
        <v>0</v>
      </c>
    </row>
    <row r="48" spans="1:21" ht="15" x14ac:dyDescent="0.2">
      <c r="A48" s="938" t="s">
        <v>165</v>
      </c>
      <c r="B48" s="939"/>
      <c r="C48" s="939"/>
      <c r="D48" s="939"/>
      <c r="E48" s="939"/>
      <c r="F48" s="442">
        <v>0</v>
      </c>
      <c r="G48" s="516">
        <v>1</v>
      </c>
      <c r="H48" s="563">
        <f t="shared" si="2"/>
        <v>0</v>
      </c>
      <c r="I48" s="442">
        <v>0</v>
      </c>
      <c r="J48" s="516">
        <v>1</v>
      </c>
      <c r="K48" s="563">
        <f t="shared" si="3"/>
        <v>0</v>
      </c>
      <c r="L48" s="442">
        <v>0</v>
      </c>
      <c r="M48" s="439">
        <v>1</v>
      </c>
      <c r="N48" s="549">
        <f t="shared" si="4"/>
        <v>0</v>
      </c>
      <c r="O48" s="442">
        <v>0</v>
      </c>
      <c r="P48" s="516">
        <v>1</v>
      </c>
      <c r="Q48" s="446">
        <f t="shared" si="5"/>
        <v>0</v>
      </c>
      <c r="R48" s="449">
        <f t="shared" si="6"/>
        <v>0</v>
      </c>
      <c r="S48" s="522">
        <f t="shared" si="7"/>
        <v>0</v>
      </c>
      <c r="T48" s="450">
        <f t="shared" si="8"/>
        <v>0</v>
      </c>
      <c r="U48" s="451">
        <f t="shared" si="9"/>
        <v>0</v>
      </c>
    </row>
    <row r="49" spans="1:21" ht="15" x14ac:dyDescent="0.2">
      <c r="A49" s="938" t="s">
        <v>166</v>
      </c>
      <c r="B49" s="939"/>
      <c r="C49" s="939"/>
      <c r="D49" s="939"/>
      <c r="E49" s="939"/>
      <c r="F49" s="442">
        <v>0</v>
      </c>
      <c r="G49" s="516">
        <v>1</v>
      </c>
      <c r="H49" s="563">
        <f t="shared" si="2"/>
        <v>0</v>
      </c>
      <c r="I49" s="442">
        <v>0</v>
      </c>
      <c r="J49" s="516">
        <v>1</v>
      </c>
      <c r="K49" s="563">
        <f t="shared" si="3"/>
        <v>0</v>
      </c>
      <c r="L49" s="442">
        <v>0</v>
      </c>
      <c r="M49" s="439">
        <v>1</v>
      </c>
      <c r="N49" s="549">
        <f t="shared" si="4"/>
        <v>0</v>
      </c>
      <c r="O49" s="442">
        <v>0</v>
      </c>
      <c r="P49" s="516">
        <v>1</v>
      </c>
      <c r="Q49" s="446">
        <f t="shared" si="5"/>
        <v>0</v>
      </c>
      <c r="R49" s="449">
        <f t="shared" si="6"/>
        <v>0</v>
      </c>
      <c r="S49" s="522">
        <f t="shared" si="7"/>
        <v>0</v>
      </c>
      <c r="T49" s="450">
        <f t="shared" si="8"/>
        <v>0</v>
      </c>
      <c r="U49" s="451">
        <f t="shared" si="9"/>
        <v>0</v>
      </c>
    </row>
    <row r="50" spans="1:21" ht="15" x14ac:dyDescent="0.2">
      <c r="A50" s="938" t="s">
        <v>167</v>
      </c>
      <c r="B50" s="939"/>
      <c r="C50" s="939"/>
      <c r="D50" s="939"/>
      <c r="E50" s="939"/>
      <c r="F50" s="442">
        <v>0</v>
      </c>
      <c r="G50" s="516">
        <v>1</v>
      </c>
      <c r="H50" s="563">
        <f t="shared" si="2"/>
        <v>0</v>
      </c>
      <c r="I50" s="442">
        <v>0</v>
      </c>
      <c r="J50" s="516">
        <v>1</v>
      </c>
      <c r="K50" s="563">
        <f t="shared" si="3"/>
        <v>0</v>
      </c>
      <c r="L50" s="442">
        <v>0</v>
      </c>
      <c r="M50" s="439">
        <v>1</v>
      </c>
      <c r="N50" s="549">
        <f t="shared" si="4"/>
        <v>0</v>
      </c>
      <c r="O50" s="442">
        <v>0</v>
      </c>
      <c r="P50" s="516">
        <v>1</v>
      </c>
      <c r="Q50" s="446">
        <f t="shared" si="5"/>
        <v>0</v>
      </c>
      <c r="R50" s="449">
        <f t="shared" si="6"/>
        <v>0</v>
      </c>
      <c r="S50" s="522">
        <f t="shared" si="7"/>
        <v>0</v>
      </c>
      <c r="T50" s="450">
        <f t="shared" si="8"/>
        <v>0</v>
      </c>
      <c r="U50" s="451">
        <f t="shared" si="9"/>
        <v>0</v>
      </c>
    </row>
    <row r="51" spans="1:21" ht="15" x14ac:dyDescent="0.2">
      <c r="A51" s="938" t="s">
        <v>168</v>
      </c>
      <c r="B51" s="939"/>
      <c r="C51" s="939"/>
      <c r="D51" s="939"/>
      <c r="E51" s="939"/>
      <c r="F51" s="442">
        <v>0</v>
      </c>
      <c r="G51" s="516">
        <v>1</v>
      </c>
      <c r="H51" s="563">
        <f t="shared" si="2"/>
        <v>0</v>
      </c>
      <c r="I51" s="442">
        <v>0</v>
      </c>
      <c r="J51" s="516">
        <v>1</v>
      </c>
      <c r="K51" s="563">
        <f t="shared" si="3"/>
        <v>0</v>
      </c>
      <c r="L51" s="442">
        <v>0</v>
      </c>
      <c r="M51" s="439">
        <v>1</v>
      </c>
      <c r="N51" s="549">
        <f t="shared" si="4"/>
        <v>0</v>
      </c>
      <c r="O51" s="442">
        <v>0</v>
      </c>
      <c r="P51" s="516">
        <v>1</v>
      </c>
      <c r="Q51" s="446">
        <f t="shared" si="5"/>
        <v>0</v>
      </c>
      <c r="R51" s="449">
        <f t="shared" si="6"/>
        <v>0</v>
      </c>
      <c r="S51" s="522">
        <f t="shared" si="7"/>
        <v>0</v>
      </c>
      <c r="T51" s="450">
        <f t="shared" si="8"/>
        <v>0</v>
      </c>
      <c r="U51" s="451">
        <f t="shared" si="9"/>
        <v>0</v>
      </c>
    </row>
    <row r="52" spans="1:21" ht="15" x14ac:dyDescent="0.2">
      <c r="A52" s="938" t="s">
        <v>169</v>
      </c>
      <c r="B52" s="939"/>
      <c r="C52" s="939"/>
      <c r="D52" s="939"/>
      <c r="E52" s="939"/>
      <c r="F52" s="442">
        <v>0</v>
      </c>
      <c r="G52" s="516">
        <v>1</v>
      </c>
      <c r="H52" s="563">
        <f t="shared" si="2"/>
        <v>0</v>
      </c>
      <c r="I52" s="442">
        <v>0</v>
      </c>
      <c r="J52" s="516">
        <v>1</v>
      </c>
      <c r="K52" s="563">
        <f t="shared" si="3"/>
        <v>0</v>
      </c>
      <c r="L52" s="442">
        <v>0</v>
      </c>
      <c r="M52" s="439">
        <v>1</v>
      </c>
      <c r="N52" s="549">
        <f t="shared" si="4"/>
        <v>0</v>
      </c>
      <c r="O52" s="442">
        <v>0</v>
      </c>
      <c r="P52" s="516">
        <v>1</v>
      </c>
      <c r="Q52" s="446">
        <f t="shared" si="5"/>
        <v>0</v>
      </c>
      <c r="R52" s="449">
        <f t="shared" si="6"/>
        <v>0</v>
      </c>
      <c r="S52" s="522">
        <f t="shared" si="7"/>
        <v>0</v>
      </c>
      <c r="T52" s="450">
        <f t="shared" si="8"/>
        <v>0</v>
      </c>
      <c r="U52" s="451">
        <f t="shared" si="9"/>
        <v>0</v>
      </c>
    </row>
    <row r="53" spans="1:21" ht="15" x14ac:dyDescent="0.2">
      <c r="A53" s="938" t="s">
        <v>170</v>
      </c>
      <c r="B53" s="939"/>
      <c r="C53" s="939"/>
      <c r="D53" s="939"/>
      <c r="E53" s="939"/>
      <c r="F53" s="442">
        <v>0</v>
      </c>
      <c r="G53" s="516">
        <v>1</v>
      </c>
      <c r="H53" s="563">
        <f t="shared" si="2"/>
        <v>0</v>
      </c>
      <c r="I53" s="442">
        <v>0</v>
      </c>
      <c r="J53" s="516">
        <v>1</v>
      </c>
      <c r="K53" s="563">
        <f t="shared" si="3"/>
        <v>0</v>
      </c>
      <c r="L53" s="442">
        <v>0</v>
      </c>
      <c r="M53" s="439">
        <v>1</v>
      </c>
      <c r="N53" s="549">
        <f t="shared" si="4"/>
        <v>0</v>
      </c>
      <c r="O53" s="442">
        <v>0</v>
      </c>
      <c r="P53" s="516">
        <v>1</v>
      </c>
      <c r="Q53" s="446">
        <f t="shared" si="5"/>
        <v>0</v>
      </c>
      <c r="R53" s="449">
        <f t="shared" si="6"/>
        <v>0</v>
      </c>
      <c r="S53" s="522">
        <f t="shared" si="7"/>
        <v>0</v>
      </c>
      <c r="T53" s="450">
        <f t="shared" si="8"/>
        <v>0</v>
      </c>
      <c r="U53" s="451">
        <f t="shared" si="9"/>
        <v>0</v>
      </c>
    </row>
    <row r="54" spans="1:21" ht="15" x14ac:dyDescent="0.2">
      <c r="A54" s="938" t="s">
        <v>171</v>
      </c>
      <c r="B54" s="939"/>
      <c r="C54" s="939"/>
      <c r="D54" s="939"/>
      <c r="E54" s="939"/>
      <c r="F54" s="442">
        <v>0</v>
      </c>
      <c r="G54" s="516">
        <v>1</v>
      </c>
      <c r="H54" s="563">
        <f t="shared" si="2"/>
        <v>0</v>
      </c>
      <c r="I54" s="442">
        <v>0</v>
      </c>
      <c r="J54" s="516">
        <v>1</v>
      </c>
      <c r="K54" s="563">
        <f t="shared" si="3"/>
        <v>0</v>
      </c>
      <c r="L54" s="442">
        <v>0</v>
      </c>
      <c r="M54" s="439">
        <v>1</v>
      </c>
      <c r="N54" s="549">
        <f t="shared" si="4"/>
        <v>0</v>
      </c>
      <c r="O54" s="442">
        <v>0</v>
      </c>
      <c r="P54" s="516">
        <v>1</v>
      </c>
      <c r="Q54" s="446">
        <f t="shared" si="5"/>
        <v>0</v>
      </c>
      <c r="R54" s="449">
        <f t="shared" si="6"/>
        <v>0</v>
      </c>
      <c r="S54" s="522">
        <f t="shared" si="7"/>
        <v>0</v>
      </c>
      <c r="T54" s="450">
        <f t="shared" si="8"/>
        <v>0</v>
      </c>
      <c r="U54" s="451">
        <f t="shared" si="9"/>
        <v>0</v>
      </c>
    </row>
    <row r="55" spans="1:21" ht="15" x14ac:dyDescent="0.2">
      <c r="A55" s="938" t="s">
        <v>172</v>
      </c>
      <c r="B55" s="939"/>
      <c r="C55" s="939"/>
      <c r="D55" s="939"/>
      <c r="E55" s="939"/>
      <c r="F55" s="442">
        <v>0</v>
      </c>
      <c r="G55" s="516">
        <v>1</v>
      </c>
      <c r="H55" s="563">
        <f t="shared" si="2"/>
        <v>0</v>
      </c>
      <c r="I55" s="442">
        <v>0</v>
      </c>
      <c r="J55" s="516">
        <v>1</v>
      </c>
      <c r="K55" s="563">
        <f t="shared" si="3"/>
        <v>0</v>
      </c>
      <c r="L55" s="442">
        <v>0</v>
      </c>
      <c r="M55" s="439">
        <v>1</v>
      </c>
      <c r="N55" s="549">
        <f t="shared" si="4"/>
        <v>0</v>
      </c>
      <c r="O55" s="442">
        <v>0</v>
      </c>
      <c r="P55" s="516">
        <v>1</v>
      </c>
      <c r="Q55" s="446">
        <f t="shared" si="5"/>
        <v>0</v>
      </c>
      <c r="R55" s="449">
        <f t="shared" si="6"/>
        <v>0</v>
      </c>
      <c r="S55" s="522">
        <f t="shared" si="7"/>
        <v>0</v>
      </c>
      <c r="T55" s="450">
        <f t="shared" si="8"/>
        <v>0</v>
      </c>
      <c r="U55" s="451">
        <f t="shared" si="9"/>
        <v>0</v>
      </c>
    </row>
    <row r="56" spans="1:21" ht="15" x14ac:dyDescent="0.2">
      <c r="A56" s="938" t="s">
        <v>173</v>
      </c>
      <c r="B56" s="939"/>
      <c r="C56" s="939"/>
      <c r="D56" s="939"/>
      <c r="E56" s="939"/>
      <c r="F56" s="442">
        <v>0</v>
      </c>
      <c r="G56" s="516">
        <v>1</v>
      </c>
      <c r="H56" s="587">
        <f t="shared" si="2"/>
        <v>0</v>
      </c>
      <c r="I56" s="124">
        <v>0</v>
      </c>
      <c r="J56" s="570">
        <v>1</v>
      </c>
      <c r="K56" s="563">
        <f t="shared" si="3"/>
        <v>0</v>
      </c>
      <c r="L56" s="442">
        <v>0</v>
      </c>
      <c r="M56" s="439">
        <v>1</v>
      </c>
      <c r="N56" s="549">
        <f t="shared" si="4"/>
        <v>0</v>
      </c>
      <c r="O56" s="442">
        <v>0</v>
      </c>
      <c r="P56" s="516">
        <v>1</v>
      </c>
      <c r="Q56" s="446">
        <f t="shared" si="5"/>
        <v>0</v>
      </c>
      <c r="R56" s="449">
        <f t="shared" si="6"/>
        <v>0</v>
      </c>
      <c r="S56" s="522">
        <f t="shared" si="7"/>
        <v>0</v>
      </c>
      <c r="T56" s="450">
        <f t="shared" si="8"/>
        <v>0</v>
      </c>
      <c r="U56" s="451">
        <f t="shared" si="9"/>
        <v>0</v>
      </c>
    </row>
    <row r="57" spans="1:21" ht="15" x14ac:dyDescent="0.2">
      <c r="A57" s="938" t="s">
        <v>174</v>
      </c>
      <c r="B57" s="939"/>
      <c r="C57" s="939"/>
      <c r="D57" s="939"/>
      <c r="E57" s="939"/>
      <c r="F57" s="442">
        <v>0</v>
      </c>
      <c r="G57" s="516">
        <v>1</v>
      </c>
      <c r="H57" s="563">
        <f t="shared" si="2"/>
        <v>0</v>
      </c>
      <c r="I57" s="442">
        <v>0</v>
      </c>
      <c r="J57" s="516">
        <v>1</v>
      </c>
      <c r="K57" s="563">
        <f t="shared" si="3"/>
        <v>0</v>
      </c>
      <c r="L57" s="442">
        <v>0</v>
      </c>
      <c r="M57" s="439">
        <v>1</v>
      </c>
      <c r="N57" s="549">
        <f t="shared" si="4"/>
        <v>0</v>
      </c>
      <c r="O57" s="442">
        <v>0</v>
      </c>
      <c r="P57" s="516">
        <v>1</v>
      </c>
      <c r="Q57" s="446">
        <f t="shared" si="5"/>
        <v>0</v>
      </c>
      <c r="R57" s="449">
        <f t="shared" si="6"/>
        <v>0</v>
      </c>
      <c r="S57" s="522">
        <f t="shared" si="7"/>
        <v>0</v>
      </c>
      <c r="T57" s="450">
        <f t="shared" si="8"/>
        <v>0</v>
      </c>
      <c r="U57" s="451">
        <f t="shared" si="9"/>
        <v>0</v>
      </c>
    </row>
    <row r="58" spans="1:21" ht="15.75" thickBot="1" x14ac:dyDescent="0.25">
      <c r="A58" s="938" t="s">
        <v>175</v>
      </c>
      <c r="B58" s="939"/>
      <c r="C58" s="939"/>
      <c r="D58" s="939"/>
      <c r="E58" s="939"/>
      <c r="F58" s="442">
        <v>0</v>
      </c>
      <c r="G58" s="516">
        <v>1</v>
      </c>
      <c r="H58" s="563">
        <f t="shared" si="2"/>
        <v>0</v>
      </c>
      <c r="I58" s="442">
        <v>0</v>
      </c>
      <c r="J58" s="516">
        <v>1</v>
      </c>
      <c r="K58" s="563">
        <f t="shared" si="3"/>
        <v>0</v>
      </c>
      <c r="L58" s="442">
        <v>0</v>
      </c>
      <c r="M58" s="439">
        <v>1</v>
      </c>
      <c r="N58" s="549">
        <f t="shared" si="4"/>
        <v>0</v>
      </c>
      <c r="O58" s="442">
        <v>0</v>
      </c>
      <c r="P58" s="516">
        <v>1</v>
      </c>
      <c r="Q58" s="446">
        <f t="shared" si="5"/>
        <v>0</v>
      </c>
      <c r="R58" s="485">
        <f t="shared" si="6"/>
        <v>0</v>
      </c>
      <c r="S58" s="522">
        <f t="shared" si="7"/>
        <v>0</v>
      </c>
      <c r="T58" s="450">
        <f t="shared" si="8"/>
        <v>0</v>
      </c>
      <c r="U58" s="451">
        <f t="shared" si="9"/>
        <v>0</v>
      </c>
    </row>
    <row r="59" spans="1:21" ht="15.75" thickBot="1" x14ac:dyDescent="0.3">
      <c r="A59" s="444" t="s">
        <v>176</v>
      </c>
      <c r="B59" s="440"/>
      <c r="C59" s="440"/>
      <c r="D59" s="440"/>
      <c r="E59" s="440"/>
      <c r="F59" s="497">
        <f>SUM(F44:F58)</f>
        <v>1</v>
      </c>
      <c r="G59" s="517"/>
      <c r="H59" s="564">
        <f>SUM(H44:H58)</f>
        <v>57.447136454183266</v>
      </c>
      <c r="I59" s="497">
        <f>SUM(I44:I58)</f>
        <v>1</v>
      </c>
      <c r="J59" s="517"/>
      <c r="K59" s="564">
        <f>SUM(K44:K58)</f>
        <v>4092.1102390438245</v>
      </c>
      <c r="L59" s="527">
        <f>SUM(L44:L58)</f>
        <v>0</v>
      </c>
      <c r="M59" s="440"/>
      <c r="N59" s="550">
        <f>SUM(N44:N58)</f>
        <v>0</v>
      </c>
      <c r="O59" s="497">
        <f>SUM(O44:O58)</f>
        <v>0</v>
      </c>
      <c r="P59" s="517"/>
      <c r="Q59" s="496">
        <f>SUM(Q44:Q58)</f>
        <v>0</v>
      </c>
      <c r="R59" s="553">
        <f>SUM(R44:R58)</f>
        <v>4149.5573754980078</v>
      </c>
      <c r="S59" s="522">
        <f t="shared" si="7"/>
        <v>1</v>
      </c>
      <c r="T59" s="452">
        <f>SUM(T44:T58)</f>
        <v>42.56</v>
      </c>
      <c r="U59" s="453"/>
    </row>
    <row r="60" spans="1:21" ht="15.75" x14ac:dyDescent="0.25">
      <c r="A60" s="976" t="s">
        <v>177</v>
      </c>
      <c r="B60" s="977"/>
      <c r="C60" s="977"/>
      <c r="D60" s="977"/>
      <c r="E60" s="977"/>
      <c r="F60" s="512" t="s">
        <v>178</v>
      </c>
      <c r="G60" s="518" t="s">
        <v>179</v>
      </c>
      <c r="H60" s="513"/>
      <c r="I60" s="512" t="s">
        <v>178</v>
      </c>
      <c r="J60" s="518" t="s">
        <v>179</v>
      </c>
      <c r="K60" s="513"/>
      <c r="L60" s="526" t="s">
        <v>178</v>
      </c>
      <c r="M60" s="531" t="s">
        <v>179</v>
      </c>
      <c r="N60" s="528"/>
      <c r="O60" s="512" t="s">
        <v>178</v>
      </c>
      <c r="P60" s="518" t="s">
        <v>179</v>
      </c>
      <c r="Q60" s="556"/>
      <c r="R60" s="494" t="s">
        <v>82</v>
      </c>
      <c r="S60" s="522"/>
      <c r="T60" s="452"/>
      <c r="U60" s="453"/>
    </row>
    <row r="61" spans="1:21" ht="15" x14ac:dyDescent="0.2">
      <c r="A61" s="938" t="s">
        <v>180</v>
      </c>
      <c r="B61" s="939"/>
      <c r="C61" s="939"/>
      <c r="D61" s="939"/>
      <c r="E61" s="939"/>
      <c r="F61" s="442">
        <v>0</v>
      </c>
      <c r="G61" s="519">
        <v>0</v>
      </c>
      <c r="H61" s="565">
        <f>IF(H$3="K",F61*G61,0)</f>
        <v>0</v>
      </c>
      <c r="I61" s="442">
        <v>0</v>
      </c>
      <c r="J61" s="519">
        <v>0</v>
      </c>
      <c r="K61" s="565">
        <f>IF(K$3="K",I61*J61,0)</f>
        <v>0</v>
      </c>
      <c r="L61" s="491">
        <v>0</v>
      </c>
      <c r="M61" s="490">
        <v>0</v>
      </c>
      <c r="N61" s="543">
        <f>IF(N$3="K",L61*M61,0)</f>
        <v>0</v>
      </c>
      <c r="O61" s="442">
        <v>0</v>
      </c>
      <c r="P61" s="519">
        <v>0</v>
      </c>
      <c r="Q61" s="557">
        <f>IF(Q$3="K",O61*P61,0)</f>
        <v>0</v>
      </c>
      <c r="R61" s="449">
        <f>SUM(H61,K61,N61,Q61)</f>
        <v>0</v>
      </c>
      <c r="S61" s="522"/>
      <c r="T61" s="510"/>
      <c r="U61" s="451">
        <f t="shared" ref="U61:U62" si="10">IF($T$64&gt;0,T61/$T$64,0)</f>
        <v>0</v>
      </c>
    </row>
    <row r="62" spans="1:21" ht="15.75" thickBot="1" x14ac:dyDescent="0.25">
      <c r="A62" s="938" t="s">
        <v>180</v>
      </c>
      <c r="B62" s="939"/>
      <c r="C62" s="939"/>
      <c r="D62" s="939"/>
      <c r="E62" s="939"/>
      <c r="F62" s="545">
        <v>0</v>
      </c>
      <c r="G62" s="519">
        <v>0</v>
      </c>
      <c r="H62" s="565">
        <f>IF(H$3="K",F62*G62,0)</f>
        <v>0</v>
      </c>
      <c r="I62" s="442">
        <v>0</v>
      </c>
      <c r="J62" s="519">
        <v>1</v>
      </c>
      <c r="K62" s="565">
        <f>IF(K$3="K",I62*J62,0)</f>
        <v>0</v>
      </c>
      <c r="L62" s="547">
        <v>0</v>
      </c>
      <c r="M62" s="490">
        <v>0</v>
      </c>
      <c r="N62" s="543">
        <f>IF(N$3="K",L62*M62,0)</f>
        <v>0</v>
      </c>
      <c r="O62" s="545">
        <v>0</v>
      </c>
      <c r="P62" s="519">
        <v>0</v>
      </c>
      <c r="Q62" s="557">
        <f>IF(Q$3="K",O62*P62,0)</f>
        <v>0</v>
      </c>
      <c r="R62" s="449">
        <f>SUM(H62,K62,N62,Q62)</f>
        <v>0</v>
      </c>
      <c r="S62" s="522"/>
      <c r="T62" s="510"/>
      <c r="U62" s="451">
        <f t="shared" si="10"/>
        <v>0</v>
      </c>
    </row>
    <row r="63" spans="1:21" ht="13.5" thickBot="1" x14ac:dyDescent="0.25">
      <c r="A63" s="444" t="s">
        <v>181</v>
      </c>
      <c r="B63" s="493"/>
      <c r="C63" s="493"/>
      <c r="D63" s="493"/>
      <c r="E63" s="493"/>
      <c r="F63" s="546">
        <f>SUM(F61:F62)</f>
        <v>0</v>
      </c>
      <c r="G63" s="517"/>
      <c r="H63" s="566">
        <f>SUM(H61:H62)</f>
        <v>0</v>
      </c>
      <c r="I63" s="520">
        <f>SUM(I61:I62)</f>
        <v>0</v>
      </c>
      <c r="J63" s="517"/>
      <c r="K63" s="566">
        <f>SUM(K61:K62)</f>
        <v>0</v>
      </c>
      <c r="L63" s="546">
        <f>SUM(L61:L62)</f>
        <v>0</v>
      </c>
      <c r="N63" s="544">
        <f>SUM(N61:N62)</f>
        <v>0</v>
      </c>
      <c r="O63" s="546">
        <f>SUM(O61:O62)</f>
        <v>0</v>
      </c>
      <c r="P63" s="517"/>
      <c r="Q63" s="558">
        <f>SUM(Q61:Q62)</f>
        <v>0</v>
      </c>
      <c r="R63" s="554"/>
      <c r="S63" s="522"/>
      <c r="T63" s="452"/>
      <c r="U63" s="453"/>
    </row>
    <row r="64" spans="1:21" ht="16.5" thickBot="1" x14ac:dyDescent="0.25">
      <c r="A64" s="978" t="s">
        <v>182</v>
      </c>
      <c r="B64" s="978"/>
      <c r="C64" s="978"/>
      <c r="D64" s="978"/>
      <c r="E64" s="978"/>
      <c r="F64" s="588">
        <v>0.15</v>
      </c>
      <c r="G64" s="517"/>
      <c r="H64" s="567">
        <f>IF(H3="K",((F61*G61)+(F62*G62))/(100%-F64),0)</f>
        <v>0</v>
      </c>
      <c r="I64" s="588">
        <f>F64</f>
        <v>0.15</v>
      </c>
      <c r="J64" s="517"/>
      <c r="K64" s="567">
        <f>IF(K3="K",((I61*J61)+(I62*J62))/(100%-I64),0)</f>
        <v>0</v>
      </c>
      <c r="L64" s="588">
        <f>I64</f>
        <v>0.15</v>
      </c>
      <c r="N64" s="548">
        <f>IF(N3="K",((L61*M61)+(L62*M62))/(100%-L64),0)</f>
        <v>0</v>
      </c>
      <c r="O64" s="588">
        <f>L64</f>
        <v>0.15</v>
      </c>
      <c r="P64" s="517"/>
      <c r="Q64" s="559">
        <f>IF(Q3="K",((O61*P61)+(O62*P62))/(100%-O64),0)</f>
        <v>0</v>
      </c>
      <c r="R64" s="502">
        <f>SUM(H64,K64,N64,Q64)</f>
        <v>0</v>
      </c>
      <c r="S64" s="522">
        <f>IF(R64&gt;0,R64/$R$66,0)</f>
        <v>0</v>
      </c>
      <c r="T64" s="452">
        <f>SUM(T59,T61:T62)</f>
        <v>42.56</v>
      </c>
      <c r="U64" s="453">
        <f>SUM(U44:U62)</f>
        <v>1</v>
      </c>
    </row>
    <row r="65" spans="1:21" ht="15.75" thickBot="1" x14ac:dyDescent="0.25">
      <c r="A65" s="979"/>
      <c r="B65" s="979"/>
      <c r="C65" s="979"/>
      <c r="D65" s="979"/>
      <c r="E65" s="979"/>
      <c r="F65" s="495"/>
      <c r="G65" s="517"/>
      <c r="H65" s="514"/>
      <c r="I65" s="495"/>
      <c r="J65" s="517"/>
      <c r="K65" s="514"/>
      <c r="L65" s="125"/>
      <c r="N65" s="529"/>
      <c r="O65" s="495"/>
      <c r="P65" s="517"/>
      <c r="Q65" s="560"/>
      <c r="R65" s="502"/>
      <c r="S65" s="522"/>
      <c r="T65" s="452"/>
      <c r="U65" s="453"/>
    </row>
    <row r="66" spans="1:21" ht="18" x14ac:dyDescent="0.2">
      <c r="A66" s="498" t="s">
        <v>183</v>
      </c>
      <c r="B66" s="125"/>
      <c r="C66" s="125"/>
      <c r="D66" s="125"/>
      <c r="E66" s="125"/>
      <c r="F66" s="251"/>
      <c r="G66" s="517"/>
      <c r="H66" s="571">
        <f>SUM(H59,H64)</f>
        <v>57.447136454183266</v>
      </c>
      <c r="I66" s="251"/>
      <c r="J66" s="517"/>
      <c r="K66" s="568">
        <f>SUM(K59,K64)</f>
        <v>4092.1102390438245</v>
      </c>
      <c r="N66" s="551">
        <f>SUM(N59,N64)</f>
        <v>0</v>
      </c>
      <c r="O66" s="251"/>
      <c r="P66" s="517"/>
      <c r="Q66" s="561">
        <f>SUM(Q59,Q64)</f>
        <v>0</v>
      </c>
      <c r="R66" s="530">
        <f>SUM(R59,R64)</f>
        <v>4149.5573754980078</v>
      </c>
      <c r="S66" s="522">
        <f>IF(R66&gt;0,R66/$R$66,0)</f>
        <v>1</v>
      </c>
      <c r="T66" s="452"/>
      <c r="U66" s="453"/>
    </row>
    <row r="67" spans="1:21" ht="18.75" thickBot="1" x14ac:dyDescent="0.25">
      <c r="A67" s="498" t="s">
        <v>184</v>
      </c>
      <c r="B67" s="125"/>
      <c r="C67" s="125"/>
      <c r="D67" s="125"/>
      <c r="E67" s="125"/>
      <c r="F67" s="251"/>
      <c r="G67" s="517"/>
      <c r="H67" s="580">
        <f>H66/$R$66</f>
        <v>1.3844160052682431E-2</v>
      </c>
      <c r="I67" s="525"/>
      <c r="J67" s="521"/>
      <c r="K67" s="569">
        <f>K66/$R$66</f>
        <v>0.98615583994731759</v>
      </c>
      <c r="L67" s="440"/>
      <c r="M67" s="440"/>
      <c r="N67" s="552">
        <f>N66/$R$66</f>
        <v>0</v>
      </c>
      <c r="O67" s="525"/>
      <c r="P67" s="521"/>
      <c r="Q67" s="562">
        <f>Q66/$R$66</f>
        <v>0</v>
      </c>
      <c r="R67" s="555">
        <f>SUM(H67:Q67)</f>
        <v>1</v>
      </c>
      <c r="S67" s="511"/>
      <c r="T67" s="452"/>
      <c r="U67" s="453"/>
    </row>
    <row r="68" spans="1:21" ht="13.5" customHeight="1" thickBot="1" x14ac:dyDescent="0.25">
      <c r="A68" s="943" t="s">
        <v>185</v>
      </c>
      <c r="B68" s="944"/>
      <c r="C68" s="944"/>
      <c r="D68" s="944"/>
      <c r="E68" s="944"/>
      <c r="F68" s="944"/>
      <c r="G68" s="944"/>
      <c r="H68" s="945"/>
      <c r="J68" s="2" t="s">
        <v>186</v>
      </c>
    </row>
    <row r="69" spans="1:21" ht="12.75" customHeight="1" x14ac:dyDescent="0.2">
      <c r="A69" s="929" t="s">
        <v>187</v>
      </c>
      <c r="B69" s="930"/>
      <c r="C69" s="930"/>
      <c r="D69" s="930"/>
      <c r="E69" s="930"/>
      <c r="F69" s="930"/>
      <c r="G69" s="930"/>
      <c r="H69" s="931"/>
      <c r="I69" s="927" t="s">
        <v>188</v>
      </c>
      <c r="J69" s="927"/>
      <c r="K69" s="927"/>
      <c r="L69" s="927"/>
      <c r="M69" s="928"/>
      <c r="N69" s="482" t="s">
        <v>178</v>
      </c>
      <c r="O69" s="956" t="s">
        <v>34</v>
      </c>
      <c r="P69" s="957"/>
      <c r="Q69" s="481" t="s">
        <v>189</v>
      </c>
      <c r="T69" s="475" t="s">
        <v>159</v>
      </c>
    </row>
    <row r="70" spans="1:21" ht="22.5" customHeight="1" x14ac:dyDescent="0.25">
      <c r="A70" s="932"/>
      <c r="B70" s="933"/>
      <c r="C70" s="933"/>
      <c r="D70" s="933"/>
      <c r="E70" s="933"/>
      <c r="F70" s="933"/>
      <c r="G70" s="933"/>
      <c r="H70" s="934"/>
      <c r="I70" s="982" t="s">
        <v>190</v>
      </c>
      <c r="J70" s="982"/>
      <c r="K70" s="982"/>
      <c r="L70" s="982"/>
      <c r="M70" s="983"/>
      <c r="N70" s="484">
        <v>1</v>
      </c>
      <c r="O70" s="958" t="s">
        <v>58</v>
      </c>
      <c r="P70" s="959"/>
      <c r="Q70" s="499">
        <f>IF(AND($R$66,N70)&gt;0,$R$66/N70,0)</f>
        <v>4149.5573754980078</v>
      </c>
      <c r="R70" s="171" t="str">
        <f>IF(AND(Q70&gt;0,M70&lt;&gt;""),"per "&amp;M70,"")</f>
        <v/>
      </c>
      <c r="T70" s="476">
        <f>IF(AND($R$59,N70)&gt;0,$T$64/N70,0)</f>
        <v>42.56</v>
      </c>
    </row>
    <row r="71" spans="1:21" ht="15.75" x14ac:dyDescent="0.2">
      <c r="A71" s="932"/>
      <c r="B71" s="933"/>
      <c r="C71" s="933"/>
      <c r="D71" s="933"/>
      <c r="E71" s="933"/>
      <c r="F71" s="933"/>
      <c r="G71" s="933"/>
      <c r="H71" s="934"/>
      <c r="I71" s="984" t="s">
        <v>191</v>
      </c>
      <c r="J71" s="984"/>
      <c r="K71" s="984"/>
      <c r="L71" s="984"/>
      <c r="M71" s="985"/>
      <c r="N71" s="480">
        <f>28000*N70</f>
        <v>28000</v>
      </c>
      <c r="O71" s="958" t="s">
        <v>40</v>
      </c>
      <c r="P71" s="959"/>
      <c r="Q71" s="500">
        <f>IF(AND(R$66,N71)&gt;0,R$66/N71,0)</f>
        <v>0.14819847769635741</v>
      </c>
      <c r="R71" s="171" t="str">
        <f>IF(AND(Q71&gt;0,M71&lt;&gt;""),"per "&amp;M71,"")</f>
        <v/>
      </c>
      <c r="T71" s="477">
        <f>IF(AND($R$59,N71)&gt;0,$T$64/N71,0)</f>
        <v>1.5200000000000001E-3</v>
      </c>
    </row>
    <row r="72" spans="1:21" ht="27" customHeight="1" x14ac:dyDescent="0.2">
      <c r="A72" s="932"/>
      <c r="B72" s="933"/>
      <c r="C72" s="933"/>
      <c r="D72" s="933"/>
      <c r="E72" s="933"/>
      <c r="F72" s="933"/>
      <c r="G72" s="933"/>
      <c r="H72" s="934"/>
      <c r="I72" s="984" t="str">
        <f>O72</f>
        <v>paali</v>
      </c>
      <c r="J72" s="984"/>
      <c r="K72" s="984"/>
      <c r="L72" s="984"/>
      <c r="M72" s="985"/>
      <c r="N72" s="480">
        <f>N71/800</f>
        <v>35</v>
      </c>
      <c r="O72" s="958" t="s">
        <v>63</v>
      </c>
      <c r="P72" s="959"/>
      <c r="Q72" s="500">
        <f>IF(AND(R$66,N72)&gt;0,R$66/N72,0)</f>
        <v>118.55878215708594</v>
      </c>
      <c r="R72" s="171" t="str">
        <f>IF(AND(Q72&gt;0,M72&lt;&gt;""),"per "&amp;M72,"")</f>
        <v/>
      </c>
      <c r="T72" s="478">
        <f>IF(AND($R$59,N72)&gt;0,$T$64/N72,0)</f>
        <v>1.216</v>
      </c>
    </row>
    <row r="73" spans="1:21" ht="15.75" x14ac:dyDescent="0.2">
      <c r="A73" s="932"/>
      <c r="B73" s="933"/>
      <c r="C73" s="933"/>
      <c r="D73" s="933"/>
      <c r="E73" s="933"/>
      <c r="F73" s="933"/>
      <c r="G73" s="933"/>
      <c r="H73" s="934"/>
      <c r="I73" s="984" t="str">
        <f t="shared" ref="I73" si="11">O73</f>
        <v>tn</v>
      </c>
      <c r="J73" s="984"/>
      <c r="K73" s="984"/>
      <c r="L73" s="984"/>
      <c r="M73" s="985"/>
      <c r="N73" s="480">
        <f>N71/1000</f>
        <v>28</v>
      </c>
      <c r="O73" s="958" t="s">
        <v>192</v>
      </c>
      <c r="P73" s="959"/>
      <c r="Q73" s="500">
        <f>IF(AND(R$66,N73)&gt;0,R$66/N73,0)</f>
        <v>148.19847769635743</v>
      </c>
      <c r="R73" s="171" t="str">
        <f>IF(AND(Q73&gt;0,M73&lt;&gt;""),"per "&amp;M73,"")</f>
        <v/>
      </c>
      <c r="T73" s="476">
        <f>IF(AND($R$59,N73)&gt;0,$T$64/N73,0)</f>
        <v>1.52</v>
      </c>
    </row>
    <row r="74" spans="1:21" ht="16.5" thickBot="1" x14ac:dyDescent="0.25">
      <c r="A74" s="935"/>
      <c r="B74" s="936"/>
      <c r="C74" s="936"/>
      <c r="D74" s="936"/>
      <c r="E74" s="936"/>
      <c r="F74" s="936"/>
      <c r="G74" s="936"/>
      <c r="H74" s="937"/>
      <c r="I74" s="984" t="s">
        <v>193</v>
      </c>
      <c r="J74" s="984"/>
      <c r="K74" s="984"/>
      <c r="L74" s="984"/>
      <c r="M74" s="985"/>
      <c r="N74" s="483">
        <v>1000</v>
      </c>
      <c r="O74" s="980" t="s">
        <v>78</v>
      </c>
      <c r="P74" s="981"/>
      <c r="Q74" s="492">
        <f>IF(AND(R$66,N74)&gt;0,R$66/N74,0)</f>
        <v>4.1495573754980075</v>
      </c>
      <c r="R74" s="171" t="str">
        <f>IF(AND(Q74&gt;0,M74&lt;&gt;""),"per "&amp;M74,"")</f>
        <v/>
      </c>
      <c r="T74" s="476">
        <f>IF(AND($R$59,N74)&gt;0,$T$64/N74,0)</f>
        <v>4.2560000000000001E-2</v>
      </c>
    </row>
    <row r="75" spans="1:21" ht="27" thickBot="1" x14ac:dyDescent="0.45">
      <c r="A75" s="583" t="s">
        <v>194</v>
      </c>
      <c r="F75" s="940" t="str">
        <f>H1&amp;" "&amp;D76</f>
        <v>Ketju 1 Myynti-syntyy tuloja</v>
      </c>
      <c r="G75" s="941"/>
      <c r="H75" s="942"/>
      <c r="I75" s="924" t="str">
        <f>K1&amp;" "&amp;$D$76</f>
        <v>Ketju 2 Myynti-syntyy tuloja</v>
      </c>
      <c r="J75" s="925"/>
      <c r="K75" s="926"/>
      <c r="L75" s="924" t="str">
        <f>N1&amp;" "&amp;$D$76</f>
        <v>Ketju 3 Myynti-syntyy tuloja</v>
      </c>
      <c r="M75" s="925"/>
      <c r="N75" s="926"/>
      <c r="O75" s="924" t="str">
        <f>Q1&amp;" "&amp;$D$76</f>
        <v>Ketju 4 Myynti-syntyy tuloja</v>
      </c>
      <c r="P75" s="925"/>
      <c r="Q75" s="926"/>
      <c r="R75" s="443"/>
      <c r="S75" s="14"/>
      <c r="T75" s="462"/>
    </row>
    <row r="76" spans="1:21" ht="18.75" thickBot="1" x14ac:dyDescent="0.3">
      <c r="A76" s="2" t="s">
        <v>195</v>
      </c>
      <c r="D76" s="960" t="s">
        <v>76</v>
      </c>
      <c r="E76" s="961"/>
      <c r="F76" s="584" t="s">
        <v>178</v>
      </c>
      <c r="G76" s="501" t="s">
        <v>196</v>
      </c>
      <c r="H76" s="469" t="s">
        <v>82</v>
      </c>
      <c r="I76" s="468" t="s">
        <v>178</v>
      </c>
      <c r="J76" s="501" t="s">
        <v>196</v>
      </c>
      <c r="K76" s="469" t="s">
        <v>82</v>
      </c>
      <c r="L76" s="468" t="s">
        <v>178</v>
      </c>
      <c r="M76" s="501" t="s">
        <v>196</v>
      </c>
      <c r="N76" s="469" t="s">
        <v>82</v>
      </c>
      <c r="O76" s="468" t="s">
        <v>178</v>
      </c>
      <c r="P76" s="501" t="s">
        <v>196</v>
      </c>
      <c r="Q76" s="469" t="s">
        <v>82</v>
      </c>
      <c r="R76" s="463" t="s">
        <v>82</v>
      </c>
      <c r="S76" s="126" t="s">
        <v>197</v>
      </c>
      <c r="T76" s="464" t="s">
        <v>198</v>
      </c>
    </row>
    <row r="77" spans="1:21" ht="18" x14ac:dyDescent="0.25">
      <c r="A77" s="470" t="s">
        <v>199</v>
      </c>
      <c r="F77" s="454">
        <f>IF(AND(H$3="K",$D$76="Myynti-syntyy tuloja"),F$59,0)</f>
        <v>1</v>
      </c>
      <c r="G77" s="280">
        <f>IF($D$76="Myynti-syntyy tuloja",H38,0)</f>
        <v>57.447136454183266</v>
      </c>
      <c r="H77" s="455">
        <f>F77*G77</f>
        <v>57.447136454183266</v>
      </c>
      <c r="I77" s="454">
        <f>IF(AND(K$3="K",$D$76="Myynti-syntyy tuloja"),I$59,0)</f>
        <v>1</v>
      </c>
      <c r="J77" s="280">
        <f>IF($D$76="Myynti-syntyy tuloja",K38,0)</f>
        <v>4092.1102390438245</v>
      </c>
      <c r="K77" s="455">
        <f>I77*J77</f>
        <v>4092.1102390438245</v>
      </c>
      <c r="L77" s="454">
        <f>IF(AND(N$3="K",$D$76="Myynti-syntyy tuloja"),L$59,0)</f>
        <v>0</v>
      </c>
      <c r="M77" s="280">
        <f>IF($D$76="Myynti-syntyy tuloja",N38,0)</f>
        <v>0</v>
      </c>
      <c r="N77" s="455">
        <f>L77*M77</f>
        <v>0</v>
      </c>
      <c r="O77" s="454">
        <f>IF(AND(Q$3="K",$D$76="Myynti-syntyy tuloja"),O$59,0)</f>
        <v>0</v>
      </c>
      <c r="P77" s="280">
        <f>IF($D$76="Myynti-syntyy tuloja",Q38,0)</f>
        <v>0</v>
      </c>
      <c r="Q77" s="455">
        <f>O77*P77</f>
        <v>0</v>
      </c>
      <c r="R77" s="465">
        <f t="shared" ref="R77:R86" si="12">SUM(H77,K77,N77,Q77)</f>
        <v>4149.5573754980078</v>
      </c>
      <c r="S77" s="426">
        <f>SUM(F77,I77,L77,O77)</f>
        <v>2</v>
      </c>
      <c r="T77" s="458">
        <f>IF(S77&gt;0,R77/S77,0)</f>
        <v>2074.7786877490039</v>
      </c>
    </row>
    <row r="78" spans="1:21" ht="18" x14ac:dyDescent="0.25">
      <c r="A78" s="963" t="s">
        <v>200</v>
      </c>
      <c r="B78" s="963"/>
      <c r="C78" s="963"/>
      <c r="D78" s="963"/>
      <c r="E78" s="964"/>
      <c r="F78" s="454">
        <f>IF(AND(H$3="K",$D$76="Myynti-syntyy tuloja"),F63,0)</f>
        <v>0</v>
      </c>
      <c r="G78" s="280"/>
      <c r="H78" s="455">
        <f>IF(AND(H$3="K",$D$76="Myynti-syntyy tuloja"),H64,0)</f>
        <v>0</v>
      </c>
      <c r="I78" s="454">
        <f>IF(AND(K$3="K",$D$76="Myynti-syntyy tuloja"),I63,0)</f>
        <v>0</v>
      </c>
      <c r="J78" s="280"/>
      <c r="K78" s="455">
        <f>IF(AND(K$3="K",$D$76="Myynti-syntyy tuloja"),K64,0)</f>
        <v>0</v>
      </c>
      <c r="L78" s="454">
        <f>IF(AND(N$3="K",$D$76="Myynti-syntyy tuloja"),L63,0)</f>
        <v>0</v>
      </c>
      <c r="M78" s="280"/>
      <c r="N78" s="455">
        <f>IF(AND(N$3="K",$D$76="Myynti-syntyy tuloja"),N64,0)</f>
        <v>0</v>
      </c>
      <c r="O78" s="454">
        <f>IF(AND(Q$3="K",$D$76="Myynti-syntyy tuloja"),O63,0)</f>
        <v>0</v>
      </c>
      <c r="P78" s="280"/>
      <c r="Q78" s="455">
        <f>IF(AND(Q$3="K",$D$76="Myynti-syntyy tuloja"),Q64,0)</f>
        <v>0</v>
      </c>
      <c r="R78" s="465">
        <f>SUM(H78,K78,N78,Q78)</f>
        <v>0</v>
      </c>
      <c r="S78" s="426"/>
      <c r="T78" s="458"/>
    </row>
    <row r="79" spans="1:21" ht="18" x14ac:dyDescent="0.25">
      <c r="A79" s="504" t="s">
        <v>201</v>
      </c>
      <c r="B79" s="503"/>
      <c r="C79" s="503"/>
      <c r="D79" s="503"/>
      <c r="E79" s="507"/>
      <c r="F79" s="505"/>
      <c r="G79" s="313"/>
      <c r="H79" s="456">
        <f>SUM(H77:H78)</f>
        <v>57.447136454183266</v>
      </c>
      <c r="I79" s="505"/>
      <c r="J79" s="313"/>
      <c r="K79" s="456">
        <f>SUM(K77:K78)</f>
        <v>4092.1102390438245</v>
      </c>
      <c r="L79" s="505"/>
      <c r="M79" s="313"/>
      <c r="N79" s="456">
        <f>SUM(N77:N78)</f>
        <v>0</v>
      </c>
      <c r="O79" s="505"/>
      <c r="P79" s="313"/>
      <c r="Q79" s="456">
        <f>SUM(Q77:Q78)</f>
        <v>0</v>
      </c>
      <c r="R79" s="465">
        <f t="shared" si="12"/>
        <v>4149.5573754980078</v>
      </c>
      <c r="S79" s="506">
        <f>$S$77</f>
        <v>2</v>
      </c>
      <c r="T79" s="458">
        <f>IF(S79&gt;0,R79/S79,0)</f>
        <v>2074.7786877490039</v>
      </c>
    </row>
    <row r="80" spans="1:21" ht="33.75" customHeight="1" x14ac:dyDescent="0.25">
      <c r="A80" s="962" t="s">
        <v>202</v>
      </c>
      <c r="B80" s="962"/>
      <c r="C80" s="962"/>
      <c r="D80" s="962"/>
      <c r="E80" s="586"/>
      <c r="F80" s="585">
        <f>IF(H$3="K",$F$59,0)</f>
        <v>1</v>
      </c>
      <c r="G80" s="315">
        <f>IF(H$3="K",'Traktorin tuntihinta ketju 1'!U30,0)</f>
        <v>25.425000000000001</v>
      </c>
      <c r="H80" s="455">
        <f>F80*G80</f>
        <v>25.425000000000001</v>
      </c>
      <c r="I80" s="454">
        <f>IF(K$3="K",$F$59,0)</f>
        <v>1</v>
      </c>
      <c r="J80" s="315">
        <f>IF(K3="K",'Traktorin tuntihinta ketju 2'!U30,0)</f>
        <v>3501.5699999999997</v>
      </c>
      <c r="K80" s="455">
        <f>I80*J80</f>
        <v>3501.5699999999997</v>
      </c>
      <c r="L80" s="454">
        <f>IF(N$3="K",$F$59,0)</f>
        <v>0</v>
      </c>
      <c r="M80" s="315">
        <f>IF(N3="K",'Traktorin tuntihinta ketju 3'!U30,0)</f>
        <v>0</v>
      </c>
      <c r="N80" s="455">
        <f>L80*M80</f>
        <v>0</v>
      </c>
      <c r="O80" s="454">
        <f>IF(Q$3="K",$F$59,0)</f>
        <v>0</v>
      </c>
      <c r="P80" s="315">
        <f>IF(Q3="K",'Traktorin tuntihinta ketju 4'!U30,0)</f>
        <v>0</v>
      </c>
      <c r="Q80" s="455">
        <f>O80*P80</f>
        <v>0</v>
      </c>
      <c r="R80" s="465">
        <f t="shared" si="12"/>
        <v>3526.9949999999999</v>
      </c>
      <c r="S80" s="506">
        <f>$S$77</f>
        <v>2</v>
      </c>
      <c r="T80" s="458">
        <f>IF(S80&gt;0,R80/S80,0)</f>
        <v>1763.4974999999999</v>
      </c>
    </row>
    <row r="81" spans="1:20" ht="18" x14ac:dyDescent="0.25">
      <c r="A81" s="965" t="s">
        <v>203</v>
      </c>
      <c r="B81" s="965"/>
      <c r="C81" s="965"/>
      <c r="D81" s="965"/>
      <c r="E81" s="966"/>
      <c r="F81" s="454">
        <f>IF(H3="K",F63,0)</f>
        <v>0</v>
      </c>
      <c r="G81" s="315"/>
      <c r="H81" s="455">
        <f>H63</f>
        <v>0</v>
      </c>
      <c r="I81" s="454">
        <f>IF(K3="K",I63,0)</f>
        <v>0</v>
      </c>
      <c r="J81" s="315"/>
      <c r="K81" s="455">
        <f>K63</f>
        <v>0</v>
      </c>
      <c r="L81" s="454">
        <f>IF(N3="K",L63,0)</f>
        <v>0</v>
      </c>
      <c r="M81" s="315"/>
      <c r="N81" s="455">
        <f>N63</f>
        <v>0</v>
      </c>
      <c r="O81" s="454">
        <f>IF(Q3="K",O63,0)</f>
        <v>0</v>
      </c>
      <c r="P81" s="315"/>
      <c r="Q81" s="455">
        <f>Q63</f>
        <v>0</v>
      </c>
      <c r="R81" s="465">
        <f t="shared" si="12"/>
        <v>0</v>
      </c>
      <c r="S81" s="506"/>
      <c r="T81" s="458"/>
    </row>
    <row r="82" spans="1:20" ht="18" x14ac:dyDescent="0.25">
      <c r="A82" s="279" t="s">
        <v>204</v>
      </c>
      <c r="F82" s="454"/>
      <c r="G82" s="313"/>
      <c r="H82" s="456">
        <f>H79-H80-H81</f>
        <v>32.022136454183268</v>
      </c>
      <c r="I82" s="454"/>
      <c r="J82" s="313"/>
      <c r="K82" s="456">
        <f>K79-K80-K81</f>
        <v>590.54023904382484</v>
      </c>
      <c r="L82" s="454"/>
      <c r="M82" s="313"/>
      <c r="N82" s="456">
        <f>N79-N80-N81</f>
        <v>0</v>
      </c>
      <c r="O82" s="454"/>
      <c r="P82" s="313"/>
      <c r="Q82" s="456">
        <f>Q79-Q80-Q81</f>
        <v>0</v>
      </c>
      <c r="R82" s="465">
        <f t="shared" si="12"/>
        <v>622.56237549800812</v>
      </c>
      <c r="S82" s="506">
        <f t="shared" ref="S82:S88" si="13">$S$77</f>
        <v>2</v>
      </c>
      <c r="T82" s="458">
        <f>IF(S82&gt;0,R82/S82,0)</f>
        <v>311.28118774900406</v>
      </c>
    </row>
    <row r="83" spans="1:20" ht="18" x14ac:dyDescent="0.25">
      <c r="A83" s="470" t="s">
        <v>205</v>
      </c>
      <c r="F83" s="472">
        <f>IF(H3="K",F$59,0)</f>
        <v>1</v>
      </c>
      <c r="G83" s="473">
        <f>IF(H3="K",H37,0)</f>
        <v>25</v>
      </c>
      <c r="H83" s="474">
        <f>F83*G83</f>
        <v>25</v>
      </c>
      <c r="I83" s="472">
        <f>IF(K3="K",I$59,0)</f>
        <v>1</v>
      </c>
      <c r="J83" s="473">
        <f>K37</f>
        <v>1043.4881109561752</v>
      </c>
      <c r="K83" s="474">
        <f>I83*J83</f>
        <v>1043.4881109561752</v>
      </c>
      <c r="L83" s="472">
        <f>IF(N3="K",L$59,0)</f>
        <v>0</v>
      </c>
      <c r="M83" s="473">
        <f>N37</f>
        <v>0</v>
      </c>
      <c r="N83" s="474">
        <f>L83*M83</f>
        <v>0</v>
      </c>
      <c r="O83" s="472">
        <f>IF(Q3="K",O$59,0)</f>
        <v>0</v>
      </c>
      <c r="P83" s="473">
        <f>Q37</f>
        <v>0</v>
      </c>
      <c r="Q83" s="474">
        <f>O83*P83</f>
        <v>0</v>
      </c>
      <c r="R83" s="465">
        <f t="shared" si="12"/>
        <v>1068.4881109561752</v>
      </c>
      <c r="S83" s="506">
        <f t="shared" si="13"/>
        <v>2</v>
      </c>
      <c r="T83" s="458">
        <f t="shared" ref="T83:T86" si="14">IF(S83&gt;0,R83/S83,0)</f>
        <v>534.2440554780876</v>
      </c>
    </row>
    <row r="84" spans="1:20" ht="18" x14ac:dyDescent="0.25">
      <c r="A84" s="470" t="s">
        <v>206</v>
      </c>
      <c r="F84" s="454">
        <f>IF(H$3="K",F$59,0)</f>
        <v>1</v>
      </c>
      <c r="G84" s="315">
        <f>IF(H3="K",'Traktorin tuntihinta ketju 1'!U22,0)</f>
        <v>7.0221364541832667</v>
      </c>
      <c r="H84" s="455">
        <f>F84*G84</f>
        <v>7.0221364541832667</v>
      </c>
      <c r="I84" s="454">
        <f>IF(K$3="K",I$59,0)</f>
        <v>1</v>
      </c>
      <c r="J84" s="315">
        <f>IF(K3="K",'Traktorin tuntihinta ketju 2'!U22,0)</f>
        <v>590.54023904382473</v>
      </c>
      <c r="K84" s="455">
        <f>I84*J84</f>
        <v>590.54023904382473</v>
      </c>
      <c r="L84" s="454">
        <f>IF(N$3="K",L$59,0)</f>
        <v>0</v>
      </c>
      <c r="M84" s="315">
        <f>IF(N3="K",'Traktorin tuntihinta ketju 3'!U22,0)</f>
        <v>0</v>
      </c>
      <c r="N84" s="455">
        <f>L84*M84</f>
        <v>0</v>
      </c>
      <c r="O84" s="454">
        <f>IF(Q$3="K",O$59,0)</f>
        <v>0</v>
      </c>
      <c r="P84" s="315">
        <f>IF(Q3="K",'Traktorin tuntihinta ketju 4'!U22,0)</f>
        <v>0</v>
      </c>
      <c r="Q84" s="455">
        <f>O84*P84</f>
        <v>0</v>
      </c>
      <c r="R84" s="465">
        <f t="shared" si="12"/>
        <v>597.56237549800801</v>
      </c>
      <c r="S84" s="506">
        <f t="shared" si="13"/>
        <v>2</v>
      </c>
      <c r="T84" s="458">
        <f t="shared" si="14"/>
        <v>298.781187749004</v>
      </c>
    </row>
    <row r="85" spans="1:20" ht="18" x14ac:dyDescent="0.25">
      <c r="A85" s="470" t="s">
        <v>113</v>
      </c>
      <c r="F85" s="454"/>
      <c r="G85" s="315"/>
      <c r="H85" s="457">
        <v>0</v>
      </c>
      <c r="I85" s="454"/>
      <c r="J85" s="315"/>
      <c r="K85" s="457"/>
      <c r="L85" s="454"/>
      <c r="M85" s="315"/>
      <c r="N85" s="457"/>
      <c r="O85" s="454"/>
      <c r="P85" s="315"/>
      <c r="Q85" s="457"/>
      <c r="R85" s="465">
        <f t="shared" si="12"/>
        <v>0</v>
      </c>
      <c r="S85" s="506">
        <f t="shared" si="13"/>
        <v>2</v>
      </c>
      <c r="T85" s="458">
        <f t="shared" si="14"/>
        <v>0</v>
      </c>
    </row>
    <row r="86" spans="1:20" ht="18" x14ac:dyDescent="0.25">
      <c r="A86" s="470" t="s">
        <v>207</v>
      </c>
      <c r="F86" s="454"/>
      <c r="G86" s="313"/>
      <c r="H86" s="456">
        <f>IF(H3="K",H82-H83-H84-H85,0)</f>
        <v>1.7763568394002505E-15</v>
      </c>
      <c r="I86" s="454"/>
      <c r="J86" s="313"/>
      <c r="K86" s="456">
        <f>K82-K83-K84-K85</f>
        <v>-1043.4881109561752</v>
      </c>
      <c r="L86" s="454"/>
      <c r="M86" s="313"/>
      <c r="N86" s="456">
        <f>N82-N83-N84-N85</f>
        <v>0</v>
      </c>
      <c r="O86" s="454"/>
      <c r="P86" s="313"/>
      <c r="Q86" s="456">
        <f>Q82-Q83-Q84-Q85</f>
        <v>0</v>
      </c>
      <c r="R86" s="465">
        <f t="shared" si="12"/>
        <v>-1043.4881109561752</v>
      </c>
      <c r="S86" s="506">
        <f t="shared" si="13"/>
        <v>2</v>
      </c>
      <c r="T86" s="458">
        <f t="shared" si="14"/>
        <v>-521.7440554780876</v>
      </c>
    </row>
    <row r="87" spans="1:20" ht="18" x14ac:dyDescent="0.25">
      <c r="A87" s="470" t="s">
        <v>208</v>
      </c>
      <c r="F87" s="454"/>
      <c r="G87" s="427">
        <v>0.2</v>
      </c>
      <c r="H87" s="458">
        <f>IF(H86&gt;0,G87*H86,0)</f>
        <v>3.5527136788005011E-16</v>
      </c>
      <c r="I87" s="454"/>
      <c r="J87" s="427">
        <f>G87</f>
        <v>0.2</v>
      </c>
      <c r="K87" s="458"/>
      <c r="L87" s="454"/>
      <c r="M87" s="427">
        <f>J87</f>
        <v>0.2</v>
      </c>
      <c r="N87" s="458">
        <f>M87*N86</f>
        <v>0</v>
      </c>
      <c r="O87" s="454"/>
      <c r="P87" s="427">
        <f>M87</f>
        <v>0.2</v>
      </c>
      <c r="Q87" s="458">
        <f>P87*Q86</f>
        <v>0</v>
      </c>
      <c r="R87" s="465">
        <f t="shared" ref="R87:R88" si="15">SUM(H87,K87,N87,Q87)</f>
        <v>3.5527136788005011E-16</v>
      </c>
      <c r="S87" s="506">
        <f t="shared" si="13"/>
        <v>2</v>
      </c>
      <c r="T87" s="458">
        <f>IF(S87&gt;0,R87/S87,0)</f>
        <v>1.7763568394002506E-16</v>
      </c>
    </row>
    <row r="88" spans="1:20" ht="18.75" thickBot="1" x14ac:dyDescent="0.3">
      <c r="A88" s="279" t="s">
        <v>209</v>
      </c>
      <c r="F88" s="459"/>
      <c r="G88" s="460"/>
      <c r="H88" s="461">
        <f>H86-H87</f>
        <v>1.4210854715202005E-15</v>
      </c>
      <c r="I88" s="459"/>
      <c r="J88" s="460"/>
      <c r="K88" s="461">
        <f>K86-K87</f>
        <v>-1043.4881109561752</v>
      </c>
      <c r="L88" s="459"/>
      <c r="M88" s="460"/>
      <c r="N88" s="461">
        <f>N86-N87</f>
        <v>0</v>
      </c>
      <c r="O88" s="459"/>
      <c r="P88" s="460"/>
      <c r="Q88" s="461">
        <f>Q86-Q87</f>
        <v>0</v>
      </c>
      <c r="R88" s="466">
        <f t="shared" si="15"/>
        <v>-1043.4881109561752</v>
      </c>
      <c r="S88" s="508">
        <f t="shared" si="13"/>
        <v>2</v>
      </c>
      <c r="T88" s="467">
        <f>R88/S88</f>
        <v>-521.7440554780876</v>
      </c>
    </row>
    <row r="90" spans="1:20" x14ac:dyDescent="0.2">
      <c r="F90" s="422"/>
    </row>
    <row r="92" spans="1:20" ht="20.25" x14ac:dyDescent="0.3">
      <c r="A92" s="421"/>
      <c r="B92" s="471"/>
      <c r="F92" s="422"/>
    </row>
    <row r="115" spans="9:17" ht="20.25" x14ac:dyDescent="0.3">
      <c r="I115" s="421"/>
    </row>
    <row r="117" spans="9:17" x14ac:dyDescent="0.2">
      <c r="I117" s="154"/>
      <c r="N117" s="422"/>
      <c r="Q117" s="422"/>
    </row>
    <row r="118" spans="9:17" x14ac:dyDescent="0.2">
      <c r="I118" s="154"/>
      <c r="N118" s="423"/>
      <c r="Q118" s="423"/>
    </row>
  </sheetData>
  <sheetProtection algorithmName="SHA-512" hashValue="R7IvyromQVSnyS7sHeT8QlCNyqrsHW+uHuWt5cZMXogbU6avgJWmL2zIW/XbV4dxROxjLuAnKI/vhRvVji6TNA==" saltValue="w8SKzzR24Y7yiPz2Zf6HYA==" spinCount="100000" sheet="1" formatCells="0" formatColumns="0" formatRows="0"/>
  <mergeCells count="51">
    <mergeCell ref="D76:E76"/>
    <mergeCell ref="A80:D80"/>
    <mergeCell ref="A78:E78"/>
    <mergeCell ref="A81:E81"/>
    <mergeCell ref="R4:X6"/>
    <mergeCell ref="A60:E60"/>
    <mergeCell ref="A64:E65"/>
    <mergeCell ref="O75:Q75"/>
    <mergeCell ref="O72:P72"/>
    <mergeCell ref="O73:P73"/>
    <mergeCell ref="O74:P74"/>
    <mergeCell ref="I70:M70"/>
    <mergeCell ref="I71:M71"/>
    <mergeCell ref="I72:M72"/>
    <mergeCell ref="I73:M73"/>
    <mergeCell ref="I74:M74"/>
    <mergeCell ref="O42:P42"/>
    <mergeCell ref="Q4:Q6"/>
    <mergeCell ref="O69:P69"/>
    <mergeCell ref="O70:P70"/>
    <mergeCell ref="O71:P71"/>
    <mergeCell ref="H4:H6"/>
    <mergeCell ref="K4:K6"/>
    <mergeCell ref="N4:N6"/>
    <mergeCell ref="I42:J42"/>
    <mergeCell ref="L42:M42"/>
    <mergeCell ref="A5:G5"/>
    <mergeCell ref="F42:G42"/>
    <mergeCell ref="A48:E48"/>
    <mergeCell ref="A49:E49"/>
    <mergeCell ref="A50:E50"/>
    <mergeCell ref="A44:E44"/>
    <mergeCell ref="A45:E45"/>
    <mergeCell ref="A46:E46"/>
    <mergeCell ref="A47:E47"/>
    <mergeCell ref="L75:N75"/>
    <mergeCell ref="I69:M69"/>
    <mergeCell ref="A69:H74"/>
    <mergeCell ref="A51:E51"/>
    <mergeCell ref="A61:E61"/>
    <mergeCell ref="A62:E62"/>
    <mergeCell ref="F75:H75"/>
    <mergeCell ref="I75:K75"/>
    <mergeCell ref="A68:H68"/>
    <mergeCell ref="A57:E57"/>
    <mergeCell ref="A58:E58"/>
    <mergeCell ref="A52:E52"/>
    <mergeCell ref="A53:E53"/>
    <mergeCell ref="A54:E54"/>
    <mergeCell ref="A55:E55"/>
    <mergeCell ref="A56:E56"/>
  </mergeCells>
  <phoneticPr fontId="7" type="noConversion"/>
  <pageMargins left="0.7" right="0.7" top="0.75" bottom="0.75" header="0.3" footer="0.3"/>
  <pageSetup paperSize="9" scale="53" orientation="landscape" horizontalDpi="4294967293" verticalDpi="4294967293" r:id="rId1"/>
  <rowBreaks count="1" manualBreakCount="1">
    <brk id="67" max="20" man="1"/>
  </rowBreaks>
  <colBreaks count="1" manualBreakCount="1">
    <brk id="1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Laskentayksikot!$B$2:$B$14</xm:f>
          </x14:formula1>
          <xm:sqref>O70:O74</xm:sqref>
        </x14:dataValidation>
        <x14:dataValidation type="list" allowBlank="1" showInputMessage="1" showErrorMessage="1" xr:uid="{38DF5F2A-60B0-4226-8A69-6CE1A129980C}">
          <x14:formula1>
            <xm:f>Laskentayksikot!$E$2:$E$3</xm:f>
          </x14:formula1>
          <xm:sqref>H3 K3 N3 Q3</xm:sqref>
        </x14:dataValidation>
        <x14:dataValidation type="list" allowBlank="1" showInputMessage="1" showErrorMessage="1" xr:uid="{3037E91A-3236-4CA9-A788-53FFD50EE6D8}">
          <x14:formula1>
            <xm:f>Laskentayksikot!$E$11:$E$12</xm:f>
          </x14:formula1>
          <xm:sqref>D76:E76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27</vt:i4>
      </vt:variant>
      <vt:variant>
        <vt:lpstr>Nimetyt alueet</vt:lpstr>
      </vt:variant>
      <vt:variant>
        <vt:i4>27</vt:i4>
      </vt:variant>
    </vt:vector>
  </HeadingPairs>
  <TitlesOfParts>
    <vt:vector size="54" baseType="lpstr">
      <vt:lpstr>Ohjeet Metsä</vt:lpstr>
      <vt:lpstr>Ohjeet</vt:lpstr>
      <vt:lpstr>Ohjeet Tie</vt:lpstr>
      <vt:lpstr>Laskentayksikot</vt:lpstr>
      <vt:lpstr>Traktorin tuntihinta ketju 1</vt:lpstr>
      <vt:lpstr>Traktorin tuntihinta ketju 2</vt:lpstr>
      <vt:lpstr>Traktorin tuntihinta ketju 3</vt:lpstr>
      <vt:lpstr>Traktorin tuntihinta ketju 4</vt:lpstr>
      <vt:lpstr>Koneketjujen ketjutus</vt:lpstr>
      <vt:lpstr>Traktorin tuntihinta tieketju 1</vt:lpstr>
      <vt:lpstr>Traktorin tuntihinta tieketju 2</vt:lpstr>
      <vt:lpstr>Traktorin tuntihinta tieketju 3</vt:lpstr>
      <vt:lpstr>Traktorin tuntihinta tieketju 4</vt:lpstr>
      <vt:lpstr>Koneketjujen ketjutus Tieketju</vt:lpstr>
      <vt:lpstr>Kurottaja</vt:lpstr>
      <vt:lpstr>Puimuri</vt:lpstr>
      <vt:lpstr>Viljan kuivurilaskuri 1</vt:lpstr>
      <vt:lpstr>Metsäkone (moto)</vt:lpstr>
      <vt:lpstr>Metsäkone (ajokone)</vt:lpstr>
      <vt:lpstr>Metsäkone (ajokone 2)</vt:lpstr>
      <vt:lpstr>Metsäkoneketjujen ketjutus </vt:lpstr>
      <vt:lpstr>Kaivuri</vt:lpstr>
      <vt:lpstr>Auto</vt:lpstr>
      <vt:lpstr>Työpäivien lkm</vt:lpstr>
      <vt:lpstr>Ajoleikkuri</vt:lpstr>
      <vt:lpstr>Mönkijä</vt:lpstr>
      <vt:lpstr>Moottorikelkka</vt:lpstr>
      <vt:lpstr>'Viljan kuivurilaskuri 1'!_2._Kuivurin_kokolaskuri</vt:lpstr>
      <vt:lpstr>'Viljan kuivurilaskuri 1'!_3._Kuivurin_ajankäyttölaskuri</vt:lpstr>
      <vt:lpstr>'Viljan kuivurilaskuri 1'!_4._Viljankuivauksen_polttoöljyn_tarvelaskenta_kuivurille_koko_vuosi</vt:lpstr>
      <vt:lpstr>'Viljan kuivurilaskuri 1'!Aikaa_kuivaamiseen_kuluu_h___kuivauserä</vt:lpstr>
      <vt:lpstr>'Viljan kuivurilaskuri 1'!Ajankäyttölaskurille</vt:lpstr>
      <vt:lpstr>'Viljan kuivurilaskuri 1'!Kokolaskuri</vt:lpstr>
      <vt:lpstr>'Viljan kuivurilaskuri 1'!Litraa_kuivaustunti</vt:lpstr>
      <vt:lpstr>'Viljan kuivurilaskuri 1'!Sähkömoottorin_teho_kW</vt:lpstr>
      <vt:lpstr>Auto!Tulostusalue</vt:lpstr>
      <vt:lpstr>Kaivuri!Tulostusalue</vt:lpstr>
      <vt:lpstr>'Koneketjujen ketjutus'!Tulostusalue</vt:lpstr>
      <vt:lpstr>'Koneketjujen ketjutus Tieketju'!Tulostusalue</vt:lpstr>
      <vt:lpstr>'Metsäkone (ajokone 2)'!Tulostusalue</vt:lpstr>
      <vt:lpstr>'Metsäkone (ajokone)'!Tulostusalue</vt:lpstr>
      <vt:lpstr>'Metsäkone (moto)'!Tulostusalue</vt:lpstr>
      <vt:lpstr>Puimuri!Tulostusalue</vt:lpstr>
      <vt:lpstr>'Traktorin tuntihinta ketju 1'!Tulostusalue</vt:lpstr>
      <vt:lpstr>'Traktorin tuntihinta ketju 2'!Tulostusalue</vt:lpstr>
      <vt:lpstr>'Traktorin tuntihinta ketju 3'!Tulostusalue</vt:lpstr>
      <vt:lpstr>'Traktorin tuntihinta ketju 4'!Tulostusalue</vt:lpstr>
      <vt:lpstr>'Traktorin tuntihinta tieketju 1'!Tulostusalue</vt:lpstr>
      <vt:lpstr>'Traktorin tuntihinta tieketju 2'!Tulostusalue</vt:lpstr>
      <vt:lpstr>'Traktorin tuntihinta tieketju 3'!Tulostusalue</vt:lpstr>
      <vt:lpstr>'Traktorin tuntihinta tieketju 4'!Tulostusalue</vt:lpstr>
      <vt:lpstr>'Työpäivien lkm'!Tulostusalue</vt:lpstr>
      <vt:lpstr>'Viljan kuivurilaskuri 1'!Tulostusalue</vt:lpstr>
      <vt:lpstr>yksikot</vt:lpstr>
    </vt:vector>
  </TitlesOfParts>
  <Manager/>
  <Company>sakky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Mika Mujunen</dc:creator>
  <cp:keywords/>
  <dc:description/>
  <cp:lastModifiedBy>Mujunen Mika</cp:lastModifiedBy>
  <cp:revision/>
  <dcterms:created xsi:type="dcterms:W3CDTF">2005-01-12T07:11:33Z</dcterms:created>
  <dcterms:modified xsi:type="dcterms:W3CDTF">2025-05-02T08:23:58Z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ulkaisija">
    <vt:lpwstr>Mika Mujunen</vt:lpwstr>
  </property>
</Properties>
</file>