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edusakky-my.sharepoint.com/personal/mika_mujunen_sakky_fi/Documents/Työ Sakky/opetus/Luennot/Talousluennot Merkonomi/Kirjanpito/"/>
    </mc:Choice>
  </mc:AlternateContent>
  <xr:revisionPtr revIDLastSave="0" documentId="8_{34B409E2-857F-4EAB-9B52-2904BED48D12}" xr6:coauthVersionLast="47" xr6:coauthVersionMax="47" xr10:uidLastSave="{00000000-0000-0000-0000-000000000000}"/>
  <bookViews>
    <workbookView xWindow="38280" yWindow="-120" windowWidth="29040" windowHeight="15720" xr2:uid="{8748654C-9B93-43A1-A4F1-7A816D58A429}"/>
  </bookViews>
  <sheets>
    <sheet name="Pikaohjeet" sheetId="4" r:id="rId1"/>
    <sheet name="2KP perusidea tee videolta" sheetId="16" r:id="rId2"/>
    <sheet name="2KP perusidea open kirjaukset" sheetId="11" r:id="rId3"/>
    <sheet name="Esimerkki Ope" sheetId="6" state="hidden" r:id="rId4"/>
    <sheet name="2KP Kirjanpito oma" sheetId="8" r:id="rId5"/>
    <sheet name="2 KP Kirjanpito oma (2)" sheetId="15" r:id="rId6"/>
    <sheet name="Apulaskentaa" sheetId="7" r:id="rId7"/>
    <sheet name="Tilikartta" sheetId="1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7" i="6" l="1"/>
  <c r="D63" i="16"/>
  <c r="D64" i="16" s="1"/>
  <c r="R31" i="16" s="1"/>
  <c r="G62" i="16"/>
  <c r="G63" i="16" s="1"/>
  <c r="G64" i="16" s="1"/>
  <c r="G59" i="16"/>
  <c r="G60" i="16" s="1"/>
  <c r="I60" i="16" s="1"/>
  <c r="J60" i="16" s="1"/>
  <c r="I58" i="16"/>
  <c r="J58" i="16" s="1"/>
  <c r="G55" i="16"/>
  <c r="G56" i="16" s="1"/>
  <c r="I54" i="16"/>
  <c r="J54" i="16" s="1"/>
  <c r="D54" i="16"/>
  <c r="D55" i="16" s="1"/>
  <c r="D56" i="16" s="1"/>
  <c r="D57" i="16" s="1"/>
  <c r="D58" i="16" s="1"/>
  <c r="D59" i="16" s="1"/>
  <c r="J53" i="16"/>
  <c r="I53" i="16"/>
  <c r="P47" i="16"/>
  <c r="P48" i="16" s="1"/>
  <c r="O47" i="16"/>
  <c r="O48" i="16" s="1"/>
  <c r="M47" i="16"/>
  <c r="M48" i="16" s="1"/>
  <c r="L47" i="16"/>
  <c r="J47" i="16"/>
  <c r="I47" i="16"/>
  <c r="G47" i="16"/>
  <c r="F47" i="16"/>
  <c r="O36" i="16"/>
  <c r="L36" i="16"/>
  <c r="I36" i="16"/>
  <c r="F36" i="16"/>
  <c r="M32" i="16"/>
  <c r="L32" i="16"/>
  <c r="J32" i="16"/>
  <c r="I32" i="16"/>
  <c r="G32" i="16"/>
  <c r="F32" i="16"/>
  <c r="F33" i="16" s="1"/>
  <c r="R29" i="16"/>
  <c r="R28" i="16"/>
  <c r="R27" i="16"/>
  <c r="U24" i="16"/>
  <c r="AA22" i="16"/>
  <c r="O22" i="16"/>
  <c r="L22" i="16"/>
  <c r="I22" i="16"/>
  <c r="F22" i="16"/>
  <c r="Q17" i="16"/>
  <c r="P17" i="16"/>
  <c r="O17" i="16"/>
  <c r="O18" i="16" s="1"/>
  <c r="M17" i="16"/>
  <c r="L17" i="16"/>
  <c r="L18" i="16" s="1"/>
  <c r="J17" i="16"/>
  <c r="I17" i="16"/>
  <c r="I18" i="16" s="1"/>
  <c r="F17" i="16"/>
  <c r="U14" i="16"/>
  <c r="U13" i="16"/>
  <c r="U12" i="16"/>
  <c r="U11" i="16"/>
  <c r="R8" i="16"/>
  <c r="R7" i="16"/>
  <c r="F62" i="16"/>
  <c r="G17" i="16" s="1"/>
  <c r="R6" i="16"/>
  <c r="R5" i="16"/>
  <c r="Q4" i="16"/>
  <c r="O4" i="16"/>
  <c r="L4" i="16"/>
  <c r="I4" i="16"/>
  <c r="F4" i="16"/>
  <c r="F62" i="11"/>
  <c r="AA22" i="11"/>
  <c r="I32" i="11"/>
  <c r="G32" i="11"/>
  <c r="F32" i="11"/>
  <c r="M17" i="11"/>
  <c r="J17" i="11"/>
  <c r="I17" i="11"/>
  <c r="P47" i="11"/>
  <c r="O47" i="11"/>
  <c r="M47" i="11"/>
  <c r="J47" i="11"/>
  <c r="F47" i="11"/>
  <c r="F165" i="15"/>
  <c r="I159" i="15"/>
  <c r="L159" i="15" s="1"/>
  <c r="I158" i="15"/>
  <c r="L158" i="15" s="1"/>
  <c r="L157" i="15"/>
  <c r="I157" i="15"/>
  <c r="K157" i="15" s="1"/>
  <c r="K156" i="15"/>
  <c r="I156" i="15"/>
  <c r="L156" i="15" s="1"/>
  <c r="I155" i="15"/>
  <c r="L155" i="15" s="1"/>
  <c r="L154" i="15"/>
  <c r="I154" i="15"/>
  <c r="K154" i="15" s="1"/>
  <c r="L153" i="15"/>
  <c r="K153" i="15"/>
  <c r="I153" i="15"/>
  <c r="L152" i="15"/>
  <c r="K152" i="15"/>
  <c r="I152" i="15"/>
  <c r="I151" i="15"/>
  <c r="L151" i="15" s="1"/>
  <c r="L150" i="15"/>
  <c r="I150" i="15"/>
  <c r="K150" i="15" s="1"/>
  <c r="L149" i="15"/>
  <c r="K149" i="15"/>
  <c r="I149" i="15"/>
  <c r="L148" i="15"/>
  <c r="K148" i="15"/>
  <c r="I148" i="15"/>
  <c r="I147" i="15"/>
  <c r="L147" i="15" s="1"/>
  <c r="L146" i="15"/>
  <c r="I146" i="15"/>
  <c r="K146" i="15" s="1"/>
  <c r="L145" i="15"/>
  <c r="K145" i="15"/>
  <c r="I145" i="15"/>
  <c r="L144" i="15"/>
  <c r="K144" i="15"/>
  <c r="I144" i="15"/>
  <c r="D122" i="15"/>
  <c r="D123" i="15" s="1"/>
  <c r="D124" i="15" s="1"/>
  <c r="D125" i="15" s="1"/>
  <c r="D126" i="15" s="1"/>
  <c r="D127" i="15" s="1"/>
  <c r="D128" i="15" s="1"/>
  <c r="D129" i="15" s="1"/>
  <c r="D130" i="15" s="1"/>
  <c r="D131" i="15" s="1"/>
  <c r="D132" i="15" s="1"/>
  <c r="D133" i="15" s="1"/>
  <c r="D134" i="15" s="1"/>
  <c r="D135" i="15" s="1"/>
  <c r="D136" i="15" s="1"/>
  <c r="D137" i="15" s="1"/>
  <c r="D138" i="15" s="1"/>
  <c r="D139" i="15" s="1"/>
  <c r="D140" i="15" s="1"/>
  <c r="D141" i="15" s="1"/>
  <c r="D142" i="15" s="1"/>
  <c r="D144" i="15" s="1"/>
  <c r="D145" i="15" s="1"/>
  <c r="D146" i="15" s="1"/>
  <c r="D147" i="15" s="1"/>
  <c r="D148" i="15" s="1"/>
  <c r="D149" i="15" s="1"/>
  <c r="D150" i="15" s="1"/>
  <c r="D151" i="15" s="1"/>
  <c r="D152" i="15" s="1"/>
  <c r="D153" i="15" s="1"/>
  <c r="D154" i="15" s="1"/>
  <c r="D155" i="15" s="1"/>
  <c r="D156" i="15" s="1"/>
  <c r="D157" i="15" s="1"/>
  <c r="D158" i="15" s="1"/>
  <c r="D159" i="15" s="1"/>
  <c r="L121" i="15"/>
  <c r="I121" i="15"/>
  <c r="K121" i="15" s="1"/>
  <c r="H121" i="15"/>
  <c r="H122" i="15" s="1"/>
  <c r="D121" i="15"/>
  <c r="I120" i="15"/>
  <c r="L120" i="15" s="1"/>
  <c r="D120" i="15"/>
  <c r="I119" i="15"/>
  <c r="X114" i="15"/>
  <c r="AI68" i="15" s="1"/>
  <c r="U114" i="15"/>
  <c r="AI66" i="15" s="1"/>
  <c r="AV59" i="15" s="1"/>
  <c r="T114" i="15"/>
  <c r="R114" i="15"/>
  <c r="H114" i="15"/>
  <c r="AJ44" i="15" s="1"/>
  <c r="AV48" i="15" s="1"/>
  <c r="AD113" i="15"/>
  <c r="AD114" i="15" s="1"/>
  <c r="AI72" i="15" s="1"/>
  <c r="AV60" i="15" s="1"/>
  <c r="AC113" i="15"/>
  <c r="AC114" i="15" s="1"/>
  <c r="AA113" i="15"/>
  <c r="AA114" i="15" s="1"/>
  <c r="Z113" i="15"/>
  <c r="X113" i="15"/>
  <c r="W113" i="15"/>
  <c r="W114" i="15" s="1"/>
  <c r="U113" i="15"/>
  <c r="T113" i="15"/>
  <c r="R113" i="15"/>
  <c r="Q113" i="15"/>
  <c r="Q114" i="15" s="1"/>
  <c r="AI64" i="15" s="1"/>
  <c r="O113" i="15"/>
  <c r="O114" i="15" s="1"/>
  <c r="N113" i="15"/>
  <c r="L113" i="15"/>
  <c r="L114" i="15" s="1"/>
  <c r="AI63" i="15" s="1"/>
  <c r="AV56" i="15" s="1"/>
  <c r="K113" i="15"/>
  <c r="K114" i="15" s="1"/>
  <c r="I113" i="15"/>
  <c r="I114" i="15" s="1"/>
  <c r="H113" i="15"/>
  <c r="F113" i="15"/>
  <c r="F114" i="15" s="1"/>
  <c r="E113" i="15"/>
  <c r="Z105" i="15"/>
  <c r="AG70" i="15" s="1"/>
  <c r="W105" i="15"/>
  <c r="AG68" i="15" s="1"/>
  <c r="AD102" i="15"/>
  <c r="AI61" i="15" s="1"/>
  <c r="AC102" i="15"/>
  <c r="AA102" i="15"/>
  <c r="Q102" i="15"/>
  <c r="I102" i="15"/>
  <c r="F102" i="15"/>
  <c r="AJ42" i="15" s="1"/>
  <c r="E102" i="15"/>
  <c r="AD101" i="15"/>
  <c r="AC101" i="15"/>
  <c r="AA101" i="15"/>
  <c r="Z101" i="15"/>
  <c r="Z102" i="15" s="1"/>
  <c r="AI60" i="15" s="1"/>
  <c r="X101" i="15"/>
  <c r="X102" i="15" s="1"/>
  <c r="W101" i="15"/>
  <c r="U101" i="15"/>
  <c r="U102" i="15" s="1"/>
  <c r="T101" i="15"/>
  <c r="T102" i="15" s="1"/>
  <c r="R101" i="15"/>
  <c r="R102" i="15" s="1"/>
  <c r="AI57" i="15" s="1"/>
  <c r="Q101" i="15"/>
  <c r="O101" i="15"/>
  <c r="O102" i="15" s="1"/>
  <c r="AI56" i="15" s="1"/>
  <c r="N101" i="15"/>
  <c r="N102" i="15" s="1"/>
  <c r="L101" i="15"/>
  <c r="L102" i="15" s="1"/>
  <c r="K101" i="15"/>
  <c r="K102" i="15" s="1"/>
  <c r="I101" i="15"/>
  <c r="H102" i="15" s="1"/>
  <c r="H101" i="15"/>
  <c r="F101" i="15"/>
  <c r="E101" i="15"/>
  <c r="W90" i="15"/>
  <c r="O90" i="15"/>
  <c r="AI47" i="15" s="1"/>
  <c r="I90" i="15"/>
  <c r="AD89" i="15"/>
  <c r="AD90" i="15" s="1"/>
  <c r="AC89" i="15"/>
  <c r="AC90" i="15" s="1"/>
  <c r="AA89" i="15"/>
  <c r="AA90" i="15" s="1"/>
  <c r="Z89" i="15"/>
  <c r="Z90" i="15" s="1"/>
  <c r="X89" i="15"/>
  <c r="X90" i="15" s="1"/>
  <c r="AI50" i="15" s="1"/>
  <c r="W89" i="15"/>
  <c r="U89" i="15"/>
  <c r="U90" i="15" s="1"/>
  <c r="T89" i="15"/>
  <c r="T90" i="15" s="1"/>
  <c r="R89" i="15"/>
  <c r="R90" i="15" s="1"/>
  <c r="AI48" i="15" s="1"/>
  <c r="Q89" i="15"/>
  <c r="Q90" i="15" s="1"/>
  <c r="O89" i="15"/>
  <c r="N90" i="15" s="1"/>
  <c r="N89" i="15"/>
  <c r="L89" i="15"/>
  <c r="K89" i="15"/>
  <c r="L90" i="15" s="1"/>
  <c r="I89" i="15"/>
  <c r="H89" i="15"/>
  <c r="H90" i="15" s="1"/>
  <c r="AI45" i="15" s="1"/>
  <c r="F89" i="15"/>
  <c r="F90" i="15" s="1"/>
  <c r="E89" i="15"/>
  <c r="E90" i="15" s="1"/>
  <c r="AJ41" i="15" s="1"/>
  <c r="AG72" i="15"/>
  <c r="AA72" i="15"/>
  <c r="Z72" i="15"/>
  <c r="AJ34" i="15" s="1"/>
  <c r="X72" i="15"/>
  <c r="W72" i="15"/>
  <c r="L72" i="15"/>
  <c r="E72" i="15"/>
  <c r="AJ27" i="15" s="1"/>
  <c r="AA71" i="15"/>
  <c r="Z71" i="15"/>
  <c r="X71" i="15"/>
  <c r="W71" i="15"/>
  <c r="U71" i="15"/>
  <c r="U72" i="15" s="1"/>
  <c r="T71" i="15"/>
  <c r="T72" i="15" s="1"/>
  <c r="AJ32" i="15" s="1"/>
  <c r="R71" i="15"/>
  <c r="R72" i="15" s="1"/>
  <c r="Q71" i="15"/>
  <c r="Q72" i="15" s="1"/>
  <c r="AJ31" i="15" s="1"/>
  <c r="AV34" i="15" s="1"/>
  <c r="O71" i="15"/>
  <c r="O72" i="15" s="1"/>
  <c r="N71" i="15"/>
  <c r="N72" i="15" s="1"/>
  <c r="L71" i="15"/>
  <c r="K71" i="15"/>
  <c r="K72" i="15" s="1"/>
  <c r="AJ29" i="15" s="1"/>
  <c r="AH29" i="15" s="1"/>
  <c r="I71" i="15"/>
  <c r="I72" i="15" s="1"/>
  <c r="H71" i="15"/>
  <c r="H72" i="15" s="1"/>
  <c r="AJ28" i="15" s="1"/>
  <c r="AV25" i="15" s="1"/>
  <c r="F71" i="15"/>
  <c r="F72" i="15" s="1"/>
  <c r="E71" i="15"/>
  <c r="AG66" i="15"/>
  <c r="AG64" i="15"/>
  <c r="AG63" i="15"/>
  <c r="AG62" i="15"/>
  <c r="AG61" i="15"/>
  <c r="AG60" i="15"/>
  <c r="AG59" i="15"/>
  <c r="AG58" i="15"/>
  <c r="AG57" i="15"/>
  <c r="AG56" i="15"/>
  <c r="AG55" i="15"/>
  <c r="AG54" i="15"/>
  <c r="AG53" i="15"/>
  <c r="AV51" i="15"/>
  <c r="AG51" i="15"/>
  <c r="AG50" i="15"/>
  <c r="X50" i="15"/>
  <c r="W50" i="15"/>
  <c r="U50" i="15"/>
  <c r="T50" i="15"/>
  <c r="H50" i="15"/>
  <c r="AJ20" i="15" s="1"/>
  <c r="AV26" i="15" s="1"/>
  <c r="AG49" i="15"/>
  <c r="AA49" i="15"/>
  <c r="AA50" i="15" s="1"/>
  <c r="Z49" i="15"/>
  <c r="Z50" i="15" s="1"/>
  <c r="AJ26" i="15" s="1"/>
  <c r="X49" i="15"/>
  <c r="W49" i="15"/>
  <c r="U49" i="15"/>
  <c r="T49" i="15"/>
  <c r="R49" i="15"/>
  <c r="Q49" i="15"/>
  <c r="R50" i="15" s="1"/>
  <c r="O49" i="15"/>
  <c r="O50" i="15" s="1"/>
  <c r="N49" i="15"/>
  <c r="N50" i="15" s="1"/>
  <c r="AJ22" i="15" s="1"/>
  <c r="AV29" i="15" s="1"/>
  <c r="I49" i="15"/>
  <c r="I50" i="15" s="1"/>
  <c r="H49" i="15"/>
  <c r="F49" i="15"/>
  <c r="F50" i="15" s="1"/>
  <c r="E49" i="15"/>
  <c r="E50" i="15" s="1"/>
  <c r="AG48" i="15"/>
  <c r="J48" i="15"/>
  <c r="AV47" i="15"/>
  <c r="AG47" i="15"/>
  <c r="AG46" i="15"/>
  <c r="AG45" i="15"/>
  <c r="AP42" i="15" s="1"/>
  <c r="AL44" i="15"/>
  <c r="AR48" i="15" s="1"/>
  <c r="AL43" i="15"/>
  <c r="AL42" i="15"/>
  <c r="AL41" i="15"/>
  <c r="AL34" i="15"/>
  <c r="O34" i="15"/>
  <c r="AI15" i="15" s="1"/>
  <c r="K34" i="15"/>
  <c r="I34" i="15"/>
  <c r="AI13" i="15" s="1"/>
  <c r="AV18" i="15" s="1"/>
  <c r="F34" i="15"/>
  <c r="AI12" i="15" s="1"/>
  <c r="AV16" i="15" s="1"/>
  <c r="AL33" i="15"/>
  <c r="AJ33" i="15"/>
  <c r="O33" i="15"/>
  <c r="N33" i="15"/>
  <c r="N34" i="15" s="1"/>
  <c r="L33" i="15"/>
  <c r="L34" i="15" s="1"/>
  <c r="AI14" i="15" s="1"/>
  <c r="K33" i="15"/>
  <c r="I33" i="15"/>
  <c r="H33" i="15"/>
  <c r="H34" i="15" s="1"/>
  <c r="F33" i="15"/>
  <c r="E33" i="15"/>
  <c r="E34" i="15" s="1"/>
  <c r="AV32" i="15"/>
  <c r="AL32" i="15"/>
  <c r="AL31" i="15"/>
  <c r="AL30" i="15"/>
  <c r="AL29" i="15"/>
  <c r="AL28" i="15"/>
  <c r="AL27" i="15"/>
  <c r="AL26" i="15"/>
  <c r="AL25" i="15"/>
  <c r="AJ25" i="15"/>
  <c r="AL24" i="15"/>
  <c r="AJ24" i="15"/>
  <c r="AL23" i="15"/>
  <c r="AL22" i="15"/>
  <c r="AL21" i="15"/>
  <c r="AL20" i="15"/>
  <c r="AL19" i="15"/>
  <c r="AI18" i="15"/>
  <c r="AI16" i="15"/>
  <c r="AG15" i="15"/>
  <c r="AG14" i="15"/>
  <c r="AG13" i="15"/>
  <c r="T13" i="15"/>
  <c r="AV12" i="15"/>
  <c r="AG12" i="15"/>
  <c r="U12" i="15"/>
  <c r="T12" i="15"/>
  <c r="U13" i="15" s="1"/>
  <c r="AI11" i="15" s="1"/>
  <c r="AV17" i="15" s="1"/>
  <c r="R12" i="15"/>
  <c r="R13" i="15" s="1"/>
  <c r="Q12" i="15"/>
  <c r="O12" i="15"/>
  <c r="O13" i="15" s="1"/>
  <c r="AI9" i="15" s="1"/>
  <c r="AV14" i="15" s="1"/>
  <c r="N12" i="15"/>
  <c r="N13" i="15" s="1"/>
  <c r="L12" i="15"/>
  <c r="L13" i="15" s="1"/>
  <c r="K12" i="15"/>
  <c r="K13" i="15" s="1"/>
  <c r="I12" i="15"/>
  <c r="H12" i="15"/>
  <c r="I13" i="15" s="1"/>
  <c r="AI7" i="15" s="1"/>
  <c r="AV10" i="15" s="1"/>
  <c r="F12" i="15"/>
  <c r="E12" i="15"/>
  <c r="F13" i="15" s="1"/>
  <c r="AI6" i="15" s="1"/>
  <c r="AG11" i="15"/>
  <c r="AG10" i="15"/>
  <c r="AG9" i="15"/>
  <c r="AG8" i="15"/>
  <c r="AG7" i="15"/>
  <c r="AG6" i="15"/>
  <c r="F4" i="11"/>
  <c r="Q17" i="11"/>
  <c r="Q4" i="11"/>
  <c r="O36" i="11"/>
  <c r="L36" i="11"/>
  <c r="I36" i="11"/>
  <c r="F36" i="11"/>
  <c r="O22" i="11"/>
  <c r="L22" i="11"/>
  <c r="I22" i="11"/>
  <c r="F22" i="11"/>
  <c r="O4" i="11"/>
  <c r="L4" i="11"/>
  <c r="I4" i="11"/>
  <c r="C42" i="7"/>
  <c r="C41" i="7"/>
  <c r="C40" i="7"/>
  <c r="C39" i="7"/>
  <c r="C36" i="7"/>
  <c r="C35" i="7"/>
  <c r="B36" i="7" s="1"/>
  <c r="B35" i="7"/>
  <c r="E34" i="7"/>
  <c r="E35" i="7" s="1"/>
  <c r="E36" i="7" s="1"/>
  <c r="E37" i="7" s="1"/>
  <c r="D34" i="7"/>
  <c r="D33" i="7"/>
  <c r="R29" i="11"/>
  <c r="U24" i="11"/>
  <c r="R28" i="11"/>
  <c r="G62" i="11"/>
  <c r="G63" i="11" s="1"/>
  <c r="G64" i="11" s="1"/>
  <c r="D63" i="11"/>
  <c r="D64" i="11" s="1"/>
  <c r="R31" i="11" s="1"/>
  <c r="L7" i="11"/>
  <c r="L17" i="11" s="1"/>
  <c r="O9" i="11"/>
  <c r="O17" i="11" s="1"/>
  <c r="J25" i="11"/>
  <c r="J32" i="11" s="1"/>
  <c r="J33" i="11" s="1"/>
  <c r="P8" i="11"/>
  <c r="P17" i="11" s="1"/>
  <c r="U14" i="11"/>
  <c r="G55" i="11"/>
  <c r="G56" i="11" s="1"/>
  <c r="I54" i="11"/>
  <c r="J54" i="11" s="1"/>
  <c r="L25" i="11" s="1"/>
  <c r="D54" i="11"/>
  <c r="D55" i="11" s="1"/>
  <c r="D56" i="11" s="1"/>
  <c r="D57" i="11" s="1"/>
  <c r="D58" i="11" s="1"/>
  <c r="D59" i="11" s="1"/>
  <c r="I53" i="11"/>
  <c r="J53" i="11" s="1"/>
  <c r="R27" i="11"/>
  <c r="U13" i="11"/>
  <c r="U11" i="11"/>
  <c r="U12" i="11"/>
  <c r="R8" i="11"/>
  <c r="R7" i="11"/>
  <c r="R6" i="11"/>
  <c r="R5" i="11"/>
  <c r="AI8" i="6"/>
  <c r="AJ28" i="6"/>
  <c r="AJ28" i="8"/>
  <c r="AI8" i="8"/>
  <c r="AH29" i="8"/>
  <c r="Z71" i="8"/>
  <c r="H71" i="8"/>
  <c r="D145" i="8"/>
  <c r="D144" i="8"/>
  <c r="H125" i="8"/>
  <c r="H126" i="8" s="1"/>
  <c r="H127" i="8" s="1"/>
  <c r="D130" i="8"/>
  <c r="D131" i="8" s="1"/>
  <c r="D132" i="8" s="1"/>
  <c r="D133" i="8" s="1"/>
  <c r="D134" i="8" s="1"/>
  <c r="D135" i="8" s="1"/>
  <c r="D136" i="8" s="1"/>
  <c r="D137" i="8" s="1"/>
  <c r="D138" i="8" s="1"/>
  <c r="D139" i="8" s="1"/>
  <c r="D140" i="8" s="1"/>
  <c r="D141" i="8" s="1"/>
  <c r="D142" i="8" s="1"/>
  <c r="D146" i="8" s="1"/>
  <c r="D147" i="8" s="1"/>
  <c r="D148" i="8" s="1"/>
  <c r="D149" i="8" s="1"/>
  <c r="D150" i="8" s="1"/>
  <c r="D151" i="8" s="1"/>
  <c r="D152" i="8" s="1"/>
  <c r="D153" i="8" s="1"/>
  <c r="D154" i="8" s="1"/>
  <c r="D155" i="8" s="1"/>
  <c r="D156" i="8" s="1"/>
  <c r="D157" i="8" s="1"/>
  <c r="D158" i="8" s="1"/>
  <c r="D159" i="8" s="1"/>
  <c r="I159" i="8"/>
  <c r="L159" i="8" s="1"/>
  <c r="L158" i="8"/>
  <c r="K158" i="8"/>
  <c r="I158" i="8"/>
  <c r="L157" i="8"/>
  <c r="K157" i="8"/>
  <c r="I157" i="8"/>
  <c r="L156" i="8"/>
  <c r="I156" i="8"/>
  <c r="K156" i="8" s="1"/>
  <c r="I155" i="8"/>
  <c r="L155" i="8" s="1"/>
  <c r="L154" i="8"/>
  <c r="K154" i="8"/>
  <c r="I154" i="8"/>
  <c r="L153" i="8"/>
  <c r="K153" i="8"/>
  <c r="I153" i="8"/>
  <c r="L152" i="8"/>
  <c r="I152" i="8"/>
  <c r="K152" i="8" s="1"/>
  <c r="I151" i="8"/>
  <c r="L151" i="8" s="1"/>
  <c r="L150" i="8"/>
  <c r="K150" i="8"/>
  <c r="I150" i="8"/>
  <c r="I149" i="8"/>
  <c r="L149" i="8" s="1"/>
  <c r="I148" i="8"/>
  <c r="K148" i="8" s="1"/>
  <c r="I147" i="8"/>
  <c r="H121" i="8"/>
  <c r="H122" i="8" s="1"/>
  <c r="D121" i="8"/>
  <c r="D122" i="8" s="1"/>
  <c r="D123" i="8" s="1"/>
  <c r="D124" i="8" s="1"/>
  <c r="D125" i="8" s="1"/>
  <c r="D126" i="8" s="1"/>
  <c r="D127" i="8" s="1"/>
  <c r="D128" i="8" s="1"/>
  <c r="D129" i="8" s="1"/>
  <c r="I120" i="8"/>
  <c r="K120" i="8" s="1"/>
  <c r="D120" i="8"/>
  <c r="I119" i="8"/>
  <c r="L119" i="8" s="1"/>
  <c r="L114" i="8"/>
  <c r="AI63" i="8" s="1"/>
  <c r="AV56" i="8" s="1"/>
  <c r="K114" i="8"/>
  <c r="AD113" i="8"/>
  <c r="AD114" i="8" s="1"/>
  <c r="AC113" i="8"/>
  <c r="AC114" i="8" s="1"/>
  <c r="Z113" i="8"/>
  <c r="X113" i="8"/>
  <c r="W113" i="8"/>
  <c r="W114" i="8" s="1"/>
  <c r="U113" i="8"/>
  <c r="R113" i="8"/>
  <c r="O113" i="8"/>
  <c r="O114" i="8" s="1"/>
  <c r="N113" i="8"/>
  <c r="L113" i="8"/>
  <c r="K113" i="8"/>
  <c r="H113" i="8"/>
  <c r="F113" i="8"/>
  <c r="E113" i="8"/>
  <c r="E114" i="8" s="1"/>
  <c r="Z105" i="8"/>
  <c r="AG70" i="8" s="1"/>
  <c r="W105" i="8"/>
  <c r="AG68" i="8" s="1"/>
  <c r="AA102" i="8"/>
  <c r="AI60" i="8" s="1"/>
  <c r="Z102" i="8"/>
  <c r="X102" i="8"/>
  <c r="AI59" i="8" s="1"/>
  <c r="U102" i="8"/>
  <c r="R102" i="8"/>
  <c r="AI57" i="8" s="1"/>
  <c r="Q102" i="8"/>
  <c r="AD101" i="8"/>
  <c r="AD102" i="8" s="1"/>
  <c r="AI61" i="8" s="1"/>
  <c r="AC101" i="8"/>
  <c r="AC102" i="8" s="1"/>
  <c r="AA101" i="8"/>
  <c r="Z101" i="8"/>
  <c r="X101" i="8"/>
  <c r="W102" i="8" s="1"/>
  <c r="W101" i="8"/>
  <c r="U101" i="8"/>
  <c r="T101" i="8"/>
  <c r="T102" i="8" s="1"/>
  <c r="AI58" i="8" s="1"/>
  <c r="R101" i="8"/>
  <c r="Q101" i="8"/>
  <c r="O101" i="8"/>
  <c r="O102" i="8" s="1"/>
  <c r="AI56" i="8" s="1"/>
  <c r="N101" i="8"/>
  <c r="N102" i="8" s="1"/>
  <c r="L101" i="8"/>
  <c r="L102" i="8" s="1"/>
  <c r="K101" i="8"/>
  <c r="K102" i="8" s="1"/>
  <c r="I101" i="8"/>
  <c r="F101" i="8"/>
  <c r="F102" i="8" s="1"/>
  <c r="E101" i="8"/>
  <c r="AD90" i="8"/>
  <c r="AI53" i="8" s="1"/>
  <c r="AD89" i="8"/>
  <c r="AC89" i="8"/>
  <c r="AC90" i="8" s="1"/>
  <c r="AA89" i="8"/>
  <c r="AA90" i="8" s="1"/>
  <c r="Z89" i="8"/>
  <c r="Z90" i="8" s="1"/>
  <c r="X89" i="8"/>
  <c r="W89" i="8"/>
  <c r="U89" i="8"/>
  <c r="T89" i="8"/>
  <c r="T90" i="8" s="1"/>
  <c r="R89" i="8"/>
  <c r="Q89" i="8"/>
  <c r="O89" i="8"/>
  <c r="O90" i="8" s="1"/>
  <c r="AI47" i="8" s="1"/>
  <c r="N89" i="8"/>
  <c r="N90" i="8" s="1"/>
  <c r="L89" i="8"/>
  <c r="I89" i="8"/>
  <c r="E89" i="8"/>
  <c r="AG72" i="8"/>
  <c r="O72" i="8"/>
  <c r="N72" i="8"/>
  <c r="I72" i="8"/>
  <c r="AA71" i="8"/>
  <c r="Z72" i="8"/>
  <c r="X71" i="8"/>
  <c r="W71" i="8"/>
  <c r="W72" i="8" s="1"/>
  <c r="U71" i="8"/>
  <c r="U72" i="8" s="1"/>
  <c r="T71" i="8"/>
  <c r="T72" i="8" s="1"/>
  <c r="AJ32" i="8" s="1"/>
  <c r="R71" i="8"/>
  <c r="R72" i="8" s="1"/>
  <c r="Q71" i="8"/>
  <c r="O71" i="8"/>
  <c r="N71" i="8"/>
  <c r="I71" i="8"/>
  <c r="H72" i="8"/>
  <c r="F71" i="8"/>
  <c r="E71" i="8"/>
  <c r="F72" i="8" s="1"/>
  <c r="AG66" i="8"/>
  <c r="AG64" i="8"/>
  <c r="AG63" i="8"/>
  <c r="AG62" i="8"/>
  <c r="AG61" i="8"/>
  <c r="AG60" i="8"/>
  <c r="AG59" i="8"/>
  <c r="AG58" i="8"/>
  <c r="AG57" i="8"/>
  <c r="AG56" i="8"/>
  <c r="AG55" i="8"/>
  <c r="AG54" i="8"/>
  <c r="AG53" i="8"/>
  <c r="AG51" i="8"/>
  <c r="AG50" i="8"/>
  <c r="H50" i="8"/>
  <c r="F50" i="8"/>
  <c r="E50" i="8"/>
  <c r="AJ19" i="8" s="1"/>
  <c r="AV24" i="8" s="1"/>
  <c r="AG49" i="8"/>
  <c r="AA49" i="8"/>
  <c r="AA50" i="8" s="1"/>
  <c r="Z49" i="8"/>
  <c r="Z50" i="8" s="1"/>
  <c r="AJ26" i="8" s="1"/>
  <c r="W49" i="8"/>
  <c r="U49" i="8"/>
  <c r="U50" i="8" s="1"/>
  <c r="T49" i="8"/>
  <c r="T50" i="8" s="1"/>
  <c r="AJ24" i="8" s="1"/>
  <c r="R49" i="8"/>
  <c r="Q49" i="8"/>
  <c r="Q50" i="8" s="1"/>
  <c r="AJ23" i="8" s="1"/>
  <c r="AV31" i="8" s="1"/>
  <c r="N49" i="8"/>
  <c r="I49" i="8"/>
  <c r="H49" i="8"/>
  <c r="I50" i="8" s="1"/>
  <c r="F49" i="8"/>
  <c r="E49" i="8"/>
  <c r="AR48" i="8"/>
  <c r="AG48" i="8"/>
  <c r="J48" i="8"/>
  <c r="AV47" i="8"/>
  <c r="AG47" i="8"/>
  <c r="AG46" i="8"/>
  <c r="AG45" i="8"/>
  <c r="AL44" i="8"/>
  <c r="AL43" i="8"/>
  <c r="AP42" i="8"/>
  <c r="AL42" i="8"/>
  <c r="AL41" i="8"/>
  <c r="AL34" i="8"/>
  <c r="AL33" i="8"/>
  <c r="L33" i="8"/>
  <c r="L34" i="8" s="1"/>
  <c r="K33" i="8"/>
  <c r="K34" i="8" s="1"/>
  <c r="I33" i="8"/>
  <c r="I34" i="8" s="1"/>
  <c r="AI13" i="8" s="1"/>
  <c r="AV18" i="8" s="1"/>
  <c r="H33" i="8"/>
  <c r="H34" i="8" s="1"/>
  <c r="F33" i="8"/>
  <c r="AL32" i="8"/>
  <c r="AL31" i="8"/>
  <c r="AL30" i="8"/>
  <c r="AJ30" i="8"/>
  <c r="AL29" i="8"/>
  <c r="AL28" i="8"/>
  <c r="AL27" i="8"/>
  <c r="AL26" i="8"/>
  <c r="AL25" i="8"/>
  <c r="AL24" i="8"/>
  <c r="AL23" i="8"/>
  <c r="AL22" i="8"/>
  <c r="AL21" i="8"/>
  <c r="AL20" i="8"/>
  <c r="AL19" i="8"/>
  <c r="AI18" i="8"/>
  <c r="AI16" i="8"/>
  <c r="AG15" i="8"/>
  <c r="AG14" i="8"/>
  <c r="AG13" i="8"/>
  <c r="H13" i="8"/>
  <c r="AV12" i="8"/>
  <c r="AG12" i="8"/>
  <c r="U12" i="8"/>
  <c r="T12" i="8"/>
  <c r="R12" i="8"/>
  <c r="R13" i="8" s="1"/>
  <c r="O12" i="8"/>
  <c r="O13" i="8" s="1"/>
  <c r="AI9" i="8" s="1"/>
  <c r="AV14" i="8" s="1"/>
  <c r="N12" i="8"/>
  <c r="N13" i="8" s="1"/>
  <c r="I12" i="8"/>
  <c r="H12" i="8"/>
  <c r="I13" i="8" s="1"/>
  <c r="AI7" i="8" s="1"/>
  <c r="AV10" i="8" s="1"/>
  <c r="F12" i="8"/>
  <c r="E12" i="8"/>
  <c r="E13" i="8" s="1"/>
  <c r="AG11" i="8"/>
  <c r="AG10" i="8"/>
  <c r="AG9" i="8"/>
  <c r="AG8" i="8"/>
  <c r="AG7" i="8"/>
  <c r="AG6" i="8"/>
  <c r="Q12" i="8"/>
  <c r="F147" i="6"/>
  <c r="AA71" i="6"/>
  <c r="Z71" i="6"/>
  <c r="X71" i="6"/>
  <c r="W71" i="6"/>
  <c r="U71" i="6"/>
  <c r="T71" i="6"/>
  <c r="R71" i="6"/>
  <c r="Q71" i="6"/>
  <c r="I71" i="6"/>
  <c r="H71" i="6"/>
  <c r="F71" i="6"/>
  <c r="E71" i="6"/>
  <c r="O71" i="6"/>
  <c r="N71" i="6"/>
  <c r="C22" i="7"/>
  <c r="D22" i="7" s="1"/>
  <c r="B22" i="7"/>
  <c r="C24" i="7"/>
  <c r="C23" i="7"/>
  <c r="B24" i="7" s="1"/>
  <c r="B23" i="7"/>
  <c r="E22" i="7"/>
  <c r="E23" i="7" s="1"/>
  <c r="E24" i="7" s="1"/>
  <c r="E25" i="7" s="1"/>
  <c r="D21" i="7"/>
  <c r="D19" i="7"/>
  <c r="D20" i="7" s="1"/>
  <c r="C26" i="7" s="1"/>
  <c r="D3" i="7"/>
  <c r="AL44" i="6"/>
  <c r="AR48" i="6" s="1"/>
  <c r="F137" i="6"/>
  <c r="F138" i="6" s="1"/>
  <c r="O25" i="6" s="1"/>
  <c r="U12" i="6"/>
  <c r="T12" i="6"/>
  <c r="E49" i="6"/>
  <c r="L33" i="6"/>
  <c r="K33" i="6"/>
  <c r="I33" i="6"/>
  <c r="H33" i="6"/>
  <c r="F33" i="6"/>
  <c r="F134" i="6"/>
  <c r="C6" i="7"/>
  <c r="C5" i="7"/>
  <c r="B6" i="7" s="1"/>
  <c r="B5" i="7"/>
  <c r="E4" i="7"/>
  <c r="E5" i="7" s="1"/>
  <c r="E6" i="7" s="1"/>
  <c r="E7" i="7" s="1"/>
  <c r="D4" i="7"/>
  <c r="C10" i="7" s="1"/>
  <c r="F131" i="6"/>
  <c r="F132" i="6" s="1"/>
  <c r="AL34" i="6"/>
  <c r="AL33" i="6"/>
  <c r="AL32" i="6"/>
  <c r="E21" i="6"/>
  <c r="D134" i="6"/>
  <c r="D135" i="6" s="1"/>
  <c r="D137" i="6" s="1"/>
  <c r="D138" i="6" s="1"/>
  <c r="D140" i="6" s="1"/>
  <c r="D141" i="6" s="1"/>
  <c r="D142" i="6" s="1"/>
  <c r="D144" i="6" s="1"/>
  <c r="D145" i="6" s="1"/>
  <c r="D147" i="6" s="1"/>
  <c r="D148" i="6" s="1"/>
  <c r="D149" i="6" s="1"/>
  <c r="D150" i="6" s="1"/>
  <c r="D151" i="6" s="1"/>
  <c r="D152" i="6" s="1"/>
  <c r="D153" i="6" s="1"/>
  <c r="D154" i="6" s="1"/>
  <c r="D155" i="6" s="1"/>
  <c r="D156" i="6" s="1"/>
  <c r="D157" i="6" s="1"/>
  <c r="D158" i="6" s="1"/>
  <c r="D159" i="6" s="1"/>
  <c r="D120" i="6"/>
  <c r="D121" i="6" s="1"/>
  <c r="D122" i="6" s="1"/>
  <c r="D123" i="6" s="1"/>
  <c r="D124" i="6" s="1"/>
  <c r="D125" i="6" s="1"/>
  <c r="D126" i="6" s="1"/>
  <c r="D127" i="6" s="1"/>
  <c r="D128" i="6" s="1"/>
  <c r="D129" i="6" s="1"/>
  <c r="D130" i="6" s="1"/>
  <c r="D131" i="6" s="1"/>
  <c r="Z105" i="6"/>
  <c r="AG70" i="6" s="1"/>
  <c r="W105" i="6"/>
  <c r="AG68" i="6" s="1"/>
  <c r="AG61" i="6"/>
  <c r="AG60" i="6"/>
  <c r="AG59" i="6"/>
  <c r="AG58" i="6"/>
  <c r="AG57" i="6"/>
  <c r="AG56" i="6"/>
  <c r="AG55" i="6"/>
  <c r="AD101" i="6"/>
  <c r="AC101" i="6"/>
  <c r="AA101" i="6"/>
  <c r="Z101" i="6"/>
  <c r="X101" i="6"/>
  <c r="W101" i="6"/>
  <c r="U101" i="6"/>
  <c r="T101" i="6"/>
  <c r="R101" i="6"/>
  <c r="O101" i="6"/>
  <c r="N101" i="6"/>
  <c r="L101" i="6"/>
  <c r="K101" i="6"/>
  <c r="AL43" i="6"/>
  <c r="F113" i="6"/>
  <c r="E113" i="6"/>
  <c r="AG45" i="6"/>
  <c r="AP42" i="6" s="1"/>
  <c r="I89" i="6"/>
  <c r="F126" i="6"/>
  <c r="E18" i="6" s="1"/>
  <c r="N20" i="6"/>
  <c r="R39" i="6"/>
  <c r="R49" i="6" s="1"/>
  <c r="E17" i="6"/>
  <c r="J48" i="6"/>
  <c r="N19" i="6"/>
  <c r="X40" i="6"/>
  <c r="X39" i="6"/>
  <c r="H121" i="6"/>
  <c r="I121" i="6" s="1"/>
  <c r="L121" i="6" s="1"/>
  <c r="O18" i="6"/>
  <c r="AL28" i="6"/>
  <c r="AL27" i="6"/>
  <c r="AL21" i="6"/>
  <c r="I159" i="6"/>
  <c r="L159" i="6" s="1"/>
  <c r="I158" i="6"/>
  <c r="L158" i="6" s="1"/>
  <c r="I157" i="6"/>
  <c r="L157" i="6" s="1"/>
  <c r="I156" i="6"/>
  <c r="L156" i="6" s="1"/>
  <c r="I155" i="6"/>
  <c r="L155" i="6" s="1"/>
  <c r="I154" i="6"/>
  <c r="K154" i="6" s="1"/>
  <c r="I153" i="6"/>
  <c r="L153" i="6" s="1"/>
  <c r="I152" i="6"/>
  <c r="K152" i="6" s="1"/>
  <c r="I151" i="6"/>
  <c r="L151" i="6" s="1"/>
  <c r="I150" i="6"/>
  <c r="L150" i="6" s="1"/>
  <c r="I149" i="6"/>
  <c r="K149" i="6" s="1"/>
  <c r="I148" i="6"/>
  <c r="L148" i="6" s="1"/>
  <c r="I147" i="6"/>
  <c r="L147" i="6" s="1"/>
  <c r="I143" i="6"/>
  <c r="L143" i="6" s="1"/>
  <c r="AI18" i="6"/>
  <c r="AL29" i="6"/>
  <c r="AI16" i="6"/>
  <c r="AL30" i="6"/>
  <c r="AG15" i="6"/>
  <c r="AL31" i="6"/>
  <c r="AG14" i="6"/>
  <c r="AL26" i="6"/>
  <c r="AG13" i="6"/>
  <c r="AV12" i="6"/>
  <c r="AL25" i="6"/>
  <c r="AG12" i="6"/>
  <c r="AL24" i="6"/>
  <c r="AG11" i="6"/>
  <c r="AL23" i="6"/>
  <c r="AG10" i="6"/>
  <c r="AL22" i="6"/>
  <c r="AG9" i="6"/>
  <c r="AG8" i="6"/>
  <c r="AL20" i="6"/>
  <c r="AG7" i="6"/>
  <c r="I120" i="6"/>
  <c r="L120" i="6" s="1"/>
  <c r="AL19" i="6"/>
  <c r="AG6" i="6"/>
  <c r="I119" i="6"/>
  <c r="L119" i="6" s="1"/>
  <c r="AD113" i="6"/>
  <c r="AC113" i="6"/>
  <c r="Z113" i="6"/>
  <c r="X113" i="6"/>
  <c r="W113" i="6"/>
  <c r="U113" i="6"/>
  <c r="R113" i="6"/>
  <c r="O113" i="6"/>
  <c r="N113" i="6"/>
  <c r="L113" i="6"/>
  <c r="K113" i="6"/>
  <c r="I101" i="6"/>
  <c r="F101" i="6"/>
  <c r="E101" i="6"/>
  <c r="AG72" i="6"/>
  <c r="AG66" i="6"/>
  <c r="AG64" i="6"/>
  <c r="AG63" i="6"/>
  <c r="AG62" i="6"/>
  <c r="AG54" i="6"/>
  <c r="AD89" i="6"/>
  <c r="AC89" i="6"/>
  <c r="AA89" i="6"/>
  <c r="Z89" i="6"/>
  <c r="X89" i="6"/>
  <c r="W89" i="6"/>
  <c r="U89" i="6"/>
  <c r="T89" i="6"/>
  <c r="R89" i="6"/>
  <c r="Q89" i="6"/>
  <c r="O89" i="6"/>
  <c r="N89" i="6"/>
  <c r="L89" i="6"/>
  <c r="E89" i="6"/>
  <c r="AG53" i="6"/>
  <c r="AG51" i="6"/>
  <c r="AG50" i="6"/>
  <c r="AV47" i="6"/>
  <c r="AG49" i="6"/>
  <c r="AG48" i="6"/>
  <c r="AG47" i="6"/>
  <c r="AG46" i="6"/>
  <c r="AL42" i="6"/>
  <c r="AL41" i="6"/>
  <c r="AA49" i="6"/>
  <c r="Z49" i="6"/>
  <c r="W49" i="6"/>
  <c r="U49" i="6"/>
  <c r="T49" i="6"/>
  <c r="Q49" i="6"/>
  <c r="N49" i="6"/>
  <c r="I49" i="6"/>
  <c r="H49" i="6"/>
  <c r="F49" i="6"/>
  <c r="T13" i="6"/>
  <c r="R12" i="6"/>
  <c r="O12" i="6"/>
  <c r="N12" i="6"/>
  <c r="I12" i="6"/>
  <c r="H12" i="6"/>
  <c r="F12" i="6"/>
  <c r="E12" i="6"/>
  <c r="E114" i="15" l="1"/>
  <c r="K90" i="15"/>
  <c r="AI46" i="15" s="1"/>
  <c r="AV46" i="15" s="1"/>
  <c r="M18" i="16"/>
  <c r="P18" i="16"/>
  <c r="G18" i="16"/>
  <c r="S5" i="16" s="1"/>
  <c r="AA8" i="16" s="1"/>
  <c r="J33" i="16"/>
  <c r="G33" i="16"/>
  <c r="T11" i="16" s="1"/>
  <c r="AA18" i="16" s="1"/>
  <c r="L48" i="16"/>
  <c r="S29" i="16"/>
  <c r="AA34" i="16" s="1"/>
  <c r="M33" i="16"/>
  <c r="F18" i="16"/>
  <c r="J18" i="16"/>
  <c r="S6" i="16" s="1"/>
  <c r="AA11" i="16" s="1"/>
  <c r="G48" i="16"/>
  <c r="F48" i="16"/>
  <c r="J48" i="16"/>
  <c r="I33" i="16"/>
  <c r="T12" i="16" s="1"/>
  <c r="AA23" i="16" s="1"/>
  <c r="L33" i="16"/>
  <c r="T13" i="16" s="1"/>
  <c r="AA24" i="16" s="1"/>
  <c r="I48" i="16"/>
  <c r="S7" i="16"/>
  <c r="AA12" i="16" s="1"/>
  <c r="S8" i="16"/>
  <c r="AA13" i="16" s="1"/>
  <c r="S28" i="16"/>
  <c r="AA37" i="16" s="1"/>
  <c r="G57" i="16"/>
  <c r="I57" i="16" s="1"/>
  <c r="I56" i="16"/>
  <c r="R32" i="16"/>
  <c r="I59" i="16"/>
  <c r="J59" i="16" s="1"/>
  <c r="I55" i="16"/>
  <c r="I18" i="11"/>
  <c r="P18" i="11"/>
  <c r="N31" i="11"/>
  <c r="R32" i="11"/>
  <c r="F33" i="11"/>
  <c r="I33" i="11"/>
  <c r="T12" i="11" s="1"/>
  <c r="AA23" i="11" s="1"/>
  <c r="O48" i="11"/>
  <c r="J18" i="11"/>
  <c r="G33" i="11"/>
  <c r="M18" i="11"/>
  <c r="L18" i="11"/>
  <c r="P48" i="11"/>
  <c r="O18" i="11"/>
  <c r="AJ19" i="15"/>
  <c r="AV9" i="15"/>
  <c r="AE69" i="15"/>
  <c r="AV43" i="15"/>
  <c r="AI49" i="15"/>
  <c r="AV49" i="15" s="1"/>
  <c r="AI54" i="15"/>
  <c r="AI8" i="15"/>
  <c r="AV11" i="15" s="1"/>
  <c r="AI55" i="15"/>
  <c r="H123" i="15"/>
  <c r="I122" i="15"/>
  <c r="AI59" i="15"/>
  <c r="AJ30" i="15"/>
  <c r="AI51" i="15"/>
  <c r="AV19" i="15"/>
  <c r="AV33" i="15"/>
  <c r="AI53" i="15"/>
  <c r="AV42" i="15"/>
  <c r="AI58" i="15"/>
  <c r="AJ43" i="15"/>
  <c r="AV41" i="15" s="1"/>
  <c r="Q13" i="15"/>
  <c r="AI10" i="15" s="1"/>
  <c r="AV15" i="15" s="1"/>
  <c r="Z114" i="15"/>
  <c r="AI70" i="15" s="1"/>
  <c r="AE71" i="15" s="1"/>
  <c r="K158" i="15"/>
  <c r="E13" i="15"/>
  <c r="K119" i="15"/>
  <c r="L119" i="15"/>
  <c r="H13" i="15"/>
  <c r="K147" i="15"/>
  <c r="K151" i="15"/>
  <c r="K155" i="15"/>
  <c r="K159" i="15"/>
  <c r="W102" i="15"/>
  <c r="N114" i="15"/>
  <c r="AI62" i="15" s="1"/>
  <c r="AV53" i="15" s="1"/>
  <c r="K120" i="15"/>
  <c r="Q50" i="15"/>
  <c r="AJ23" i="15" s="1"/>
  <c r="AV31" i="15" s="1"/>
  <c r="D36" i="7"/>
  <c r="D35" i="7"/>
  <c r="D37" i="7" s="1"/>
  <c r="F7" i="11"/>
  <c r="F17" i="11" s="1"/>
  <c r="I56" i="11"/>
  <c r="G57" i="11"/>
  <c r="I55" i="11"/>
  <c r="X114" i="8"/>
  <c r="F114" i="8"/>
  <c r="AJ43" i="8"/>
  <c r="N114" i="8"/>
  <c r="AI62" i="8" s="1"/>
  <c r="AV53" i="8" s="1"/>
  <c r="E102" i="8"/>
  <c r="Q90" i="8"/>
  <c r="U90" i="8"/>
  <c r="X90" i="8"/>
  <c r="AI50" i="8" s="1"/>
  <c r="AI51" i="8"/>
  <c r="X72" i="8"/>
  <c r="AA72" i="8"/>
  <c r="E72" i="8"/>
  <c r="AJ27" i="8" s="1"/>
  <c r="Q72" i="8"/>
  <c r="AJ31" i="8" s="1"/>
  <c r="AV34" i="8" s="1"/>
  <c r="AV25" i="8"/>
  <c r="AJ20" i="8"/>
  <c r="AV26" i="8" s="1"/>
  <c r="R50" i="8"/>
  <c r="Q13" i="8"/>
  <c r="F13" i="8"/>
  <c r="AI6" i="8" s="1"/>
  <c r="U13" i="8"/>
  <c r="AI11" i="8" s="1"/>
  <c r="AV17" i="8" s="1"/>
  <c r="AI10" i="8"/>
  <c r="AV15" i="8" s="1"/>
  <c r="I127" i="8"/>
  <c r="K127" i="8" s="1"/>
  <c r="H128" i="8"/>
  <c r="L148" i="8"/>
  <c r="K149" i="8"/>
  <c r="K119" i="8"/>
  <c r="X49" i="8"/>
  <c r="X50" i="8" s="1"/>
  <c r="L120" i="8"/>
  <c r="L147" i="8"/>
  <c r="AA113" i="8"/>
  <c r="AI72" i="8"/>
  <c r="AV60" i="8" s="1"/>
  <c r="AI14" i="8"/>
  <c r="AJ33" i="8"/>
  <c r="AJ42" i="8"/>
  <c r="AJ34" i="8"/>
  <c r="AI49" i="8"/>
  <c r="N33" i="8"/>
  <c r="AI55" i="8"/>
  <c r="I122" i="8"/>
  <c r="H123" i="8"/>
  <c r="O33" i="8"/>
  <c r="AI68" i="8"/>
  <c r="AV9" i="8"/>
  <c r="T13" i="8"/>
  <c r="E33" i="8"/>
  <c r="K147" i="8"/>
  <c r="K151" i="8"/>
  <c r="K155" i="8"/>
  <c r="K159" i="8"/>
  <c r="I121" i="8"/>
  <c r="L127" i="8"/>
  <c r="W90" i="8"/>
  <c r="R90" i="8"/>
  <c r="AI48" i="8" s="1"/>
  <c r="N23" i="6"/>
  <c r="AA107" i="6"/>
  <c r="AA113" i="6" s="1"/>
  <c r="Q6" i="6"/>
  <c r="Q12" i="6" s="1"/>
  <c r="C27" i="7"/>
  <c r="Z90" i="6"/>
  <c r="F139" i="6"/>
  <c r="E50" i="6"/>
  <c r="AJ19" i="6" s="1"/>
  <c r="X41" i="6"/>
  <c r="X49" i="6" s="1"/>
  <c r="K6" i="6"/>
  <c r="O33" i="6"/>
  <c r="E23" i="6"/>
  <c r="E33" i="6" s="1"/>
  <c r="F135" i="6"/>
  <c r="N24" i="6" s="1"/>
  <c r="N33" i="6" s="1"/>
  <c r="N34" i="6" s="1"/>
  <c r="D24" i="7"/>
  <c r="D23" i="7"/>
  <c r="D25" i="7" s="1"/>
  <c r="D6" i="7"/>
  <c r="C12" i="7" s="1"/>
  <c r="D5" i="7"/>
  <c r="Q101" i="6"/>
  <c r="Q102" i="6" s="1"/>
  <c r="L102" i="6"/>
  <c r="F114" i="6"/>
  <c r="AC114" i="6"/>
  <c r="AC102" i="6"/>
  <c r="AD102" i="6"/>
  <c r="Z102" i="6"/>
  <c r="AA102" i="6"/>
  <c r="X102" i="6"/>
  <c r="W102" i="6"/>
  <c r="U102" i="6"/>
  <c r="O102" i="6"/>
  <c r="N102" i="6"/>
  <c r="K102" i="6"/>
  <c r="AC90" i="6"/>
  <c r="T102" i="6"/>
  <c r="E114" i="6"/>
  <c r="H34" i="6"/>
  <c r="E13" i="6"/>
  <c r="T72" i="6"/>
  <c r="L149" i="6"/>
  <c r="L154" i="6"/>
  <c r="Q50" i="6"/>
  <c r="AJ23" i="6" s="1"/>
  <c r="F72" i="6"/>
  <c r="F102" i="6"/>
  <c r="U50" i="6"/>
  <c r="K114" i="6"/>
  <c r="H122" i="6"/>
  <c r="AD114" i="6"/>
  <c r="AA50" i="6"/>
  <c r="O114" i="6"/>
  <c r="AD90" i="6"/>
  <c r="L34" i="6"/>
  <c r="F13" i="6"/>
  <c r="AI6" i="6" s="1"/>
  <c r="AV9" i="6" s="1"/>
  <c r="I13" i="6"/>
  <c r="AI7" i="6" s="1"/>
  <c r="AV10" i="6" s="1"/>
  <c r="O90" i="6"/>
  <c r="Z72" i="6"/>
  <c r="Q90" i="6"/>
  <c r="U90" i="6"/>
  <c r="K80" i="6"/>
  <c r="I50" i="6"/>
  <c r="K121" i="6"/>
  <c r="K56" i="6" s="1"/>
  <c r="O13" i="6"/>
  <c r="Q13" i="6"/>
  <c r="R13" i="6"/>
  <c r="O72" i="6"/>
  <c r="W72" i="6"/>
  <c r="I72" i="6"/>
  <c r="X72" i="6"/>
  <c r="U72" i="6"/>
  <c r="H72" i="6"/>
  <c r="E72" i="6"/>
  <c r="AJ27" i="6" s="1"/>
  <c r="R72" i="6"/>
  <c r="AA72" i="6"/>
  <c r="I34" i="6"/>
  <c r="AI13" i="6" s="1"/>
  <c r="AV18" i="6" s="1"/>
  <c r="R50" i="6"/>
  <c r="R90" i="6"/>
  <c r="T50" i="6"/>
  <c r="AJ24" i="6" s="1"/>
  <c r="T90" i="6"/>
  <c r="X114" i="6"/>
  <c r="L152" i="6"/>
  <c r="U13" i="6"/>
  <c r="AI11" i="6" s="1"/>
  <c r="AV17" i="6" s="1"/>
  <c r="H13" i="6"/>
  <c r="X90" i="6"/>
  <c r="Z50" i="6"/>
  <c r="AJ26" i="6" s="1"/>
  <c r="K34" i="6"/>
  <c r="AA90" i="6"/>
  <c r="N114" i="6"/>
  <c r="N13" i="6"/>
  <c r="F50" i="6"/>
  <c r="L114" i="6"/>
  <c r="AI63" i="6" s="1"/>
  <c r="AV56" i="6" s="1"/>
  <c r="H50" i="6"/>
  <c r="Q72" i="6"/>
  <c r="N72" i="6"/>
  <c r="W114" i="6"/>
  <c r="E102" i="6"/>
  <c r="AJ42" i="6" s="1"/>
  <c r="N90" i="6"/>
  <c r="K155" i="6"/>
  <c r="K150" i="6"/>
  <c r="K120" i="6"/>
  <c r="K55" i="6" s="1"/>
  <c r="K156" i="6"/>
  <c r="K151" i="6"/>
  <c r="K143" i="6"/>
  <c r="K147" i="6"/>
  <c r="W90" i="6"/>
  <c r="K157" i="6"/>
  <c r="K148" i="6"/>
  <c r="K158" i="6"/>
  <c r="K153" i="6"/>
  <c r="K119" i="6"/>
  <c r="K159" i="6"/>
  <c r="T24" i="16" l="1"/>
  <c r="AA14" i="16"/>
  <c r="S16" i="16"/>
  <c r="S17" i="16"/>
  <c r="AA30" i="16"/>
  <c r="T30" i="16"/>
  <c r="S27" i="16"/>
  <c r="S30" i="16" s="1"/>
  <c r="S8" i="11"/>
  <c r="AA13" i="11" s="1"/>
  <c r="J56" i="16"/>
  <c r="J57" i="16"/>
  <c r="J55" i="16"/>
  <c r="S7" i="11"/>
  <c r="AA12" i="11" s="1"/>
  <c r="AI75" i="15"/>
  <c r="AV54" i="15"/>
  <c r="L122" i="15"/>
  <c r="K122" i="15"/>
  <c r="AJ75" i="15"/>
  <c r="AV20" i="15"/>
  <c r="H124" i="15"/>
  <c r="I123" i="15"/>
  <c r="A34" i="15"/>
  <c r="AV24" i="15"/>
  <c r="S29" i="11"/>
  <c r="AA34" i="11" s="1"/>
  <c r="J56" i="11"/>
  <c r="M28" i="11" s="1"/>
  <c r="G39" i="11"/>
  <c r="S6" i="11"/>
  <c r="AA11" i="11" s="1"/>
  <c r="J55" i="11"/>
  <c r="L27" i="11" s="1"/>
  <c r="L32" i="11" s="1"/>
  <c r="I39" i="11"/>
  <c r="I47" i="11" s="1"/>
  <c r="I57" i="11"/>
  <c r="T11" i="11"/>
  <c r="AA18" i="11" s="1"/>
  <c r="W50" i="8"/>
  <c r="AJ25" i="8" s="1"/>
  <c r="AV32" i="8" s="1"/>
  <c r="N34" i="8"/>
  <c r="I128" i="8"/>
  <c r="H129" i="8"/>
  <c r="E34" i="8"/>
  <c r="F34" i="8"/>
  <c r="AI12" i="8" s="1"/>
  <c r="AV16" i="8" s="1"/>
  <c r="L121" i="8"/>
  <c r="K121" i="8"/>
  <c r="AV43" i="8"/>
  <c r="AE69" i="8"/>
  <c r="I123" i="8"/>
  <c r="H124" i="8"/>
  <c r="L122" i="8"/>
  <c r="K122" i="8"/>
  <c r="O34" i="8"/>
  <c r="AI15" i="8" s="1"/>
  <c r="AV19" i="8" s="1"/>
  <c r="AA114" i="8"/>
  <c r="Z114" i="8"/>
  <c r="AI51" i="6"/>
  <c r="Z114" i="6"/>
  <c r="AA114" i="6"/>
  <c r="AI50" i="6"/>
  <c r="C29" i="7"/>
  <c r="C28" i="7"/>
  <c r="C30" i="7" s="1"/>
  <c r="D7" i="7"/>
  <c r="C11" i="7"/>
  <c r="C13" i="7" s="1"/>
  <c r="AI55" i="6"/>
  <c r="AJ30" i="6"/>
  <c r="O34" i="6"/>
  <c r="AI15" i="6" s="1"/>
  <c r="AI49" i="6"/>
  <c r="AI61" i="6"/>
  <c r="W50" i="6"/>
  <c r="AJ25" i="6" s="1"/>
  <c r="AV32" i="6" s="1"/>
  <c r="X50" i="6"/>
  <c r="E34" i="6"/>
  <c r="F34" i="6"/>
  <c r="AI12" i="6" s="1"/>
  <c r="AV16" i="6" s="1"/>
  <c r="R102" i="6"/>
  <c r="AI57" i="6" s="1"/>
  <c r="F136" i="6"/>
  <c r="AI70" i="6"/>
  <c r="AE71" i="6" s="1"/>
  <c r="AI60" i="6"/>
  <c r="AI68" i="6"/>
  <c r="AE69" i="6" s="1"/>
  <c r="AJ20" i="6"/>
  <c r="AV26" i="6" s="1"/>
  <c r="AJ31" i="6"/>
  <c r="AV34" i="6" s="1"/>
  <c r="AI47" i="6"/>
  <c r="AI53" i="6"/>
  <c r="AI62" i="6"/>
  <c r="AV53" i="6" s="1"/>
  <c r="AJ43" i="6"/>
  <c r="AI14" i="6"/>
  <c r="AJ33" i="6"/>
  <c r="AJ32" i="6"/>
  <c r="AI56" i="6"/>
  <c r="AI9" i="6"/>
  <c r="AV14" i="6" s="1"/>
  <c r="AI10" i="6"/>
  <c r="AV15" i="6" s="1"/>
  <c r="AI72" i="6"/>
  <c r="AV60" i="6" s="1"/>
  <c r="AI58" i="6"/>
  <c r="AI59" i="6"/>
  <c r="AI48" i="6"/>
  <c r="AJ34" i="6"/>
  <c r="AV31" i="6"/>
  <c r="H123" i="6"/>
  <c r="I122" i="6"/>
  <c r="AV25" i="6"/>
  <c r="AV24" i="6"/>
  <c r="AJ76" i="15" l="1"/>
  <c r="K48" i="15" s="1"/>
  <c r="K49" i="15" s="1"/>
  <c r="AA33" i="16"/>
  <c r="AA39" i="16" s="1"/>
  <c r="AA46" i="16" s="1"/>
  <c r="T31" i="16"/>
  <c r="S31" i="16"/>
  <c r="O31" i="16"/>
  <c r="O32" i="16" s="1"/>
  <c r="I48" i="11"/>
  <c r="J48" i="11"/>
  <c r="H125" i="15"/>
  <c r="I124" i="15"/>
  <c r="AV57" i="15"/>
  <c r="AV61" i="15" s="1"/>
  <c r="AV36" i="15"/>
  <c r="L123" i="15"/>
  <c r="K123" i="15"/>
  <c r="AI76" i="15"/>
  <c r="J57" i="11"/>
  <c r="M29" i="11" s="1"/>
  <c r="M32" i="11" s="1"/>
  <c r="G40" i="11"/>
  <c r="G47" i="11" s="1"/>
  <c r="G59" i="11"/>
  <c r="I58" i="11"/>
  <c r="J58" i="11" s="1"/>
  <c r="I129" i="8"/>
  <c r="H130" i="8"/>
  <c r="L128" i="8"/>
  <c r="K128" i="8"/>
  <c r="AI70" i="8"/>
  <c r="AE71" i="8" s="1"/>
  <c r="I124" i="8"/>
  <c r="L123" i="8"/>
  <c r="K123" i="8"/>
  <c r="AV43" i="6"/>
  <c r="AV19" i="6"/>
  <c r="L122" i="6"/>
  <c r="K122" i="6"/>
  <c r="K57" i="6" s="1"/>
  <c r="K81" i="6"/>
  <c r="H124" i="6"/>
  <c r="I123" i="6"/>
  <c r="L48" i="15" l="1"/>
  <c r="L49" i="15" s="1"/>
  <c r="L50" i="15" s="1"/>
  <c r="AI77" i="15"/>
  <c r="AA42" i="16"/>
  <c r="AA44" i="16" s="1"/>
  <c r="P31" i="16"/>
  <c r="P32" i="16" s="1"/>
  <c r="P33" i="16" s="1"/>
  <c r="S32" i="16"/>
  <c r="S27" i="11"/>
  <c r="AA33" i="11" s="1"/>
  <c r="M33" i="11"/>
  <c r="L33" i="11"/>
  <c r="G48" i="11"/>
  <c r="F48" i="11"/>
  <c r="K50" i="15"/>
  <c r="L124" i="15"/>
  <c r="K124" i="15"/>
  <c r="H126" i="15"/>
  <c r="I125" i="15"/>
  <c r="G60" i="11"/>
  <c r="I60" i="11" s="1"/>
  <c r="J60" i="11" s="1"/>
  <c r="I59" i="11"/>
  <c r="J59" i="11" s="1"/>
  <c r="I130" i="8"/>
  <c r="H131" i="8"/>
  <c r="H101" i="8"/>
  <c r="K129" i="8"/>
  <c r="L129" i="8"/>
  <c r="K124" i="8"/>
  <c r="L124" i="8"/>
  <c r="I125" i="8"/>
  <c r="I126" i="8"/>
  <c r="K123" i="6"/>
  <c r="L58" i="6" s="1"/>
  <c r="F80" i="6"/>
  <c r="L123" i="6"/>
  <c r="I124" i="6"/>
  <c r="H125" i="6"/>
  <c r="O33" i="16" l="1"/>
  <c r="T14" i="16" s="1"/>
  <c r="T13" i="11"/>
  <c r="AA24" i="11" s="1"/>
  <c r="T24" i="11"/>
  <c r="L125" i="15"/>
  <c r="K125" i="15"/>
  <c r="H127" i="15"/>
  <c r="I126" i="15"/>
  <c r="AJ21" i="15"/>
  <c r="A72" i="15"/>
  <c r="C73" i="15" s="1"/>
  <c r="H132" i="8"/>
  <c r="I131" i="8"/>
  <c r="I102" i="8"/>
  <c r="H102" i="8"/>
  <c r="K130" i="8"/>
  <c r="L130" i="8"/>
  <c r="L126" i="8"/>
  <c r="K126" i="8"/>
  <c r="K125" i="8"/>
  <c r="K12" i="8"/>
  <c r="L125" i="8"/>
  <c r="I125" i="6"/>
  <c r="H126" i="6"/>
  <c r="F81" i="6"/>
  <c r="L124" i="6"/>
  <c r="K124" i="6"/>
  <c r="L59" i="6" s="1"/>
  <c r="AA20" i="16" l="1"/>
  <c r="AA25" i="16" s="1"/>
  <c r="T16" i="16"/>
  <c r="T17" i="16"/>
  <c r="T18" i="16"/>
  <c r="S18" i="16"/>
  <c r="S19" i="16" s="1"/>
  <c r="T30" i="11"/>
  <c r="AA30" i="11"/>
  <c r="AV27" i="15"/>
  <c r="AJ35" i="15"/>
  <c r="I127" i="15"/>
  <c r="H128" i="15"/>
  <c r="L126" i="15"/>
  <c r="K126" i="15"/>
  <c r="L131" i="8"/>
  <c r="K131" i="8"/>
  <c r="AI54" i="8"/>
  <c r="AV49" i="8" s="1"/>
  <c r="H133" i="8"/>
  <c r="I132" i="8"/>
  <c r="K7" i="6"/>
  <c r="K12" i="6" s="1"/>
  <c r="I126" i="6"/>
  <c r="F82" i="6" s="1"/>
  <c r="L125" i="6"/>
  <c r="K125" i="6"/>
  <c r="L127" i="15" l="1"/>
  <c r="K127" i="15"/>
  <c r="I128" i="15"/>
  <c r="H129" i="15"/>
  <c r="AV35" i="15"/>
  <c r="AV37" i="15" s="1"/>
  <c r="K132" i="8"/>
  <c r="L132" i="8"/>
  <c r="I133" i="8"/>
  <c r="H134" i="8"/>
  <c r="Q113" i="8"/>
  <c r="I144" i="8"/>
  <c r="F165" i="8"/>
  <c r="I145" i="8"/>
  <c r="L145" i="8" s="1"/>
  <c r="F145" i="6"/>
  <c r="F144" i="6"/>
  <c r="K60" i="6"/>
  <c r="L126" i="6"/>
  <c r="K126" i="6"/>
  <c r="L61" i="6" s="1"/>
  <c r="H128" i="6"/>
  <c r="I127" i="6"/>
  <c r="H130" i="15" l="1"/>
  <c r="I129" i="15"/>
  <c r="L128" i="15"/>
  <c r="K128" i="15"/>
  <c r="H135" i="8"/>
  <c r="I134" i="8"/>
  <c r="L133" i="8"/>
  <c r="K133" i="8"/>
  <c r="O49" i="8"/>
  <c r="T113" i="8"/>
  <c r="I146" i="8"/>
  <c r="K145" i="8"/>
  <c r="L144" i="8"/>
  <c r="L12" i="8"/>
  <c r="K144" i="8"/>
  <c r="Q114" i="8"/>
  <c r="R114" i="8"/>
  <c r="Q107" i="6"/>
  <c r="Q113" i="6" s="1"/>
  <c r="I144" i="6"/>
  <c r="K144" i="6" s="1"/>
  <c r="F146" i="6"/>
  <c r="F165" i="6" s="1"/>
  <c r="I145" i="6"/>
  <c r="L127" i="6"/>
  <c r="K127" i="6"/>
  <c r="I128" i="6"/>
  <c r="L129" i="15" l="1"/>
  <c r="K129" i="15"/>
  <c r="I130" i="15"/>
  <c r="H131" i="15"/>
  <c r="K134" i="8"/>
  <c r="F89" i="8"/>
  <c r="L134" i="8"/>
  <c r="H136" i="8"/>
  <c r="I135" i="8"/>
  <c r="AI64" i="8"/>
  <c r="AV51" i="8"/>
  <c r="L13" i="8"/>
  <c r="K13" i="8"/>
  <c r="A34" i="8" s="1"/>
  <c r="L146" i="8"/>
  <c r="K146" i="8"/>
  <c r="T114" i="8"/>
  <c r="U114" i="8"/>
  <c r="AI66" i="8" s="1"/>
  <c r="AV59" i="8" s="1"/>
  <c r="N50" i="8"/>
  <c r="O50" i="8"/>
  <c r="L144" i="6"/>
  <c r="L8" i="6"/>
  <c r="L12" i="6" s="1"/>
  <c r="K145" i="6"/>
  <c r="L145" i="6"/>
  <c r="O39" i="6"/>
  <c r="O49" i="6" s="1"/>
  <c r="T107" i="6"/>
  <c r="T113" i="6" s="1"/>
  <c r="I146" i="6"/>
  <c r="L146" i="6" s="1"/>
  <c r="Q114" i="6"/>
  <c r="R114" i="6"/>
  <c r="L128" i="6"/>
  <c r="K128" i="6"/>
  <c r="H130" i="6"/>
  <c r="I129" i="6"/>
  <c r="H95" i="6" s="1"/>
  <c r="H101" i="6" s="1"/>
  <c r="H132" i="15" l="1"/>
  <c r="I131" i="15"/>
  <c r="K130" i="15"/>
  <c r="L130" i="15"/>
  <c r="L135" i="8"/>
  <c r="K135" i="8"/>
  <c r="E90" i="8"/>
  <c r="F90" i="8"/>
  <c r="H137" i="8"/>
  <c r="I136" i="8"/>
  <c r="AJ22" i="8"/>
  <c r="AV29" i="8" s="1"/>
  <c r="AV11" i="8"/>
  <c r="AV20" i="8" s="1"/>
  <c r="K146" i="6"/>
  <c r="AI64" i="6"/>
  <c r="AV51" i="6"/>
  <c r="U114" i="6"/>
  <c r="AI66" i="6" s="1"/>
  <c r="AV59" i="6" s="1"/>
  <c r="T114" i="6"/>
  <c r="K13" i="6"/>
  <c r="L13" i="6"/>
  <c r="O50" i="6"/>
  <c r="N50" i="6"/>
  <c r="AJ22" i="6" s="1"/>
  <c r="AV29" i="6" s="1"/>
  <c r="H102" i="6"/>
  <c r="I102" i="6"/>
  <c r="L129" i="6"/>
  <c r="K129" i="6"/>
  <c r="K62" i="6" s="1"/>
  <c r="I130" i="6"/>
  <c r="F83" i="6" s="1"/>
  <c r="L131" i="15" l="1"/>
  <c r="K131" i="15"/>
  <c r="H133" i="15"/>
  <c r="I132" i="15"/>
  <c r="H89" i="8"/>
  <c r="L136" i="8"/>
  <c r="K136" i="8"/>
  <c r="H138" i="8"/>
  <c r="I137" i="8"/>
  <c r="AJ41" i="8"/>
  <c r="A34" i="6"/>
  <c r="AI54" i="6"/>
  <c r="AV49" i="6" s="1"/>
  <c r="I131" i="6"/>
  <c r="L130" i="6"/>
  <c r="K130" i="6"/>
  <c r="L63" i="6" s="1"/>
  <c r="L132" i="15" l="1"/>
  <c r="K132" i="15"/>
  <c r="I133" i="15"/>
  <c r="H134" i="15"/>
  <c r="K137" i="8"/>
  <c r="K89" i="8"/>
  <c r="L137" i="8"/>
  <c r="K71" i="8"/>
  <c r="I90" i="8"/>
  <c r="H90" i="8"/>
  <c r="AV41" i="8"/>
  <c r="H139" i="8"/>
  <c r="I138" i="8"/>
  <c r="AV11" i="6"/>
  <c r="AV20" i="6" s="1"/>
  <c r="L131" i="6"/>
  <c r="K131" i="6"/>
  <c r="I132" i="6"/>
  <c r="H133" i="6"/>
  <c r="H135" i="15" l="1"/>
  <c r="I134" i="15"/>
  <c r="L133" i="15"/>
  <c r="K133" i="15"/>
  <c r="L138" i="8"/>
  <c r="K138" i="8"/>
  <c r="H140" i="8"/>
  <c r="I139" i="8"/>
  <c r="AI45" i="8"/>
  <c r="K90" i="8"/>
  <c r="L90" i="8"/>
  <c r="AI46" i="8" s="1"/>
  <c r="AV46" i="8" s="1"/>
  <c r="H84" i="6"/>
  <c r="I133" i="6"/>
  <c r="H134" i="6"/>
  <c r="L132" i="6"/>
  <c r="K132" i="6"/>
  <c r="L134" i="15" l="1"/>
  <c r="K134" i="15"/>
  <c r="H136" i="15"/>
  <c r="I135" i="15"/>
  <c r="AV42" i="8"/>
  <c r="AI75" i="8"/>
  <c r="K139" i="8"/>
  <c r="L71" i="8" s="1"/>
  <c r="I113" i="8"/>
  <c r="L139" i="8"/>
  <c r="H141" i="8"/>
  <c r="I140" i="8"/>
  <c r="K64" i="6"/>
  <c r="I134" i="6"/>
  <c r="F85" i="6" s="1"/>
  <c r="F89" i="6" s="1"/>
  <c r="H135" i="6"/>
  <c r="L133" i="6"/>
  <c r="K133" i="6"/>
  <c r="K135" i="15" l="1"/>
  <c r="L135" i="15"/>
  <c r="I136" i="15"/>
  <c r="H137" i="15"/>
  <c r="H142" i="8"/>
  <c r="I142" i="8" s="1"/>
  <c r="I141" i="8"/>
  <c r="I114" i="8"/>
  <c r="H114" i="8"/>
  <c r="AJ44" i="8" s="1"/>
  <c r="L140" i="8"/>
  <c r="K140" i="8"/>
  <c r="L72" i="8"/>
  <c r="K72" i="8"/>
  <c r="F90" i="6"/>
  <c r="E90" i="6"/>
  <c r="AJ41" i="6" s="1"/>
  <c r="I135" i="6"/>
  <c r="H136" i="6"/>
  <c r="K134" i="6"/>
  <c r="L65" i="6" s="1"/>
  <c r="L134" i="6"/>
  <c r="H138" i="15" l="1"/>
  <c r="I137" i="15"/>
  <c r="L136" i="15"/>
  <c r="K136" i="15"/>
  <c r="AJ29" i="8"/>
  <c r="AV48" i="8"/>
  <c r="AV54" i="8" s="1"/>
  <c r="AJ75" i="8"/>
  <c r="L141" i="8"/>
  <c r="K141" i="8"/>
  <c r="L142" i="8"/>
  <c r="AI17" i="8" s="1"/>
  <c r="AI35" i="8" s="1"/>
  <c r="K142" i="8"/>
  <c r="K165" i="8" s="1"/>
  <c r="I165" i="8"/>
  <c r="AV41" i="6"/>
  <c r="H137" i="6"/>
  <c r="I136" i="6"/>
  <c r="H86" i="6" s="1"/>
  <c r="H89" i="6" s="1"/>
  <c r="K135" i="6"/>
  <c r="L135" i="6"/>
  <c r="L137" i="15" l="1"/>
  <c r="K137" i="15"/>
  <c r="H139" i="15"/>
  <c r="I138" i="15"/>
  <c r="AJ76" i="8"/>
  <c r="AI76" i="8"/>
  <c r="AV36" i="8"/>
  <c r="AV57" i="8"/>
  <c r="AV61" i="8" s="1"/>
  <c r="AV33" i="8"/>
  <c r="I90" i="6"/>
  <c r="AI45" i="6" s="1"/>
  <c r="H90" i="6"/>
  <c r="K136" i="6"/>
  <c r="K66" i="6" s="1"/>
  <c r="L136" i="6"/>
  <c r="I137" i="6"/>
  <c r="K82" i="6" s="1"/>
  <c r="K89" i="6" s="1"/>
  <c r="K90" i="6" s="1"/>
  <c r="H138" i="6"/>
  <c r="L48" i="8" l="1"/>
  <c r="L49" i="8" s="1"/>
  <c r="AI77" i="8"/>
  <c r="K48" i="8"/>
  <c r="K49" i="8" s="1"/>
  <c r="L138" i="15"/>
  <c r="K138" i="15"/>
  <c r="H140" i="15"/>
  <c r="I139" i="15"/>
  <c r="AV42" i="6"/>
  <c r="L90" i="6"/>
  <c r="AI46" i="6" s="1"/>
  <c r="AV46" i="6" s="1"/>
  <c r="H139" i="6"/>
  <c r="I138" i="6"/>
  <c r="L137" i="6"/>
  <c r="K137" i="6"/>
  <c r="K67" i="6" s="1"/>
  <c r="K71" i="6" s="1"/>
  <c r="L50" i="8" l="1"/>
  <c r="K50" i="8"/>
  <c r="AJ21" i="8" s="1"/>
  <c r="L139" i="15"/>
  <c r="K139" i="15"/>
  <c r="H141" i="15"/>
  <c r="I140" i="15"/>
  <c r="A72" i="8"/>
  <c r="C73" i="8" s="1"/>
  <c r="AJ35" i="8"/>
  <c r="AV27" i="8"/>
  <c r="AV35" i="8" s="1"/>
  <c r="AV37" i="8" s="1"/>
  <c r="AI75" i="6"/>
  <c r="AI76" i="6" s="1"/>
  <c r="K138" i="6"/>
  <c r="L138" i="6"/>
  <c r="I139" i="6"/>
  <c r="I107" i="6" s="1"/>
  <c r="I113" i="6" s="1"/>
  <c r="H140" i="6"/>
  <c r="L140" i="15" l="1"/>
  <c r="K140" i="15"/>
  <c r="H142" i="15"/>
  <c r="I142" i="15" s="1"/>
  <c r="I141" i="15"/>
  <c r="AJ36" i="8"/>
  <c r="AI36" i="8"/>
  <c r="AI37" i="8" s="1"/>
  <c r="I140" i="6"/>
  <c r="H113" i="6" s="1"/>
  <c r="H141" i="6"/>
  <c r="L139" i="6"/>
  <c r="K139" i="6"/>
  <c r="L68" i="6" s="1"/>
  <c r="L71" i="6" s="1"/>
  <c r="L141" i="15" l="1"/>
  <c r="K141" i="15"/>
  <c r="L142" i="15"/>
  <c r="AI17" i="15" s="1"/>
  <c r="AI35" i="15" s="1"/>
  <c r="K142" i="15"/>
  <c r="K165" i="15" s="1"/>
  <c r="I165" i="15"/>
  <c r="K72" i="6"/>
  <c r="AJ29" i="6" s="1"/>
  <c r="L72" i="6"/>
  <c r="H114" i="6"/>
  <c r="I114" i="6"/>
  <c r="I141" i="6"/>
  <c r="H142" i="6"/>
  <c r="I142" i="6" s="1"/>
  <c r="I165" i="6" s="1"/>
  <c r="K140" i="6"/>
  <c r="L140" i="6"/>
  <c r="AI36" i="15" l="1"/>
  <c r="AJ36" i="15"/>
  <c r="AV33" i="6"/>
  <c r="AH29" i="6"/>
  <c r="AJ44" i="6"/>
  <c r="L142" i="6"/>
  <c r="AI17" i="6" s="1"/>
  <c r="AI35" i="6" s="1"/>
  <c r="K142" i="6"/>
  <c r="K141" i="6"/>
  <c r="L141" i="6"/>
  <c r="AI37" i="15" l="1"/>
  <c r="AV48" i="6"/>
  <c r="AV54" i="6" s="1"/>
  <c r="AJ75" i="6"/>
  <c r="AJ76" i="6"/>
  <c r="K48" i="6" s="1"/>
  <c r="K49" i="6" s="1"/>
  <c r="L48" i="6"/>
  <c r="L49" i="6" s="1"/>
  <c r="K165" i="6"/>
  <c r="L50" i="6" l="1"/>
  <c r="AV36" i="6"/>
  <c r="AV57" i="6"/>
  <c r="AV61" i="6" s="1"/>
  <c r="K50" i="6"/>
  <c r="A72" i="6" l="1"/>
  <c r="C73" i="6" s="1"/>
  <c r="AJ21" i="6"/>
  <c r="AJ35" i="6" s="1"/>
  <c r="AV27" i="6" l="1"/>
  <c r="AV35" i="6" s="1"/>
  <c r="AV37" i="6" s="1"/>
  <c r="AI36" i="6" l="1"/>
  <c r="AJ36" i="6"/>
  <c r="AI37" i="6" l="1"/>
  <c r="G8" i="11"/>
  <c r="G17" i="11" s="1"/>
  <c r="L39" i="11"/>
  <c r="L47" i="11"/>
  <c r="L48" i="11" s="1"/>
  <c r="F18" i="11" l="1"/>
  <c r="G18" i="11"/>
  <c r="S5" i="11" s="1"/>
  <c r="M48" i="11"/>
  <c r="S28" i="11" s="1"/>
  <c r="AA37" i="11" l="1"/>
  <c r="AA39" i="11" s="1"/>
  <c r="S30" i="11"/>
  <c r="AA8" i="11"/>
  <c r="AA14" i="11" s="1"/>
  <c r="S17" i="11"/>
  <c r="S16" i="11"/>
  <c r="T31" i="11" l="1"/>
  <c r="O31" i="11" s="1"/>
  <c r="S31" i="11"/>
  <c r="O32" i="11"/>
  <c r="AA46" i="11"/>
  <c r="AA42" i="11"/>
  <c r="AA44" i="11" s="1"/>
  <c r="P31" i="11" l="1"/>
  <c r="S32" i="11"/>
  <c r="P32" i="11"/>
  <c r="P33" i="11" l="1"/>
  <c r="O33" i="11"/>
  <c r="T14" i="11" l="1"/>
  <c r="T16" i="11" s="1"/>
  <c r="AA20" i="11"/>
  <c r="AA25" i="11" s="1"/>
  <c r="T17" i="11"/>
  <c r="T18" i="11" s="1"/>
  <c r="S18" i="11" l="1"/>
  <c r="S1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F4" authorId="0" shapeId="0" xr:uid="{5BE4449D-5967-4C1E-9F5A-76D723FB7B31}">
      <text>
        <r>
          <rPr>
            <sz val="9"/>
            <color indexed="81"/>
            <rFont val="Tahoma"/>
            <family val="2"/>
          </rPr>
          <t>Voit laittaa tähän tilinron kirjanpito-ohjelmasta. Auttaa ymmättämään esim. Procountoria</t>
        </r>
      </text>
    </comment>
    <comment ref="I4" authorId="0" shapeId="0" xr:uid="{7ACE120A-D613-4505-89F9-21FA5C4C05A9}">
      <text>
        <r>
          <rPr>
            <sz val="9"/>
            <color indexed="81"/>
            <rFont val="Tahoma"/>
            <family val="2"/>
          </rPr>
          <t>Voit laittaa tähän tilinron kirjanpito-ohjelmasta. Auttaa ymmättämään esim. Procountoria</t>
        </r>
      </text>
    </comment>
    <comment ref="L4" authorId="0" shapeId="0" xr:uid="{ECBDDC6A-01E0-4E09-AAB4-768A7B180209}">
      <text>
        <r>
          <rPr>
            <sz val="9"/>
            <color indexed="81"/>
            <rFont val="Tahoma"/>
            <family val="2"/>
          </rPr>
          <t>Voit laittaa tähän tilinron kirjanpito-ohjelmasta. Auttaa ymmättämään esim. Procountoria</t>
        </r>
      </text>
    </comment>
    <comment ref="O4" authorId="0" shapeId="0" xr:uid="{5C6F4C92-2728-43DA-BEC6-D0F7A692E9A4}">
      <text>
        <r>
          <rPr>
            <sz val="9"/>
            <color indexed="81"/>
            <rFont val="Tahoma"/>
            <family val="2"/>
          </rPr>
          <t>Voit laittaa tähän tilinron kirjanpito-ohjelmasta. Auttaa ymmättämään esim. Procountoria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F4" authorId="0" shapeId="0" xr:uid="{3E53E98B-9D6D-45BE-A55B-1244FC1F3540}">
      <text>
        <r>
          <rPr>
            <sz val="9"/>
            <color indexed="81"/>
            <rFont val="Tahoma"/>
            <family val="2"/>
          </rPr>
          <t>Voit laittaa tähän tilinron kirjanpito-ohjelmasta. Auttaa ymmättämään esim. Procountoria</t>
        </r>
      </text>
    </comment>
    <comment ref="I4" authorId="0" shapeId="0" xr:uid="{AEAA016D-ED30-4F58-847D-4A475150E28A}">
      <text>
        <r>
          <rPr>
            <sz val="9"/>
            <color indexed="81"/>
            <rFont val="Tahoma"/>
            <family val="2"/>
          </rPr>
          <t>Voit laittaa tähän tilinron kirjanpito-ohjelmasta. Auttaa ymmättämään esim. Procountoria</t>
        </r>
      </text>
    </comment>
    <comment ref="L4" authorId="0" shapeId="0" xr:uid="{3A07C4D4-4637-4028-89BC-DA802574F751}">
      <text>
        <r>
          <rPr>
            <sz val="9"/>
            <color indexed="81"/>
            <rFont val="Tahoma"/>
            <family val="2"/>
          </rPr>
          <t>Voit laittaa tähän tilinron kirjanpito-ohjelmasta. Auttaa ymmättämään esim. Procountoria</t>
        </r>
      </text>
    </comment>
    <comment ref="O4" authorId="0" shapeId="0" xr:uid="{5ABB9F53-4639-46ED-9BFC-B6A247E4035C}">
      <text>
        <r>
          <rPr>
            <sz val="9"/>
            <color indexed="81"/>
            <rFont val="Tahoma"/>
            <family val="2"/>
          </rPr>
          <t>Voit laittaa tähän tilinron kirjanpito-ohjelmasta. Auttaa ymmättämään esim. Procountoria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E3" authorId="0" shapeId="0" xr:uid="{E3EABF4B-6AAA-4748-AF31-BD5AEBB1205D}">
      <text>
        <r>
          <rPr>
            <sz val="9"/>
            <color indexed="81"/>
            <rFont val="Tahoma"/>
            <family val="2"/>
          </rPr>
          <t>Voit laittaa tähän tilinron kirjanpito-ohjelmasta. Auttaa ymmättämään esim. Procountoria</t>
        </r>
      </text>
    </comment>
    <comment ref="H3" authorId="0" shapeId="0" xr:uid="{191EAB45-434B-4912-9369-0CDE3BCA4451}">
      <text>
        <r>
          <rPr>
            <sz val="9"/>
            <color indexed="81"/>
            <rFont val="Tahoma"/>
            <family val="2"/>
          </rPr>
          <t>Voit laittaa tähän tilinron kirjanpito-ohjelmasta. Auttaa ymmättämään esim. Procountoria</t>
        </r>
      </text>
    </comment>
    <comment ref="K3" authorId="0" shapeId="0" xr:uid="{B3A5091D-400A-49C5-8FAE-9467066B62CF}">
      <text>
        <r>
          <rPr>
            <sz val="9"/>
            <color indexed="81"/>
            <rFont val="Tahoma"/>
            <family val="2"/>
          </rPr>
          <t>Voit laittaa tähän tilinron kirjanpito-ohjelmasta. Auttaa ymmättämään esim. Procountoria</t>
        </r>
      </text>
    </comment>
    <comment ref="N3" authorId="0" shapeId="0" xr:uid="{950F17F8-E006-4672-B3BA-8C1087A588E2}">
      <text>
        <r>
          <rPr>
            <sz val="9"/>
            <color indexed="81"/>
            <rFont val="Tahoma"/>
            <family val="2"/>
          </rPr>
          <t>Voit laittaa tähän tilinron kirjanpito-ohjelmasta. Auttaa ymmättämään esim. Procountoria</t>
        </r>
      </text>
    </comment>
    <comment ref="Q3" authorId="0" shapeId="0" xr:uid="{0B19A97C-FB63-47EA-B7A5-6C9B90BE8F62}">
      <text>
        <r>
          <rPr>
            <sz val="9"/>
            <color indexed="81"/>
            <rFont val="Tahoma"/>
            <family val="2"/>
          </rPr>
          <t>Voit laittaa tähän tilinron kirjanpito-ohjelmasta. Auttaa ymmättämään esim. Procountoria</t>
        </r>
      </text>
    </comment>
    <comment ref="T3" authorId="0" shapeId="0" xr:uid="{07055F60-B486-42AF-8B8A-4119FF118BE9}">
      <text>
        <r>
          <rPr>
            <sz val="9"/>
            <color indexed="81"/>
            <rFont val="Tahoma"/>
            <family val="2"/>
          </rPr>
          <t>Voit laittaa tähän tilinron kirjanpito-ohjelmasta. Auttaa ymmättämään esim. Procountoria</t>
        </r>
      </text>
    </comment>
    <comment ref="E14" authorId="0" shapeId="0" xr:uid="{1276DAF3-0C17-4982-8004-2E9EFCC23DF5}">
      <text>
        <r>
          <rPr>
            <sz val="9"/>
            <color indexed="81"/>
            <rFont val="Tahoma"/>
            <family val="2"/>
          </rPr>
          <t>Voit laittaa tähän tilinron kirjanpito-ohjelmasta. Auttaa ymmättämään esim. Procountoria</t>
        </r>
      </text>
    </comment>
    <comment ref="H14" authorId="0" shapeId="0" xr:uid="{C76314E3-C59A-485A-969B-311EEBB27290}">
      <text>
        <r>
          <rPr>
            <sz val="9"/>
            <color indexed="81"/>
            <rFont val="Tahoma"/>
            <family val="2"/>
          </rPr>
          <t>Voit laittaa tähän tilinron kirjanpito-ohjelmasta. Auttaa ymmättämään esim. Procountoria</t>
        </r>
      </text>
    </comment>
    <comment ref="K14" authorId="0" shapeId="0" xr:uid="{73816033-1111-4F43-A6C4-286A05754007}">
      <text>
        <r>
          <rPr>
            <sz val="9"/>
            <color indexed="81"/>
            <rFont val="Tahoma"/>
            <family val="2"/>
          </rPr>
          <t>Voit laittaa tähän tilinron kirjanpito-ohjelmasta. Auttaa ymmättämään esim. Procountoria</t>
        </r>
      </text>
    </comment>
    <comment ref="N14" authorId="0" shapeId="0" xr:uid="{7831477D-5345-4416-9352-6302FB4D2DCF}">
      <text>
        <r>
          <rPr>
            <sz val="9"/>
            <color indexed="81"/>
            <rFont val="Tahoma"/>
            <family val="2"/>
          </rPr>
          <t>Voit laittaa tähän tilinron kirjanpito-ohjelmasta. Auttaa ymmättämään esim. Procountoria</t>
        </r>
      </text>
    </comment>
    <comment ref="H15" authorId="0" shapeId="0" xr:uid="{96C85DB1-B93F-40C2-A753-E32E05DA6B08}">
      <text>
        <r>
          <rPr>
            <b/>
            <sz val="9"/>
            <color indexed="81"/>
            <rFont val="Tahoma"/>
            <family val="2"/>
          </rPr>
          <t xml:space="preserve">Siirtosaamisten periaate
</t>
        </r>
        <r>
          <rPr>
            <sz val="9"/>
            <color indexed="81"/>
            <rFont val="Tahoma"/>
            <family val="2"/>
          </rPr>
          <t xml:space="preserve">Siirtosaamiset </t>
        </r>
        <r>
          <rPr>
            <b/>
            <sz val="9"/>
            <color indexed="81"/>
            <rFont val="Tahoma"/>
            <family val="2"/>
          </rPr>
          <t>ovat tuloja</t>
        </r>
        <r>
          <rPr>
            <sz val="9"/>
            <color indexed="81"/>
            <rFont val="Tahoma"/>
            <family val="2"/>
          </rPr>
          <t xml:space="preserve">, jotka kuuluvat tilikaudelle, mutta joita ei ole vielä saatu rahana, </t>
        </r>
        <r>
          <rPr>
            <b/>
            <sz val="9"/>
            <color indexed="81"/>
            <rFont val="Tahoma"/>
            <family val="2"/>
          </rPr>
          <t>tai kuluja</t>
        </r>
        <r>
          <rPr>
            <sz val="9"/>
            <color indexed="81"/>
            <rFont val="Tahoma"/>
            <family val="2"/>
          </rPr>
          <t>, jotka on maksettu etukäteen mutta jotka kohdistuvat tuleville tilikausille.
1. Siirtosaamisena tulo (tulot, jotka kuuluvat tilikaudelle, mutta joita ei ole vielä saatu)
Yritys on suorittanut asiakkaalle palvelun joulukuussa 2024, mutta lasku lähetetään tammikuussa 2025. Koska tulo kuuluu vuodelle 2024, se kirjataan siirtosaamiseksi:
Joulukuu 2024:
Kirjaus:
🔹 Debet: Siirtosaamiset (ennakkoon tuloutettavat tulot) 5 000 €
🔹 Kredit: Myyntitulot 5 000 €
Tammikuu 2025, kun asiakas maksaa laskun:
Kirjaus:
🔹 Debet: Pankkitili 5 000 €
🔹 Kredit: Siirtosaamiset 5 000 €
2. Siirtosaamisena kulu (kulu, joka on maksettu etukäteen, mutta kuuluu tulevalle tilikaudelle)
Yritys maksaa vuokran ajalle joulukuu 2024 – helmikuu 2025 yhteensä 3 000 € (1 000 €/kk). Joulukuun osuus kuuluu tilikaudelle 2024, mutta tammi–helmikuu 2025 kuuluu seuraavalle tilikaudelle.
Joulukuu 2024:
Kirjaus:
🔹 Debet: Vuokrakulut 1 000 €
🔹 Debet: Siirtosaamiset (ennakkomaksut) 2 000 €
🔹 Kredit: Pankkitili 3 000 €
Tammikuu ja helmikuu 2025, kun kulu toteutuu:
Kirjaus per kuukausi:
🔹 Debet: Vuokrakulut 1 000 €
🔹 Kredit: Siirtosaamiset 1 000 €.
Yhteenveto
Siirtosaamisissa voi olla sekä tuloja että kuluja:
Tuloja, jotka kuuluvat tilikaudelle mutta laskutetaan myöhemmin
Kuluja, jotka on maksettu etukäteen mutta kuuluvat osittain. tulevalle tilikaudelle</t>
        </r>
      </text>
    </comment>
    <comment ref="H16" authorId="0" shapeId="0" xr:uid="{FF1CFFCC-4197-4F26-9577-741322522459}">
      <text>
        <r>
          <rPr>
            <sz val="9"/>
            <color indexed="81"/>
            <rFont val="Tahoma"/>
            <family val="2"/>
          </rPr>
          <t>Esimerkki: Vuokratuotot siirtosaamisina
Yritys vuokraa varaston asiakkaalle hintaan 1 000 €/kk.
Joulukuun 2025 vuokra kuuluu tilikaudelle 2025, mutta asiakasta laskutetaan joulukuusta vasta tammikuussa 2026.
Kirjanpito 31.12.2025 (tilinpäätöksessä)
Koska vuokratulo kuuluu vielä vuodelle 2025, mutta laskutetaan vasta 2026, se pitää kirjata siirtosaamisiin.
Kirjaus 2025:
Siirtosaamiset (debet) 1 000 € (koska yritys on ansainnut rahan, mutta ei ole vielä saanut sitä)
Vuokratuotot (kredit) 1 000 € (koska tulo kuuluu vuodelle 2025)
Tuloslaskelmassa 2025:
Vuokratuotot +1 000 €
Taseessa 31.12.2025:
Siirtosaamiset 1 000 €
Seuraava tilikausi: Maksettu vuokra tammikuussa 2026
Kun asiakas maksaa tammikuussa, saaminen poistetaan.
Kirjaus 2026:
Pankkitili (debet) 1 000 € (raha saapuu tilille)
Siirtosaamiset (kredit) 1 000 € (saaminen poistuu)</t>
        </r>
      </text>
    </comment>
    <comment ref="K48" authorId="0" shapeId="0" xr:uid="{986C10AF-4FB6-47C2-BD4A-2B72995D5C38}">
      <text>
        <r>
          <rPr>
            <b/>
            <sz val="9"/>
            <color indexed="81"/>
            <rFont val="Tahoma"/>
            <family val="2"/>
          </rPr>
          <t>Tuloskirjaus automaattisesti Tuloslaskelmalta</t>
        </r>
      </text>
    </comment>
    <comment ref="L48" authorId="0" shapeId="0" xr:uid="{F1ECBE89-AAC9-49CC-A04A-49011A90672B}">
      <text>
        <r>
          <rPr>
            <b/>
            <sz val="9"/>
            <color indexed="81"/>
            <rFont val="Tahoma"/>
            <family val="2"/>
          </rPr>
          <t>Tuloskirjaus automaattisesti Tuloslaskelmalta</t>
        </r>
      </text>
    </comment>
    <comment ref="Q53" authorId="0" shapeId="0" xr:uid="{405E5942-249D-4CC1-B3E7-6516511A8AAA}">
      <text>
        <r>
          <rPr>
            <b/>
            <sz val="9"/>
            <color indexed="81"/>
            <rFont val="Tahoma"/>
            <family val="2"/>
          </rPr>
          <t xml:space="preserve">Siirtovelat </t>
        </r>
        <r>
          <rPr>
            <sz val="9"/>
            <color indexed="81"/>
            <rFont val="Tahoma"/>
            <family val="2"/>
          </rPr>
          <t xml:space="preserve">ovat jaksotettuja menoja, jotka on kirjattu velaksi, koska ne kuuluvat kuluvan tilikauden kuluihin, mutta maksetaan vasta seuraavalla tilikaudella.
Esimerkkejä siirtoveloista:
Palkat ja lomapalkat – Joulukuu: Jos työntekijöille maksetaan tammikuussa joulukuun palkkoja, ne kirjataan siirtovelkoihin.
Vuokrat ja muut kulut – Jos yritys on saanut laskun vuokrista joulukuussa mutta maksaa sen tammikuussa, se voi olla siirtovelkaa.
Korot ja verot – Esimerkiksi tilikaudelle kuuluva mutta maksamatta oleva korkokulu voi olla siirtovelkaa.
</t>
        </r>
        <r>
          <rPr>
            <b/>
            <sz val="9"/>
            <color indexed="81"/>
            <rFont val="Tahoma"/>
            <family val="2"/>
          </rPr>
          <t xml:space="preserve">Ero ostovelkoihin
</t>
        </r>
        <r>
          <rPr>
            <sz val="9"/>
            <color indexed="81"/>
            <rFont val="Tahoma"/>
            <family val="2"/>
          </rPr>
          <t xml:space="preserve">Ostovelat ovat liiketoiminnan hankintoihin liittyviä laskuja (esim. tavara- ja materiaalihankinnat), jotka maksetaan myöhemmin.
</t>
        </r>
        <r>
          <rPr>
            <b/>
            <sz val="9"/>
            <color indexed="81"/>
            <rFont val="Tahoma"/>
            <family val="2"/>
          </rPr>
          <t>Siirtovelat</t>
        </r>
        <r>
          <rPr>
            <sz val="9"/>
            <color indexed="81"/>
            <rFont val="Tahoma"/>
            <family val="2"/>
          </rPr>
          <t xml:space="preserve"> liittyvät jaksotuksiin, eli ne ovat kuluja, jotka kuuluvat kuluvan tilikauden tulokseen, mutta eivät ole vielä maksettu.
Siirtovelkoja käytetään, jotta tuloslaskelma ja tase antavat oikean kuvan yrityksen taloudellisesta tilanteesta tilinpäätöksessä.
Yrityksellä on työntekijöitä, joille on kertynyt lomapalkkoja 12 000 € vuoden 2024 aikana. Nämä lomapalkat maksetaan vasta kesällä 2025, mutta ne kuuluvat kuluksi tilikaudelle 2024.
1. Tilinpäätöskirjaus 31.12.2024 (lomapalkan jaksotus)
Koska lomapalkat on ansaittu vuonna 2024, mutta maksetaan vasta 2025, ne kirjataan siirtovelaksi:
Kirjaus:
🔹 Debet: Palkkakulut 12 000 €
🔹 Kredit: Siirtovelat (Lomapalkkavelka) 12 000 €
2. Lomapalkan maksaminen kesällä 2025
Kun lomapalkat maksetaan työntekijöille:
Kirjaus maksuhetkellä:
🔹 Debet: Siirtovelat (Lomapalkkavelka) 12 000 €
🔹 Kredit: Pankkitili 12 000 €.</t>
        </r>
      </text>
    </comment>
    <comment ref="Z53" authorId="0" shapeId="0" xr:uid="{D8E17CD6-C355-4F64-A5B2-3A6DC98F9832}">
      <text>
        <r>
          <rPr>
            <sz val="9"/>
            <color rgb="FF000000"/>
            <rFont val="Tahoma"/>
            <family val="2"/>
          </rPr>
          <t xml:space="preserve">Poistoero näkyy taseessa vastattavaa-puolella, koska se on osa yrityksen oma pääoma ja varaukset -ryhmää.
</t>
        </r>
        <r>
          <rPr>
            <sz val="9"/>
            <color rgb="FF000000"/>
            <rFont val="Tahoma"/>
            <family val="2"/>
          </rPr>
          <t xml:space="preserve">Vaikutus tuloslaskelmaan: Vaikka poistoero ei ole itsenäinen tuloslaskelmatili, sen muutokset vaikuttavat tuloslaskelman eriin.
</t>
        </r>
        <r>
          <rPr>
            <sz val="9"/>
            <color rgb="FF000000"/>
            <rFont val="Tahoma"/>
            <family val="2"/>
          </rPr>
          <t xml:space="preserve">Poistoeron lisäys kasvattaa kirjanpidollisia poistoja, vähentäen tilikauden tulosta.
</t>
        </r>
        <r>
          <rPr>
            <sz val="9"/>
            <color rgb="FF000000"/>
            <rFont val="Tahoma"/>
            <family val="2"/>
          </rPr>
          <t>Poistoeron vähennys lisää tulosta.</t>
        </r>
      </text>
    </comment>
    <comment ref="H78" authorId="0" shapeId="0" xr:uid="{CF723CE7-8CD7-4635-B00C-1653D6211FB4}">
      <text>
        <r>
          <rPr>
            <b/>
            <sz val="9"/>
            <color indexed="81"/>
            <rFont val="Tahoma"/>
            <family val="2"/>
          </rPr>
          <t>Annetut alennukset</t>
        </r>
        <r>
          <rPr>
            <sz val="9"/>
            <color indexed="81"/>
            <rFont val="Tahoma"/>
            <family val="2"/>
          </rPr>
          <t xml:space="preserve"> vähentävät liikevaihtoa, eli on yritykselle kulu. 
</t>
        </r>
        <r>
          <rPr>
            <b/>
            <sz val="9"/>
            <color indexed="81"/>
            <rFont val="Tahoma"/>
            <family val="2"/>
          </rPr>
          <t xml:space="preserve">Kirjataan debet-puolelle.
Kirjausohje alennuksissa:
</t>
        </r>
        <r>
          <rPr>
            <sz val="9"/>
            <color indexed="81"/>
            <rFont val="Tahoma"/>
            <family val="2"/>
          </rPr>
          <t xml:space="preserve">1. Laske ensin alennuksen määrä  sis. Alvin
2. Kirjaa alennus alv 0% Annetut alennukset tilille </t>
        </r>
        <r>
          <rPr>
            <b/>
            <sz val="9"/>
            <color indexed="81"/>
            <rFont val="Tahoma"/>
            <family val="2"/>
          </rPr>
          <t xml:space="preserve">DEBET
</t>
        </r>
        <r>
          <rPr>
            <sz val="9"/>
            <color indexed="81"/>
            <rFont val="Tahoma"/>
            <family val="2"/>
          </rPr>
          <t xml:space="preserve">3.  Kirjaa Alv-osuus Alv - tilille (tase vastatattavaa OIkea puoli) </t>
        </r>
        <r>
          <rPr>
            <b/>
            <sz val="9"/>
            <color indexed="81"/>
            <rFont val="Tahoma"/>
            <family val="2"/>
          </rPr>
          <t xml:space="preserve">DEBET
</t>
        </r>
        <r>
          <rPr>
            <sz val="9"/>
            <color indexed="81"/>
            <rFont val="Tahoma"/>
            <family val="2"/>
          </rPr>
          <t xml:space="preserve">4. Kuittaa Myyntisaamiset alkuperäisen laskun koko summa alveineen pois </t>
        </r>
        <r>
          <rPr>
            <b/>
            <sz val="9"/>
            <color indexed="81"/>
            <rFont val="Tahoma"/>
            <family val="2"/>
          </rPr>
          <t>KREDIT</t>
        </r>
        <r>
          <rPr>
            <sz val="9"/>
            <color indexed="81"/>
            <rFont val="Tahoma"/>
            <family val="2"/>
          </rPr>
          <t xml:space="preserve">. Eli jos laskun alkuperäinen oli 65 € (sis alvin) ja asiakas maksoi 58,50 €. Kirjaa 65 € </t>
        </r>
        <r>
          <rPr>
            <b/>
            <sz val="9"/>
            <color indexed="81"/>
            <rFont val="Tahoma"/>
            <family val="2"/>
          </rPr>
          <t>KREDIT</t>
        </r>
        <r>
          <rPr>
            <sz val="9"/>
            <color indexed="81"/>
            <rFont val="Tahoma"/>
            <family val="2"/>
          </rPr>
          <t xml:space="preserve">. 
5. Kirjaa pankkiin </t>
        </r>
        <r>
          <rPr>
            <b/>
            <sz val="9"/>
            <color indexed="81"/>
            <rFont val="Tahoma"/>
            <family val="2"/>
          </rPr>
          <t>Debet</t>
        </r>
        <r>
          <rPr>
            <sz val="9"/>
            <color indexed="81"/>
            <rFont val="Tahoma"/>
            <family val="2"/>
          </rPr>
          <t xml:space="preserve"> saatu raha bruttona. </t>
        </r>
      </text>
    </comment>
    <comment ref="W78" authorId="0" shapeId="0" xr:uid="{0963DE4D-54B9-4D70-84D9-A0B64972F137}">
      <text>
        <r>
          <rPr>
            <sz val="9"/>
            <color indexed="81"/>
            <rFont val="Tahoma"/>
            <family val="2"/>
          </rPr>
          <t>Käyttöikä on enintään 3 vuotta tai hankintahinta on enintään 1 200 euroa</t>
        </r>
        <r>
          <rPr>
            <sz val="9"/>
            <color indexed="81"/>
            <rFont val="Tahoma"/>
            <charset val="1"/>
          </rPr>
          <t xml:space="preserve">
</t>
        </r>
      </text>
    </comment>
    <comment ref="H105" authorId="0" shapeId="0" xr:uid="{CFC76CFE-18E2-4C8D-A9FF-BC69305E225B}">
      <text>
        <r>
          <rPr>
            <b/>
            <sz val="9"/>
            <color indexed="81"/>
            <rFont val="Tahoma"/>
            <family val="2"/>
          </rPr>
          <t>Saadut käteisalennukset</t>
        </r>
        <r>
          <rPr>
            <sz val="9"/>
            <color indexed="81"/>
            <rFont val="Tahoma"/>
            <family val="2"/>
          </rPr>
          <t xml:space="preserve"> pienentävät ostojen kulua.
Ne kirjataan debet-puolelle.
Kirjauksen tarkoitus on vähentää ostoihin liittyvää kulua, mikä parantaa yrityksen tulosta.</t>
        </r>
      </text>
    </comment>
    <comment ref="T105" authorId="0" shapeId="0" xr:uid="{33E9794A-50FB-4605-BBA4-8A7CCB922D53}">
      <text>
        <r>
          <rPr>
            <sz val="9"/>
            <color indexed="81"/>
            <rFont val="Tahoma"/>
            <family val="2"/>
          </rPr>
          <t>Tilinpäätössiirtoja ovat poistoeron ja verotusperusteisten varausten muutos.
Esimerkki:
Poistoero syntyy, kun verotuksessa tehdään suurempia poistoja kuin kirjanpidossa.  
Esimerkki:  
- Koneen hankintahinta: 100 000 €  
- Kirjanpidollinen poisto: 10 000 €  
- Verotuksessa tehty poisto: 25 000 €  
- Poistoero: 15 000 € (25 000 € - 10 000 €)  
Kirjaukset:  
1. Suunnitelman mukainen poisto:  
   Debet: Poistot 10 000 €, Kredit: Koneet 10 000 €  
2. Poistoeron muutos:  
   Debet: Tilinpäätössiirrot 15 000 € (</t>
        </r>
        <r>
          <rPr>
            <b/>
            <sz val="9"/>
            <color indexed="81"/>
            <rFont val="Tahoma"/>
            <family val="2"/>
          </rPr>
          <t>Tuloslaskelmalle</t>
        </r>
        <r>
          <rPr>
            <sz val="9"/>
            <color indexed="81"/>
            <rFont val="Tahoma"/>
            <family val="2"/>
          </rPr>
          <t>), Kredit: Poistoero 15 000 € (</t>
        </r>
        <r>
          <rPr>
            <b/>
            <sz val="9"/>
            <color indexed="81"/>
            <rFont val="Tahoma"/>
            <family val="2"/>
          </rPr>
          <t>Tase</t>
        </r>
        <r>
          <rPr>
            <sz val="9"/>
            <color indexed="81"/>
            <rFont val="Tahoma"/>
            <family val="2"/>
          </rPr>
          <t xml:space="preserve">)
</t>
        </r>
        <r>
          <rPr>
            <b/>
            <sz val="9"/>
            <color indexed="81"/>
            <rFont val="Tahoma"/>
            <family val="2"/>
          </rPr>
          <t xml:space="preserve">Taseeseen jää:
</t>
        </r>
        <r>
          <rPr>
            <sz val="9"/>
            <color indexed="81"/>
            <rFont val="Tahoma"/>
            <family val="2"/>
          </rPr>
          <t xml:space="preserve">
Vastaavaa (varat): Koneet ja kalusto vähenee 10 000 €
Vastattavaa (velat ja oma pääoma): Poistoero kasvaa 15 000 €, mikä tarkoittaa, että yritys on lykännyt verotettavaa tuloa tulevaisuuteen.</t>
        </r>
      </text>
    </comment>
    <comment ref="W105" authorId="0" shapeId="0" xr:uid="{0329B2AE-1D39-4BEA-AC3B-C614CE00E647}">
      <text>
        <r>
          <rPr>
            <b/>
            <sz val="9"/>
            <color indexed="81"/>
            <rFont val="Tahoma"/>
            <family val="2"/>
          </rPr>
          <t xml:space="preserve">Varaston muutos:
</t>
        </r>
        <r>
          <rPr>
            <sz val="9"/>
            <color indexed="81"/>
            <rFont val="Tahoma"/>
            <family val="2"/>
          </rPr>
          <t xml:space="preserve">- Aloitusvarasto: 20 000 €
- Loppuvarasto: 30 000 €
- Varaston muutos: +10 000 € (varasto kasvoi)
Kirjaukset:
1. Varaston kasvu (varasto kasvoi 10 000 €):
   Debet: Varasto 10 000 €  
   Kredit: Varaston muutos 10 000 €  
   -&gt; Varasto kasvaa, myytyjen tavaroiden kustannus pienenee, voitto kasvaa.
- Aloitusvarasto: 30 000 €
- Loppuvarasto: 20 000 €
- Varaston muutos: -10 000 € (varasto väheni)
Kirjaukset:
2. Varaston väheneminen (varasto väheni 10 000 €):
   Debet: Varaston muutos 10 000 €  
   Kredit: Varasto 10 000 €  
   -&gt; Varasto vähenee, myytyjen tavaroiden kustannus kasvaa, voitto pienenee.
</t>
        </r>
      </text>
    </comment>
    <comment ref="T106" authorId="0" shapeId="0" xr:uid="{3BB2A472-72DC-46A5-BA8C-0C95C7BE5857}">
      <text>
        <r>
          <rPr>
            <b/>
            <sz val="9"/>
            <color indexed="81"/>
            <rFont val="Tahoma"/>
            <family val="2"/>
          </rPr>
          <t xml:space="preserve">Poistoero:
</t>
        </r>
        <r>
          <rPr>
            <sz val="9"/>
            <color indexed="81"/>
            <rFont val="Tahoma"/>
            <family val="2"/>
          </rPr>
          <t xml:space="preserve">Kun on laskettavissa poistoeroa verotukseen:
</t>
        </r>
        <r>
          <rPr>
            <b/>
            <sz val="9"/>
            <color indexed="81"/>
            <rFont val="Tahoma"/>
            <family val="2"/>
          </rPr>
          <t>Kirjataan debetiin</t>
        </r>
        <r>
          <rPr>
            <sz val="9"/>
            <color indexed="81"/>
            <rFont val="Tahoma"/>
            <family val="2"/>
          </rPr>
          <t>, syntyy "laskennallinen" keinokulu, joka pienentää verotettavaa tulosta nyt, mutta siirtää verotettavaa tulosta tulevaisuuteen.
Tulevaisuudessa purettaessa kasvattaa verotettavaa tulosta.</t>
        </r>
      </text>
    </comment>
    <comment ref="U106" authorId="0" shapeId="0" xr:uid="{956E78AD-E1E5-4D09-95FB-AF07207B7774}">
      <text>
        <r>
          <rPr>
            <b/>
            <sz val="9"/>
            <color indexed="81"/>
            <rFont val="Tahoma"/>
            <family val="2"/>
          </rPr>
          <t>Poistoeron purkaminen takaisin:</t>
        </r>
        <r>
          <rPr>
            <sz val="9"/>
            <color indexed="81"/>
            <rFont val="Tahoma"/>
            <family val="2"/>
          </rPr>
          <t xml:space="preserve">
 Kun poistoeroa puretaan takaisin, kirjaa Kreditiin (Eli tuloutus!).
Debet: Poistoero (tase, vastattavaa pienenee)
Kredit: Tilinpäätössiirrot – Poistoeron muutos (kasvattaa tulosta)
Vaikutus:
Tilikauden tulos kasvaa, koska aikaisemmin lykätty tulos siirtyy takaisin verotettavaksi.
Yritys maksaa enemmän veroa kyseisenä vuonna.
</t>
        </r>
      </text>
    </comment>
    <comment ref="W106" authorId="0" shapeId="0" xr:uid="{B4220B96-7D00-40E4-A8B1-78DD0CECE079}">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X106" authorId="0" shapeId="0" xr:uid="{A9D290B0-4202-4654-B4DD-3B2BFC0E6D01}">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 ref="Z106" authorId="0" shapeId="0" xr:uid="{E30213CD-3B48-4033-A6BE-0F3C5BEA99E5}">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AA106" authorId="0" shapeId="0" xr:uid="{A6758025-F224-4630-AE00-2A344C28FD58}">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E3" authorId="0" shapeId="0" xr:uid="{C05C3558-4EB3-40AE-8255-86556D0EE257}">
      <text>
        <r>
          <rPr>
            <sz val="9"/>
            <color indexed="81"/>
            <rFont val="Tahoma"/>
            <family val="2"/>
          </rPr>
          <t>Voit laittaa tähän tilinron kirjanpito-ohjelmasta. Auttaa ymmättämään esim. Procountoria</t>
        </r>
      </text>
    </comment>
    <comment ref="H3" authorId="0" shapeId="0" xr:uid="{C1A975CD-207F-42C2-AEBC-EB2370100E9C}">
      <text>
        <r>
          <rPr>
            <sz val="9"/>
            <color indexed="81"/>
            <rFont val="Tahoma"/>
            <family val="2"/>
          </rPr>
          <t>Voit laittaa tähän tilinron kirjanpito-ohjelmasta. Auttaa ymmättämään esim. Procountoria</t>
        </r>
      </text>
    </comment>
    <comment ref="K3" authorId="0" shapeId="0" xr:uid="{0EE1AA34-B25D-4774-A78A-3E6615D47A91}">
      <text>
        <r>
          <rPr>
            <sz val="9"/>
            <color indexed="81"/>
            <rFont val="Tahoma"/>
            <family val="2"/>
          </rPr>
          <t>Voit laittaa tähän tilinron kirjanpito-ohjelmasta. Auttaa ymmättämään esim. Procountoria</t>
        </r>
      </text>
    </comment>
    <comment ref="N3" authorId="0" shapeId="0" xr:uid="{3BA08458-28F3-41E7-BD38-4359ACAAFA1F}">
      <text>
        <r>
          <rPr>
            <sz val="9"/>
            <color indexed="81"/>
            <rFont val="Tahoma"/>
            <family val="2"/>
          </rPr>
          <t>Voit laittaa tähän tilinron kirjanpito-ohjelmasta. Auttaa ymmättämään esim. Procountoria</t>
        </r>
      </text>
    </comment>
    <comment ref="Q3" authorId="0" shapeId="0" xr:uid="{91C214AC-A706-4CDE-9892-EA5D60CDE6B0}">
      <text>
        <r>
          <rPr>
            <sz val="9"/>
            <color indexed="81"/>
            <rFont val="Tahoma"/>
            <family val="2"/>
          </rPr>
          <t>Voit laittaa tähän tilinron kirjanpito-ohjelmasta. Auttaa ymmättämään esim. Procountoria</t>
        </r>
      </text>
    </comment>
    <comment ref="T3" authorId="0" shapeId="0" xr:uid="{A71B822A-9CF4-43FD-A4EC-DB8226F47D27}">
      <text>
        <r>
          <rPr>
            <sz val="9"/>
            <color indexed="81"/>
            <rFont val="Tahoma"/>
            <family val="2"/>
          </rPr>
          <t>Voit laittaa tähän tilinron kirjanpito-ohjelmasta. Auttaa ymmättämään esim. Procountoria</t>
        </r>
      </text>
    </comment>
    <comment ref="E14" authorId="0" shapeId="0" xr:uid="{A0EDA30B-6294-4112-B991-A08FC2249128}">
      <text>
        <r>
          <rPr>
            <sz val="9"/>
            <color indexed="81"/>
            <rFont val="Tahoma"/>
            <family val="2"/>
          </rPr>
          <t>Voit laittaa tähän tilinron kirjanpito-ohjelmasta. Auttaa ymmättämään esim. Procountoria</t>
        </r>
      </text>
    </comment>
    <comment ref="H14" authorId="0" shapeId="0" xr:uid="{F1EEDD49-0985-452E-A391-7F4F00B6DD37}">
      <text>
        <r>
          <rPr>
            <sz val="9"/>
            <color indexed="81"/>
            <rFont val="Tahoma"/>
            <family val="2"/>
          </rPr>
          <t>Voit laittaa tähän tilinron kirjanpito-ohjelmasta. Auttaa ymmättämään esim. Procountoria</t>
        </r>
      </text>
    </comment>
    <comment ref="K14" authorId="0" shapeId="0" xr:uid="{AE672EE5-F025-451F-9FFB-423D921EF1E9}">
      <text>
        <r>
          <rPr>
            <sz val="9"/>
            <color indexed="81"/>
            <rFont val="Tahoma"/>
            <family val="2"/>
          </rPr>
          <t>Voit laittaa tähän tilinron kirjanpito-ohjelmasta. Auttaa ymmättämään esim. Procountoria</t>
        </r>
      </text>
    </comment>
    <comment ref="N14" authorId="0" shapeId="0" xr:uid="{897603E6-2447-4100-91A2-88F386663446}">
      <text>
        <r>
          <rPr>
            <sz val="9"/>
            <color indexed="81"/>
            <rFont val="Tahoma"/>
            <family val="2"/>
          </rPr>
          <t>Voit laittaa tähän tilinron kirjanpito-ohjelmasta. Auttaa ymmättämään esim. Procountoria</t>
        </r>
      </text>
    </comment>
    <comment ref="H15" authorId="0" shapeId="0" xr:uid="{FC62EE04-E402-412A-995F-2C1ACA11EBDA}">
      <text>
        <r>
          <rPr>
            <b/>
            <sz val="9"/>
            <color indexed="81"/>
            <rFont val="Tahoma"/>
            <family val="2"/>
          </rPr>
          <t xml:space="preserve">Siirtosaamisten periaate
</t>
        </r>
        <r>
          <rPr>
            <sz val="9"/>
            <color indexed="81"/>
            <rFont val="Tahoma"/>
            <family val="2"/>
          </rPr>
          <t xml:space="preserve">Siirtosaamiset </t>
        </r>
        <r>
          <rPr>
            <b/>
            <sz val="9"/>
            <color indexed="81"/>
            <rFont val="Tahoma"/>
            <family val="2"/>
          </rPr>
          <t>ovat tuloja</t>
        </r>
        <r>
          <rPr>
            <sz val="9"/>
            <color indexed="81"/>
            <rFont val="Tahoma"/>
            <family val="2"/>
          </rPr>
          <t xml:space="preserve">, jotka kuuluvat tilikaudelle, mutta joita ei ole vielä saatu rahana, </t>
        </r>
        <r>
          <rPr>
            <b/>
            <sz val="9"/>
            <color indexed="81"/>
            <rFont val="Tahoma"/>
            <family val="2"/>
          </rPr>
          <t>tai kuluja</t>
        </r>
        <r>
          <rPr>
            <sz val="9"/>
            <color indexed="81"/>
            <rFont val="Tahoma"/>
            <family val="2"/>
          </rPr>
          <t>, jotka on maksettu etukäteen mutta jotka kohdistuvat tuleville tilikausille.
1. Siirtosaamisena tulo (tulot, jotka kuuluvat tilikaudelle, mutta joita ei ole vielä saatu)
Yritys on suorittanut asiakkaalle palvelun joulukuussa 2024, mutta lasku lähetetään tammikuussa 2025. Koska tulo kuuluu vuodelle 2024, se kirjataan siirtosaamiseksi:
Joulukuu 2024:
Kirjaus:
🔹 Debet: Siirtosaamiset (ennakkoon tuloutettavat tulot) 5 000 €
🔹 Kredit: Myyntitulot 5 000 €
Tammikuu 2025, kun asiakas maksaa laskun:
Kirjaus:
🔹 Debet: Pankkitili 5 000 €
🔹 Kredit: Siirtosaamiset 5 000 €
2. Siirtosaamisena kulu (kulu, joka on maksettu etukäteen, mutta kuuluu tulevalle tilikaudelle)
Yritys maksaa vuokran ajalle joulukuu 2024 – helmikuu 2025 yhteensä 3 000 € (1 000 €/kk). Joulukuun osuus kuuluu tilikaudelle 2024, mutta tammi–helmikuu 2025 kuuluu seuraavalle tilikaudelle.
Joulukuu 2024:
Kirjaus:
🔹 Debet: Vuokrakulut 1 000 €
🔹 Debet: Siirtosaamiset (ennakkomaksut) 2 000 €
🔹 Kredit: Pankkitili 3 000 €
Tammikuu ja helmikuu 2025, kun kulu toteutuu:
Kirjaus per kuukausi:
🔹 Debet: Vuokrakulut 1 000 €
🔹 Kredit: Siirtosaamiset 1 000 €.
Yhteenveto
Siirtosaamisissa voi olla sekä tuloja että kuluja:
Tuloja, jotka kuuluvat tilikaudelle mutta laskutetaan myöhemmin
Kuluja, jotka on maksettu etukäteen mutta kuuluvat osittain. tulevalle tilikaudelle</t>
        </r>
      </text>
    </comment>
    <comment ref="H16" authorId="0" shapeId="0" xr:uid="{3DAE8975-C8A5-41BC-8B19-70F6024CF982}">
      <text>
        <r>
          <rPr>
            <sz val="9"/>
            <color indexed="81"/>
            <rFont val="Tahoma"/>
            <family val="2"/>
          </rPr>
          <t>Esimerkki: Vuokratuotot siirtosaamisina
Yritys vuokraa varaston asiakkaalle hintaan 1 000 €/kk.
Joulukuun 2025 vuokra kuuluu tilikaudelle 2025, mutta asiakasta laskutetaan joulukuusta vasta tammikuussa 2026.
Kirjanpito 31.12.2025 (tilinpäätöksessä)
Koska vuokratulo kuuluu vielä vuodelle 2025, mutta laskutetaan vasta 2026, se pitää kirjata siirtosaamisiin.
Kirjaus 2025:
Siirtosaamiset (debet) 1 000 € (koska yritys on ansainnut rahan, mutta ei ole vielä saanut sitä)
Vuokratuotot (kredit) 1 000 € (koska tulo kuuluu vuodelle 2025)
Tuloslaskelmassa 2025:
Vuokratuotot +1 000 €
Taseessa 31.12.2025:
Siirtosaamiset 1 000 €
Seuraava tilikausi: Maksettu vuokra tammikuussa 2026
Kun asiakas maksaa tammikuussa, saaminen poistetaan.
Kirjaus 2026:
Pankkitili (debet) 1 000 € (raha saapuu tilille)
Siirtosaamiset (kredit) 1 000 € (saaminen poistuu)</t>
        </r>
      </text>
    </comment>
    <comment ref="E36" authorId="0" shapeId="0" xr:uid="{1C0E278F-40F4-462F-B767-90965F85D11F}">
      <text>
        <r>
          <rPr>
            <sz val="9"/>
            <color indexed="81"/>
            <rFont val="Tahoma"/>
            <family val="2"/>
          </rPr>
          <t>Voit laittaa tähän tilinron kirjanpito-ohjelmasta. Auttaa ymmättämään esim. Procountoria</t>
        </r>
      </text>
    </comment>
    <comment ref="H36" authorId="0" shapeId="0" xr:uid="{3500C461-AD10-45E4-98D1-D1DF7BC58875}">
      <text>
        <r>
          <rPr>
            <sz val="9"/>
            <color indexed="81"/>
            <rFont val="Tahoma"/>
            <family val="2"/>
          </rPr>
          <t>Voit laittaa tähän tilinron kirjanpito-ohjelmasta. Auttaa ymmättämään esim. Procountoria</t>
        </r>
      </text>
    </comment>
    <comment ref="K36" authorId="0" shapeId="0" xr:uid="{53F8393D-6976-4DBF-BBB3-1C9EB4100846}">
      <text>
        <r>
          <rPr>
            <sz val="9"/>
            <color indexed="81"/>
            <rFont val="Tahoma"/>
            <family val="2"/>
          </rPr>
          <t>Voit laittaa tähän tilinron kirjanpito-ohjelmasta. Auttaa ymmättämään esim. Procountoria</t>
        </r>
      </text>
    </comment>
    <comment ref="N36" authorId="0" shapeId="0" xr:uid="{F89E0F55-F070-46E1-AE25-93005F0A89CA}">
      <text>
        <r>
          <rPr>
            <sz val="9"/>
            <color indexed="81"/>
            <rFont val="Tahoma"/>
            <family val="2"/>
          </rPr>
          <t>Voit laittaa tähän tilinron kirjanpito-ohjelmasta. Auttaa ymmättämään esim. Procountoria</t>
        </r>
      </text>
    </comment>
    <comment ref="Q36" authorId="0" shapeId="0" xr:uid="{C10D9F35-933A-442B-BC38-BBEF4931EFA8}">
      <text>
        <r>
          <rPr>
            <sz val="9"/>
            <color indexed="81"/>
            <rFont val="Tahoma"/>
            <family val="2"/>
          </rPr>
          <t>Voit laittaa tähän tilinron kirjanpito-ohjelmasta. Auttaa ymmättämään esim. Procountoria</t>
        </r>
      </text>
    </comment>
    <comment ref="T36" authorId="0" shapeId="0" xr:uid="{027574B7-173C-40AA-BA46-230D134FF1C2}">
      <text>
        <r>
          <rPr>
            <sz val="9"/>
            <color indexed="81"/>
            <rFont val="Tahoma"/>
            <family val="2"/>
          </rPr>
          <t>Voit laittaa tähän tilinron kirjanpito-ohjelmasta. Auttaa ymmättämään esim. Procountoria</t>
        </r>
      </text>
    </comment>
    <comment ref="W36" authorId="0" shapeId="0" xr:uid="{1843C767-B656-4675-8834-2D6BBBCA70A3}">
      <text>
        <r>
          <rPr>
            <sz val="9"/>
            <color indexed="81"/>
            <rFont val="Tahoma"/>
            <family val="2"/>
          </rPr>
          <t>Voit laittaa tähän tilinron kirjanpito-ohjelmasta. Auttaa ymmättämään esim. Procountoria</t>
        </r>
      </text>
    </comment>
    <comment ref="Z36" authorId="0" shapeId="0" xr:uid="{A7A32443-2490-4F00-BF63-B532D93A5D56}">
      <text>
        <r>
          <rPr>
            <sz val="9"/>
            <color indexed="81"/>
            <rFont val="Tahoma"/>
            <family val="2"/>
          </rPr>
          <t>Voit laittaa tähän tilinron kirjanpito-ohjelmasta. Auttaa ymmättämään esim. Procountoria</t>
        </r>
      </text>
    </comment>
    <comment ref="K48" authorId="0" shapeId="0" xr:uid="{C706A6A1-7877-49CE-8F25-409F87E08480}">
      <text>
        <r>
          <rPr>
            <b/>
            <sz val="9"/>
            <color indexed="81"/>
            <rFont val="Tahoma"/>
            <family val="2"/>
          </rPr>
          <t>Tuloskirjaus automaattisesti Tuloslaskelmalta</t>
        </r>
      </text>
    </comment>
    <comment ref="L48" authorId="0" shapeId="0" xr:uid="{E2443F55-5AEE-45D6-B3BE-9311EF089712}">
      <text>
        <r>
          <rPr>
            <b/>
            <sz val="9"/>
            <color indexed="81"/>
            <rFont val="Tahoma"/>
            <family val="2"/>
          </rPr>
          <t>Tuloskirjaus automaattisesti Tuloslaskelmalta</t>
        </r>
      </text>
    </comment>
    <comment ref="E52" authorId="0" shapeId="0" xr:uid="{04C155E6-CD03-4124-AB52-E8131E5CDB53}">
      <text>
        <r>
          <rPr>
            <sz val="9"/>
            <color indexed="81"/>
            <rFont val="Tahoma"/>
            <family val="2"/>
          </rPr>
          <t>Voit laittaa tähän tilinron kirjanpito-ohjelmasta. Auttaa ymmättämään esim. Procountoria</t>
        </r>
      </text>
    </comment>
    <comment ref="H52" authorId="0" shapeId="0" xr:uid="{1EAB9F3E-8BC2-4726-AC5A-E2FA27ADC717}">
      <text>
        <r>
          <rPr>
            <sz val="9"/>
            <color indexed="81"/>
            <rFont val="Tahoma"/>
            <family val="2"/>
          </rPr>
          <t>Voit laittaa tähän tilinron kirjanpito-ohjelmasta. Auttaa ymmättämään esim. Procountoria</t>
        </r>
      </text>
    </comment>
    <comment ref="K52" authorId="0" shapeId="0" xr:uid="{02CD83AB-C8BF-4953-AE94-8268227F884E}">
      <text>
        <r>
          <rPr>
            <sz val="9"/>
            <color indexed="81"/>
            <rFont val="Tahoma"/>
            <family val="2"/>
          </rPr>
          <t>Voit laittaa tähän tilinron kirjanpito-ohjelmasta. Auttaa ymmättämään esim. Procountoria</t>
        </r>
      </text>
    </comment>
    <comment ref="N52" authorId="0" shapeId="0" xr:uid="{C91D340A-678D-48D1-8C7C-466D7AC96900}">
      <text>
        <r>
          <rPr>
            <sz val="9"/>
            <color indexed="81"/>
            <rFont val="Tahoma"/>
            <family val="2"/>
          </rPr>
          <t>Voit laittaa tähän tilinron kirjanpito-ohjelmasta. Auttaa ymmättämään esim. Procountoria</t>
        </r>
      </text>
    </comment>
    <comment ref="Q52" authorId="0" shapeId="0" xr:uid="{D531E2BC-7196-40FC-943B-AF12FCE0158D}">
      <text>
        <r>
          <rPr>
            <sz val="9"/>
            <color indexed="81"/>
            <rFont val="Tahoma"/>
            <family val="2"/>
          </rPr>
          <t>Voit laittaa tähän tilinron kirjanpito-ohjelmasta. Auttaa ymmättämään esim. Procountoria</t>
        </r>
      </text>
    </comment>
    <comment ref="Q53" authorId="0" shapeId="0" xr:uid="{A0729366-7FAE-423C-83AA-E76D5CE7BA6D}">
      <text>
        <r>
          <rPr>
            <b/>
            <sz val="9"/>
            <color indexed="81"/>
            <rFont val="Tahoma"/>
            <family val="2"/>
          </rPr>
          <t xml:space="preserve">Siirtovelat </t>
        </r>
        <r>
          <rPr>
            <sz val="9"/>
            <color indexed="81"/>
            <rFont val="Tahoma"/>
            <family val="2"/>
          </rPr>
          <t xml:space="preserve">ovat jaksotettuja menoja, jotka on kirjattu velaksi, koska ne kuuluvat kuluvan tilikauden kuluihin, mutta maksetaan vasta seuraavalla tilikaudella.
Esimerkkejä siirtoveloista:
Palkat ja lomapalkat – Joulukuu: Jos työntekijöille maksetaan tammikuussa joulukuun palkkoja, ne kirjataan siirtovelkoihin.
Vuokrat ja muut kulut – Jos yritys on saanut laskun vuokrista joulukuussa mutta maksaa sen tammikuussa, se voi olla siirtovelkaa.
Korot ja verot – Esimerkiksi tilikaudelle kuuluva mutta maksamatta oleva korkokulu voi olla siirtovelkaa.
</t>
        </r>
        <r>
          <rPr>
            <b/>
            <sz val="9"/>
            <color indexed="81"/>
            <rFont val="Tahoma"/>
            <family val="2"/>
          </rPr>
          <t xml:space="preserve">Ero ostovelkoihin
</t>
        </r>
        <r>
          <rPr>
            <sz val="9"/>
            <color indexed="81"/>
            <rFont val="Tahoma"/>
            <family val="2"/>
          </rPr>
          <t xml:space="preserve">Ostovelat ovat liiketoiminnan hankintoihin liittyviä laskuja (esim. tavara- ja materiaalihankinnat), jotka maksetaan myöhemmin.
</t>
        </r>
        <r>
          <rPr>
            <b/>
            <sz val="9"/>
            <color indexed="81"/>
            <rFont val="Tahoma"/>
            <family val="2"/>
          </rPr>
          <t>Siirtovelat</t>
        </r>
        <r>
          <rPr>
            <sz val="9"/>
            <color indexed="81"/>
            <rFont val="Tahoma"/>
            <family val="2"/>
          </rPr>
          <t xml:space="preserve"> liittyvät jaksotuksiin, eli ne ovat kuluja, jotka kuuluvat kuluvan tilikauden tulokseen, mutta eivät ole vielä maksettu.
Siirtovelkoja käytetään, jotta tuloslaskelma ja tase antavat oikean kuvan yrityksen taloudellisesta tilanteesta tilinpäätöksessä.
Yrityksellä on työntekijöitä, joille on kertynyt lomapalkkoja 12 000 € vuoden 2024 aikana. Nämä lomapalkat maksetaan vasta kesällä 2025, mutta ne kuuluvat kuluksi tilikaudelle 2024.
1. Tilinpäätöskirjaus 31.12.2024 (lomapalkan jaksotus)
Koska lomapalkat on ansaittu vuonna 2024, mutta maksetaan vasta 2025, ne kirjataan siirtovelaksi:
Kirjaus:
🔹 Debet: Palkkakulut 12 000 €
🔹 Kredit: Siirtovelat (Lomapalkkavelka) 12 000 €
2. Lomapalkan maksaminen kesällä 2025
Kun lomapalkat maksetaan työntekijöille:
Kirjaus maksuhetkellä:
🔹 Debet: Siirtovelat (Lomapalkkavelka) 12 000 €
🔹 Kredit: Pankkitili 12 000 €.</t>
        </r>
      </text>
    </comment>
    <comment ref="Z53" authorId="0" shapeId="0" xr:uid="{2026867B-BE94-48BB-B5BB-2E605FD28F69}">
      <text>
        <r>
          <rPr>
            <sz val="9"/>
            <color rgb="FF000000"/>
            <rFont val="Tahoma"/>
            <family val="2"/>
          </rPr>
          <t xml:space="preserve">Poistoero näkyy taseessa vastattavaa-puolella, koska se on osa yrityksen oma pääoma ja varaukset -ryhmää.
</t>
        </r>
        <r>
          <rPr>
            <sz val="9"/>
            <color rgb="FF000000"/>
            <rFont val="Tahoma"/>
            <family val="2"/>
          </rPr>
          <t xml:space="preserve">Vaikutus tuloslaskelmaan: Vaikka poistoero ei ole itsenäinen tuloslaskelmatili, sen muutokset vaikuttavat tuloslaskelman eriin.
</t>
        </r>
        <r>
          <rPr>
            <sz val="9"/>
            <color rgb="FF000000"/>
            <rFont val="Tahoma"/>
            <family val="2"/>
          </rPr>
          <t xml:space="preserve">Poistoeron lisäys kasvattaa kirjanpidollisia poistoja, vähentäen tilikauden tulosta.
</t>
        </r>
        <r>
          <rPr>
            <sz val="9"/>
            <color rgb="FF000000"/>
            <rFont val="Tahoma"/>
            <family val="2"/>
          </rPr>
          <t>Poistoeron vähennys lisää tulosta.</t>
        </r>
      </text>
    </comment>
    <comment ref="H78" authorId="0" shapeId="0" xr:uid="{4E0E5290-D81C-4126-B303-524457E6FFB5}">
      <text>
        <r>
          <rPr>
            <b/>
            <sz val="9"/>
            <color indexed="81"/>
            <rFont val="Tahoma"/>
            <family val="2"/>
          </rPr>
          <t>Annetut alennukset</t>
        </r>
        <r>
          <rPr>
            <sz val="9"/>
            <color indexed="81"/>
            <rFont val="Tahoma"/>
            <family val="2"/>
          </rPr>
          <t xml:space="preserve"> vähentävät liikevaihtoa, eli on yritykselle kulu. 
</t>
        </r>
        <r>
          <rPr>
            <b/>
            <sz val="9"/>
            <color indexed="81"/>
            <rFont val="Tahoma"/>
            <family val="2"/>
          </rPr>
          <t xml:space="preserve">Kirjataan debet-puolelle.
Kirjausohje alennuksissa:
</t>
        </r>
        <r>
          <rPr>
            <sz val="9"/>
            <color indexed="81"/>
            <rFont val="Tahoma"/>
            <family val="2"/>
          </rPr>
          <t xml:space="preserve">1. Laske ensin alennuksen määrä  sis. Alvin
2. Kirjaa alennus alv 0% Annetut alennukset tilille </t>
        </r>
        <r>
          <rPr>
            <b/>
            <sz val="9"/>
            <color indexed="81"/>
            <rFont val="Tahoma"/>
            <family val="2"/>
          </rPr>
          <t xml:space="preserve">DEBET
</t>
        </r>
        <r>
          <rPr>
            <sz val="9"/>
            <color indexed="81"/>
            <rFont val="Tahoma"/>
            <family val="2"/>
          </rPr>
          <t xml:space="preserve">3.  Kirjaa Alv-osuus Alv - tilille (tase vastatattavaa OIkea puoli) </t>
        </r>
        <r>
          <rPr>
            <b/>
            <sz val="9"/>
            <color indexed="81"/>
            <rFont val="Tahoma"/>
            <family val="2"/>
          </rPr>
          <t xml:space="preserve">DEBET
</t>
        </r>
        <r>
          <rPr>
            <sz val="9"/>
            <color indexed="81"/>
            <rFont val="Tahoma"/>
            <family val="2"/>
          </rPr>
          <t xml:space="preserve">4. Kuittaa Myyntisaamiset alkuperäisen laskun koko summa alveineen pois </t>
        </r>
        <r>
          <rPr>
            <b/>
            <sz val="9"/>
            <color indexed="81"/>
            <rFont val="Tahoma"/>
            <family val="2"/>
          </rPr>
          <t>KREDIT</t>
        </r>
        <r>
          <rPr>
            <sz val="9"/>
            <color indexed="81"/>
            <rFont val="Tahoma"/>
            <family val="2"/>
          </rPr>
          <t xml:space="preserve">. Eli jos laskun alkuperäinen oli 65 € (sis alvin) ja asiakas maksoi 58,50 €. Kirjaa 65 € </t>
        </r>
        <r>
          <rPr>
            <b/>
            <sz val="9"/>
            <color indexed="81"/>
            <rFont val="Tahoma"/>
            <family val="2"/>
          </rPr>
          <t>KREDIT</t>
        </r>
        <r>
          <rPr>
            <sz val="9"/>
            <color indexed="81"/>
            <rFont val="Tahoma"/>
            <family val="2"/>
          </rPr>
          <t xml:space="preserve">. 
5. Kirjaa pankkiin </t>
        </r>
        <r>
          <rPr>
            <b/>
            <sz val="9"/>
            <color indexed="81"/>
            <rFont val="Tahoma"/>
            <family val="2"/>
          </rPr>
          <t>Debet</t>
        </r>
        <r>
          <rPr>
            <sz val="9"/>
            <color indexed="81"/>
            <rFont val="Tahoma"/>
            <family val="2"/>
          </rPr>
          <t xml:space="preserve"> saatu raha bruttona. </t>
        </r>
      </text>
    </comment>
    <comment ref="W78" authorId="0" shapeId="0" xr:uid="{9C9DC7D8-9174-44F5-8CE0-22AFE63EC815}">
      <text>
        <r>
          <rPr>
            <sz val="9"/>
            <color indexed="81"/>
            <rFont val="Tahoma"/>
            <family val="2"/>
          </rPr>
          <t>Käyttöikä on enintään 3 vuotta tai hankintahinta on enintään 1 200 euroa</t>
        </r>
        <r>
          <rPr>
            <sz val="9"/>
            <color indexed="81"/>
            <rFont val="Tahoma"/>
            <charset val="1"/>
          </rPr>
          <t xml:space="preserve">
</t>
        </r>
      </text>
    </comment>
    <comment ref="H105" authorId="0" shapeId="0" xr:uid="{908311BE-ED00-4DDF-9012-FB00BAA4AB78}">
      <text>
        <r>
          <rPr>
            <b/>
            <sz val="9"/>
            <color indexed="81"/>
            <rFont val="Tahoma"/>
            <family val="2"/>
          </rPr>
          <t>Saadut käteisalennukset</t>
        </r>
        <r>
          <rPr>
            <sz val="9"/>
            <color indexed="81"/>
            <rFont val="Tahoma"/>
            <family val="2"/>
          </rPr>
          <t xml:space="preserve"> pienentävät ostojen kulua.
Ne kirjataan debet-puolelle.
Kirjauksen tarkoitus on vähentää ostoihin liittyvää kulua, mikä parantaa yrityksen tulosta.</t>
        </r>
      </text>
    </comment>
    <comment ref="T105" authorId="0" shapeId="0" xr:uid="{BEC36B60-C02F-4103-81DB-1EBF71480424}">
      <text>
        <r>
          <rPr>
            <sz val="9"/>
            <color indexed="81"/>
            <rFont val="Tahoma"/>
            <family val="2"/>
          </rPr>
          <t>Tilinpäätössiirtoja ovat poistoeron ja verotusperusteisten varausten muutos.
Esimerkki:
Poistoero syntyy, kun verotuksessa tehdään suurempia poistoja kuin kirjanpidossa.  
Esimerkki:  
- Koneen hankintahinta: 100 000 €  
- Kirjanpidollinen poisto: 10 000 €  
- Verotuksessa tehty poisto: 25 000 €  
- Poistoero: 15 000 € (25 000 € - 10 000 €)  
Kirjaukset:  
1. Suunnitelman mukainen poisto:  
   Debet: Poistot 10 000 €, Kredit: Koneet 10 000 €  
2. Poistoeron muutos:  
   Debet: Tilinpäätössiirrot 15 000 € (</t>
        </r>
        <r>
          <rPr>
            <b/>
            <sz val="9"/>
            <color indexed="81"/>
            <rFont val="Tahoma"/>
            <family val="2"/>
          </rPr>
          <t>Tuloslaskelmalle</t>
        </r>
        <r>
          <rPr>
            <sz val="9"/>
            <color indexed="81"/>
            <rFont val="Tahoma"/>
            <family val="2"/>
          </rPr>
          <t>), Kredit: Poistoero 15 000 € (</t>
        </r>
        <r>
          <rPr>
            <b/>
            <sz val="9"/>
            <color indexed="81"/>
            <rFont val="Tahoma"/>
            <family val="2"/>
          </rPr>
          <t>Tase</t>
        </r>
        <r>
          <rPr>
            <sz val="9"/>
            <color indexed="81"/>
            <rFont val="Tahoma"/>
            <family val="2"/>
          </rPr>
          <t xml:space="preserve">)
</t>
        </r>
        <r>
          <rPr>
            <b/>
            <sz val="9"/>
            <color indexed="81"/>
            <rFont val="Tahoma"/>
            <family val="2"/>
          </rPr>
          <t xml:space="preserve">Taseeseen jää:
</t>
        </r>
        <r>
          <rPr>
            <sz val="9"/>
            <color indexed="81"/>
            <rFont val="Tahoma"/>
            <family val="2"/>
          </rPr>
          <t xml:space="preserve">
Vastaavaa (varat): Koneet ja kalusto vähenee 10 000 €
Vastattavaa (velat ja oma pääoma): Poistoero kasvaa 15 000 €, mikä tarkoittaa, että yritys on lykännyt verotettavaa tuloa tulevaisuuteen.</t>
        </r>
      </text>
    </comment>
    <comment ref="W105" authorId="0" shapeId="0" xr:uid="{49158DF4-5AB1-4F2E-910F-2660B26EC917}">
      <text>
        <r>
          <rPr>
            <b/>
            <sz val="9"/>
            <color indexed="81"/>
            <rFont val="Tahoma"/>
            <family val="2"/>
          </rPr>
          <t xml:space="preserve">Varaston muutos:
</t>
        </r>
        <r>
          <rPr>
            <sz val="9"/>
            <color indexed="81"/>
            <rFont val="Tahoma"/>
            <family val="2"/>
          </rPr>
          <t xml:space="preserve">- Aloitusvarasto: 20 000 €
- Loppuvarasto: 30 000 €
- Varaston muutos: +10 000 € (varasto kasvoi)
Kirjaukset:
1. Varaston kasvu (varasto kasvoi 10 000 €):
   Debet: Varasto 10 000 €  
   Kredit: Varaston muutos 10 000 €  
   -&gt; Varasto kasvaa, myytyjen tavaroiden kustannus pienenee, voitto kasvaa.
- Aloitusvarasto: 30 000 €
- Loppuvarasto: 20 000 €
- Varaston muutos: -10 000 € (varasto väheni)
Kirjaukset:
2. Varaston väheneminen (varasto väheni 10 000 €):
   Debet: Varaston muutos 10 000 €  
   Kredit: Varasto 10 000 €  
   -&gt; Varasto vähenee, myytyjen tavaroiden kustannus kasvaa, voitto pienenee.
</t>
        </r>
      </text>
    </comment>
    <comment ref="T106" authorId="0" shapeId="0" xr:uid="{81CC8B71-F0BC-4C82-B196-E7851CBB4DE3}">
      <text>
        <r>
          <rPr>
            <b/>
            <sz val="9"/>
            <color indexed="81"/>
            <rFont val="Tahoma"/>
            <family val="2"/>
          </rPr>
          <t xml:space="preserve">Poistoero:
</t>
        </r>
        <r>
          <rPr>
            <sz val="9"/>
            <color indexed="81"/>
            <rFont val="Tahoma"/>
            <family val="2"/>
          </rPr>
          <t xml:space="preserve">Kun on laskettavissa poistoeroa verotukseen:
</t>
        </r>
        <r>
          <rPr>
            <b/>
            <sz val="9"/>
            <color indexed="81"/>
            <rFont val="Tahoma"/>
            <family val="2"/>
          </rPr>
          <t>Kirjataan debetiin</t>
        </r>
        <r>
          <rPr>
            <sz val="9"/>
            <color indexed="81"/>
            <rFont val="Tahoma"/>
            <family val="2"/>
          </rPr>
          <t>, syntyy "laskennallinen" keinokulu, joka pienentää verotettavaa tulosta nyt, mutta siirtää verotettavaa tulosta tulevaisuuteen.
Tulevaisuudessa purettaessa kasvattaa verotettavaa tulosta.</t>
        </r>
      </text>
    </comment>
    <comment ref="U106" authorId="0" shapeId="0" xr:uid="{81F439F2-93AE-4D18-9A12-581A5F471266}">
      <text>
        <r>
          <rPr>
            <b/>
            <sz val="9"/>
            <color indexed="81"/>
            <rFont val="Tahoma"/>
            <family val="2"/>
          </rPr>
          <t>Poistoeron purkaminen takaisin:</t>
        </r>
        <r>
          <rPr>
            <sz val="9"/>
            <color indexed="81"/>
            <rFont val="Tahoma"/>
            <family val="2"/>
          </rPr>
          <t xml:space="preserve">
 Kun poistoeroa puretaan takaisin, kirjaa Kreditiin (Eli tuloutus!).
Debet: Poistoero (tase, vastattavaa pienenee)
Kredit: Tilinpäätössiirrot – Poistoeron muutos (kasvattaa tulosta)
Vaikutus:
Tilikauden tulos kasvaa, koska aikaisemmin lykätty tulos siirtyy takaisin verotettavaksi.
Yritys maksaa enemmän veroa kyseisenä vuonna.
</t>
        </r>
      </text>
    </comment>
    <comment ref="W106" authorId="0" shapeId="0" xr:uid="{4731F3EE-50B1-4011-B1ED-AEA635C55417}">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X106" authorId="0" shapeId="0" xr:uid="{A9637A4B-0C91-45DE-963C-A1C51D72463B}">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 ref="Z106" authorId="0" shapeId="0" xr:uid="{A49A0B63-069B-4F35-BA97-5A851F4850C5}">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AA106" authorId="0" shapeId="0" xr:uid="{31E12955-BDBD-41B8-B088-512B4C20AAFA}">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E3" authorId="0" shapeId="0" xr:uid="{B19E6926-C5FD-4C69-B05C-B9F8C43439BE}">
      <text>
        <r>
          <rPr>
            <sz val="9"/>
            <color indexed="81"/>
            <rFont val="Tahoma"/>
            <family val="2"/>
          </rPr>
          <t>Voit laittaa tähän tilinron kirjanpito-ohjelmasta. Auttaa ymmättämään esim. Procountoria</t>
        </r>
      </text>
    </comment>
    <comment ref="H3" authorId="0" shapeId="0" xr:uid="{66A9F517-E616-4B58-9BBA-435AA5C39D41}">
      <text>
        <r>
          <rPr>
            <sz val="9"/>
            <color indexed="81"/>
            <rFont val="Tahoma"/>
            <family val="2"/>
          </rPr>
          <t>Voit laittaa tähän tilinron kirjanpito-ohjelmasta. Auttaa ymmättämään esim. Procountoria</t>
        </r>
      </text>
    </comment>
    <comment ref="K3" authorId="0" shapeId="0" xr:uid="{C92D92EB-14CE-45AD-90AC-649B006E4E19}">
      <text>
        <r>
          <rPr>
            <sz val="9"/>
            <color indexed="81"/>
            <rFont val="Tahoma"/>
            <family val="2"/>
          </rPr>
          <t>Voit laittaa tähän tilinron kirjanpito-ohjelmasta. Auttaa ymmättämään esim. Procountoria</t>
        </r>
      </text>
    </comment>
    <comment ref="N3" authorId="0" shapeId="0" xr:uid="{AA9300D3-FA5F-4A07-9F11-479994ADBC78}">
      <text>
        <r>
          <rPr>
            <sz val="9"/>
            <color indexed="81"/>
            <rFont val="Tahoma"/>
            <family val="2"/>
          </rPr>
          <t>Voit laittaa tähän tilinron kirjanpito-ohjelmasta. Auttaa ymmättämään esim. Procountoria</t>
        </r>
      </text>
    </comment>
    <comment ref="Q3" authorId="0" shapeId="0" xr:uid="{61D9E3DE-59F5-4AB3-BFD1-69F5EB1EE9FF}">
      <text>
        <r>
          <rPr>
            <sz val="9"/>
            <color indexed="81"/>
            <rFont val="Tahoma"/>
            <family val="2"/>
          </rPr>
          <t>Voit laittaa tähän tilinron kirjanpito-ohjelmasta. Auttaa ymmättämään esim. Procountoria</t>
        </r>
      </text>
    </comment>
    <comment ref="T3" authorId="0" shapeId="0" xr:uid="{2F3C6BA8-B954-4336-BE39-98FBB85A7FD0}">
      <text>
        <r>
          <rPr>
            <sz val="9"/>
            <color indexed="81"/>
            <rFont val="Tahoma"/>
            <family val="2"/>
          </rPr>
          <t>Voit laittaa tähän tilinron kirjanpito-ohjelmasta. Auttaa ymmättämään esim. Procountoria</t>
        </r>
      </text>
    </comment>
    <comment ref="E14" authorId="0" shapeId="0" xr:uid="{CB590BE9-8575-4311-8E4F-7A488F7B7977}">
      <text>
        <r>
          <rPr>
            <sz val="9"/>
            <color indexed="81"/>
            <rFont val="Tahoma"/>
            <family val="2"/>
          </rPr>
          <t>Voit laittaa tähän tilinron kirjanpito-ohjelmasta. Auttaa ymmättämään esim. Procountoria</t>
        </r>
      </text>
    </comment>
    <comment ref="H14" authorId="0" shapeId="0" xr:uid="{1C8CC416-421E-4AA6-B7AD-EF19043A9FE5}">
      <text>
        <r>
          <rPr>
            <sz val="9"/>
            <color indexed="81"/>
            <rFont val="Tahoma"/>
            <family val="2"/>
          </rPr>
          <t>Voit laittaa tähän tilinron kirjanpito-ohjelmasta. Auttaa ymmättämään esim. Procountoria</t>
        </r>
      </text>
    </comment>
    <comment ref="K14" authorId="0" shapeId="0" xr:uid="{893F7467-0BC9-4C72-9F3C-6EBA5348A590}">
      <text>
        <r>
          <rPr>
            <sz val="9"/>
            <color indexed="81"/>
            <rFont val="Tahoma"/>
            <family val="2"/>
          </rPr>
          <t>Voit laittaa tähän tilinron kirjanpito-ohjelmasta. Auttaa ymmättämään esim. Procountoria</t>
        </r>
      </text>
    </comment>
    <comment ref="N14" authorId="0" shapeId="0" xr:uid="{4FF91081-4BF1-4616-914E-BDDCC84DD0DB}">
      <text>
        <r>
          <rPr>
            <sz val="9"/>
            <color indexed="81"/>
            <rFont val="Tahoma"/>
            <family val="2"/>
          </rPr>
          <t>Voit laittaa tähän tilinron kirjanpito-ohjelmasta. Auttaa ymmättämään esim. Procountoria</t>
        </r>
      </text>
    </comment>
    <comment ref="H15" authorId="0" shapeId="0" xr:uid="{5741C91F-0414-411E-82FF-B3C58836C25C}">
      <text>
        <r>
          <rPr>
            <b/>
            <sz val="9"/>
            <color indexed="81"/>
            <rFont val="Tahoma"/>
            <family val="2"/>
          </rPr>
          <t xml:space="preserve">Siirtosaamisten periaate
</t>
        </r>
        <r>
          <rPr>
            <sz val="9"/>
            <color indexed="81"/>
            <rFont val="Tahoma"/>
            <family val="2"/>
          </rPr>
          <t xml:space="preserve">Siirtosaamiset </t>
        </r>
        <r>
          <rPr>
            <b/>
            <sz val="9"/>
            <color indexed="81"/>
            <rFont val="Tahoma"/>
            <family val="2"/>
          </rPr>
          <t>ovat tuloja</t>
        </r>
        <r>
          <rPr>
            <sz val="9"/>
            <color indexed="81"/>
            <rFont val="Tahoma"/>
            <family val="2"/>
          </rPr>
          <t xml:space="preserve">, jotka kuuluvat tilikaudelle, mutta joita ei ole vielä saatu rahana, </t>
        </r>
        <r>
          <rPr>
            <b/>
            <sz val="9"/>
            <color indexed="81"/>
            <rFont val="Tahoma"/>
            <family val="2"/>
          </rPr>
          <t>tai kuluja</t>
        </r>
        <r>
          <rPr>
            <sz val="9"/>
            <color indexed="81"/>
            <rFont val="Tahoma"/>
            <family val="2"/>
          </rPr>
          <t>, jotka on maksettu etukäteen mutta jotka kohdistuvat tuleville tilikausille.
1. Siirtosaamisena tulo (tulot, jotka kuuluvat tilikaudelle, mutta joita ei ole vielä saatu)
Yritys on suorittanut asiakkaalle palvelun joulukuussa 2024, mutta lasku lähetetään tammikuussa 2025. Koska tulo kuuluu vuodelle 2024, se kirjataan siirtosaamiseksi:
Joulukuu 2024:
Kirjaus:
🔹 Debet: Siirtosaamiset (ennakkoon tuloutettavat tulot) 5 000 €
🔹 Kredit: Myyntitulot 5 000 €
Tammikuu 2025, kun asiakas maksaa laskun:
Kirjaus:
🔹 Debet: Pankkitili 5 000 €
🔹 Kredit: Siirtosaamiset 5 000 €
2. Siirtosaamisena kulu (kulu, joka on maksettu etukäteen, mutta kuuluu tulevalle tilikaudelle)
Yritys maksaa vuokran ajalle joulukuu 2024 – helmikuu 2025 yhteensä 3 000 € (1 000 €/kk). Joulukuun osuus kuuluu tilikaudelle 2024, mutta tammi–helmikuu 2025 kuuluu seuraavalle tilikaudelle.
Joulukuu 2024:
Kirjaus:
🔹 Debet: Vuokrakulut 1 000 €
🔹 Debet: Siirtosaamiset (ennakkomaksut) 2 000 €
🔹 Kredit: Pankkitili 3 000 €
Tammikuu ja helmikuu 2025, kun kulu toteutuu:
Kirjaus per kuukausi:
🔹 Debet: Vuokrakulut 1 000 €
🔹 Kredit: Siirtosaamiset 1 000 €.
Yhteenveto
Siirtosaamisissa voi olla sekä tuloja että kuluja:
Tuloja, jotka kuuluvat tilikaudelle mutta laskutetaan myöhemmin
Kuluja, jotka on maksettu etukäteen mutta kuuluvat osittain. tulevalle tilikaudelle</t>
        </r>
      </text>
    </comment>
    <comment ref="H16" authorId="0" shapeId="0" xr:uid="{250EFD4A-924E-482C-9324-59E8181EBB49}">
      <text>
        <r>
          <rPr>
            <sz val="9"/>
            <color indexed="81"/>
            <rFont val="Tahoma"/>
            <family val="2"/>
          </rPr>
          <t>Esimerkki: Vuokratuotot siirtosaamisina
Yritys vuokraa varaston asiakkaalle hintaan 1 000 €/kk.
Joulukuun 2025 vuokra kuuluu tilikaudelle 2025, mutta asiakasta laskutetaan joulukuusta vasta tammikuussa 2026.
Kirjanpito 31.12.2025 (tilinpäätöksessä)
Koska vuokratulo kuuluu vielä vuodelle 2025, mutta laskutetaan vasta 2026, se pitää kirjata siirtosaamisiin.
Kirjaus 2025:
Siirtosaamiset (debet) 1 000 € (koska yritys on ansainnut rahan, mutta ei ole vielä saanut sitä)
Vuokratuotot (kredit) 1 000 € (koska tulo kuuluu vuodelle 2025)
Tuloslaskelmassa 2025:
Vuokratuotot +1 000 €
Taseessa 31.12.2025:
Siirtosaamiset 1 000 €
Seuraava tilikausi: Maksettu vuokra tammikuussa 2026
Kun asiakas maksaa tammikuussa, saaminen poistetaan.
Kirjaus 2026:
Pankkitili (debet) 1 000 € (raha saapuu tilille)
Siirtosaamiset (kredit) 1 000 € (saaminen poistuu)</t>
        </r>
      </text>
    </comment>
    <comment ref="E36" authorId="0" shapeId="0" xr:uid="{08DFF910-EB41-42DC-9A0D-AFE340445EC9}">
      <text>
        <r>
          <rPr>
            <sz val="9"/>
            <color indexed="81"/>
            <rFont val="Tahoma"/>
            <family val="2"/>
          </rPr>
          <t>Voit laittaa tähän tilinron kirjanpito-ohjelmasta. Auttaa ymmättämään esim. Procountoria</t>
        </r>
      </text>
    </comment>
    <comment ref="H36" authorId="0" shapeId="0" xr:uid="{7F56CD11-6ABC-4CC4-98A5-801074FF715F}">
      <text>
        <r>
          <rPr>
            <sz val="9"/>
            <color indexed="81"/>
            <rFont val="Tahoma"/>
            <family val="2"/>
          </rPr>
          <t>Voit laittaa tähän tilinron kirjanpito-ohjelmasta. Auttaa ymmättämään esim. Procountoria</t>
        </r>
      </text>
    </comment>
    <comment ref="K36" authorId="0" shapeId="0" xr:uid="{1C12895B-8F1D-4D13-998C-95185741F4BB}">
      <text>
        <r>
          <rPr>
            <sz val="9"/>
            <color indexed="81"/>
            <rFont val="Tahoma"/>
            <family val="2"/>
          </rPr>
          <t>Voit laittaa tähän tilinron kirjanpito-ohjelmasta. Auttaa ymmättämään esim. Procountoria</t>
        </r>
      </text>
    </comment>
    <comment ref="N36" authorId="0" shapeId="0" xr:uid="{3984B5C5-23C9-46A2-8F27-9673468847F2}">
      <text>
        <r>
          <rPr>
            <sz val="9"/>
            <color indexed="81"/>
            <rFont val="Tahoma"/>
            <family val="2"/>
          </rPr>
          <t>Voit laittaa tähän tilinron kirjanpito-ohjelmasta. Auttaa ymmättämään esim. Procountoria</t>
        </r>
      </text>
    </comment>
    <comment ref="Q36" authorId="0" shapeId="0" xr:uid="{F4E2F1E9-7A94-450E-B642-2E761B1002C0}">
      <text>
        <r>
          <rPr>
            <sz val="9"/>
            <color indexed="81"/>
            <rFont val="Tahoma"/>
            <family val="2"/>
          </rPr>
          <t>Voit laittaa tähän tilinron kirjanpito-ohjelmasta. Auttaa ymmättämään esim. Procountoria</t>
        </r>
      </text>
    </comment>
    <comment ref="T36" authorId="0" shapeId="0" xr:uid="{2800EB9A-638E-4894-87A3-9B515B11021A}">
      <text>
        <r>
          <rPr>
            <sz val="9"/>
            <color indexed="81"/>
            <rFont val="Tahoma"/>
            <family val="2"/>
          </rPr>
          <t>Voit laittaa tähän tilinron kirjanpito-ohjelmasta. Auttaa ymmättämään esim. Procountoria</t>
        </r>
      </text>
    </comment>
    <comment ref="W36" authorId="0" shapeId="0" xr:uid="{217CA261-8A1B-42E3-8518-0E720F67ABB1}">
      <text>
        <r>
          <rPr>
            <sz val="9"/>
            <color indexed="81"/>
            <rFont val="Tahoma"/>
            <family val="2"/>
          </rPr>
          <t>Voit laittaa tähän tilinron kirjanpito-ohjelmasta. Auttaa ymmättämään esim. Procountoria</t>
        </r>
      </text>
    </comment>
    <comment ref="Z36" authorId="0" shapeId="0" xr:uid="{222192F8-E368-4C80-8BCD-33243EF9A650}">
      <text>
        <r>
          <rPr>
            <sz val="9"/>
            <color indexed="81"/>
            <rFont val="Tahoma"/>
            <family val="2"/>
          </rPr>
          <t>Voit laittaa tähän tilinron kirjanpito-ohjelmasta. Auttaa ymmättämään esim. Procountoria</t>
        </r>
      </text>
    </comment>
    <comment ref="K48" authorId="0" shapeId="0" xr:uid="{166E9709-ADE9-4A34-B9EF-E14F5F0CEB7C}">
      <text>
        <r>
          <rPr>
            <b/>
            <sz val="9"/>
            <color indexed="81"/>
            <rFont val="Tahoma"/>
            <family val="2"/>
          </rPr>
          <t>Tuloskirjaus automaattisesti Tuloslaskelmalta</t>
        </r>
      </text>
    </comment>
    <comment ref="L48" authorId="0" shapeId="0" xr:uid="{DB2EA781-6315-4239-875F-26B54A99B3C3}">
      <text>
        <r>
          <rPr>
            <b/>
            <sz val="9"/>
            <color indexed="81"/>
            <rFont val="Tahoma"/>
            <family val="2"/>
          </rPr>
          <t>Tuloskirjaus automaattisesti Tuloslaskelmalta</t>
        </r>
      </text>
    </comment>
    <comment ref="E52" authorId="0" shapeId="0" xr:uid="{F23BAF15-ABD9-4CD2-828E-B976D9116CE3}">
      <text>
        <r>
          <rPr>
            <sz val="9"/>
            <color indexed="81"/>
            <rFont val="Tahoma"/>
            <family val="2"/>
          </rPr>
          <t>Voit laittaa tähän tilinron kirjanpito-ohjelmasta. Auttaa ymmättämään esim. Procountoria</t>
        </r>
      </text>
    </comment>
    <comment ref="H52" authorId="0" shapeId="0" xr:uid="{88FF80A5-E6BF-49EE-B041-EDA99B37B222}">
      <text>
        <r>
          <rPr>
            <sz val="9"/>
            <color indexed="81"/>
            <rFont val="Tahoma"/>
            <family val="2"/>
          </rPr>
          <t>Voit laittaa tähän tilinron kirjanpito-ohjelmasta. Auttaa ymmättämään esim. Procountoria</t>
        </r>
      </text>
    </comment>
    <comment ref="K52" authorId="0" shapeId="0" xr:uid="{EB36F69D-0C4B-44D3-92D8-F933A797D994}">
      <text>
        <r>
          <rPr>
            <sz val="9"/>
            <color indexed="81"/>
            <rFont val="Tahoma"/>
            <family val="2"/>
          </rPr>
          <t>Voit laittaa tähän tilinron kirjanpito-ohjelmasta. Auttaa ymmättämään esim. Procountoria</t>
        </r>
      </text>
    </comment>
    <comment ref="N52" authorId="0" shapeId="0" xr:uid="{53087D1C-4F96-499A-9109-2B572D4B5F08}">
      <text>
        <r>
          <rPr>
            <sz val="9"/>
            <color indexed="81"/>
            <rFont val="Tahoma"/>
            <family val="2"/>
          </rPr>
          <t>Voit laittaa tähän tilinron kirjanpito-ohjelmasta. Auttaa ymmättämään esim. Procountoria</t>
        </r>
      </text>
    </comment>
    <comment ref="Q52" authorId="0" shapeId="0" xr:uid="{9240FCA5-A619-40D9-A7D7-B961A1E565ED}">
      <text>
        <r>
          <rPr>
            <sz val="9"/>
            <color indexed="81"/>
            <rFont val="Tahoma"/>
            <family val="2"/>
          </rPr>
          <t>Voit laittaa tähän tilinron kirjanpito-ohjelmasta. Auttaa ymmättämään esim. Procountoria</t>
        </r>
      </text>
    </comment>
    <comment ref="Q53" authorId="0" shapeId="0" xr:uid="{163930E0-73EB-4AA8-9CC5-AD2FB117EFB3}">
      <text>
        <r>
          <rPr>
            <b/>
            <sz val="9"/>
            <color indexed="81"/>
            <rFont val="Tahoma"/>
            <family val="2"/>
          </rPr>
          <t xml:space="preserve">Siirtovelat </t>
        </r>
        <r>
          <rPr>
            <sz val="9"/>
            <color indexed="81"/>
            <rFont val="Tahoma"/>
            <family val="2"/>
          </rPr>
          <t xml:space="preserve">ovat jaksotettuja menoja, jotka on kirjattu velaksi, koska ne kuuluvat kuluvan tilikauden kuluihin, mutta maksetaan vasta seuraavalla tilikaudella.
Esimerkkejä siirtoveloista:
Palkat ja lomapalkat – Joulukuu: Jos työntekijöille maksetaan tammikuussa joulukuun palkkoja, ne kirjataan siirtovelkoihin.
Vuokrat ja muut kulut – Jos yritys on saanut laskun vuokrista joulukuussa mutta maksaa sen tammikuussa, se voi olla siirtovelkaa.
Korot ja verot – Esimerkiksi tilikaudelle kuuluva mutta maksamatta oleva korkokulu voi olla siirtovelkaa.
</t>
        </r>
        <r>
          <rPr>
            <b/>
            <sz val="9"/>
            <color indexed="81"/>
            <rFont val="Tahoma"/>
            <family val="2"/>
          </rPr>
          <t xml:space="preserve">Ero ostovelkoihin
</t>
        </r>
        <r>
          <rPr>
            <sz val="9"/>
            <color indexed="81"/>
            <rFont val="Tahoma"/>
            <family val="2"/>
          </rPr>
          <t xml:space="preserve">Ostovelat ovat liiketoiminnan hankintoihin liittyviä laskuja (esim. tavara- ja materiaalihankinnat), jotka maksetaan myöhemmin.
</t>
        </r>
        <r>
          <rPr>
            <b/>
            <sz val="9"/>
            <color indexed="81"/>
            <rFont val="Tahoma"/>
            <family val="2"/>
          </rPr>
          <t>Siirtovelat</t>
        </r>
        <r>
          <rPr>
            <sz val="9"/>
            <color indexed="81"/>
            <rFont val="Tahoma"/>
            <family val="2"/>
          </rPr>
          <t xml:space="preserve"> liittyvät jaksotuksiin, eli ne ovat kuluja, jotka kuuluvat kuluvan tilikauden tulokseen, mutta eivät ole vielä maksettu.
Siirtovelkoja käytetään, jotta tuloslaskelma ja tase antavat oikean kuvan yrityksen taloudellisesta tilanteesta tilinpäätöksessä.
Yrityksellä on työntekijöitä, joille on kertynyt lomapalkkoja 12 000 € vuoden 2024 aikana. Nämä lomapalkat maksetaan vasta kesällä 2025, mutta ne kuuluvat kuluksi tilikaudelle 2024.
1. Tilinpäätöskirjaus 31.12.2024 (lomapalkan jaksotus)
Koska lomapalkat on ansaittu vuonna 2024, mutta maksetaan vasta 2025, ne kirjataan siirtovelaksi:
Kirjaus:
🔹 Debet: Palkkakulut 12 000 €
🔹 Kredit: Siirtovelat (Lomapalkkavelka) 12 000 €
2. Lomapalkan maksaminen kesällä 2025
Kun lomapalkat maksetaan työntekijöille:
Kirjaus maksuhetkellä:
🔹 Debet: Siirtovelat (Lomapalkkavelka) 12 000 €
🔹 Kredit: Pankkitili 12 000 €.</t>
        </r>
      </text>
    </comment>
    <comment ref="Z53" authorId="0" shapeId="0" xr:uid="{E8B7B21D-5917-4A4B-8CCB-B3459EE05BB2}">
      <text>
        <r>
          <rPr>
            <sz val="9"/>
            <color rgb="FF000000"/>
            <rFont val="Tahoma"/>
            <family val="2"/>
          </rPr>
          <t xml:space="preserve">Poistoero näkyy taseessa vastattavaa-puolella, koska se on osa yrityksen oma pääoma ja varaukset -ryhmää.
</t>
        </r>
        <r>
          <rPr>
            <sz val="9"/>
            <color rgb="FF000000"/>
            <rFont val="Tahoma"/>
            <family val="2"/>
          </rPr>
          <t xml:space="preserve">Vaikutus tuloslaskelmaan: Vaikka poistoero ei ole itsenäinen tuloslaskelmatili, sen muutokset vaikuttavat tuloslaskelman eriin.
</t>
        </r>
        <r>
          <rPr>
            <sz val="9"/>
            <color rgb="FF000000"/>
            <rFont val="Tahoma"/>
            <family val="2"/>
          </rPr>
          <t xml:space="preserve">Poistoeron lisäys kasvattaa kirjanpidollisia poistoja, vähentäen tilikauden tulosta.
</t>
        </r>
        <r>
          <rPr>
            <sz val="9"/>
            <color rgb="FF000000"/>
            <rFont val="Tahoma"/>
            <family val="2"/>
          </rPr>
          <t>Poistoeron vähennys lisää tulosta.</t>
        </r>
      </text>
    </comment>
    <comment ref="H78" authorId="0" shapeId="0" xr:uid="{FA2133B4-B78D-4108-951A-EDEE4ED28FF1}">
      <text>
        <r>
          <rPr>
            <b/>
            <sz val="9"/>
            <color indexed="81"/>
            <rFont val="Tahoma"/>
            <family val="2"/>
          </rPr>
          <t>Annetut alennukset</t>
        </r>
        <r>
          <rPr>
            <sz val="9"/>
            <color indexed="81"/>
            <rFont val="Tahoma"/>
            <family val="2"/>
          </rPr>
          <t xml:space="preserve"> vähentävät liikevaihtoa, eli on yritykselle kulu. 
</t>
        </r>
        <r>
          <rPr>
            <b/>
            <sz val="9"/>
            <color indexed="81"/>
            <rFont val="Tahoma"/>
            <family val="2"/>
          </rPr>
          <t xml:space="preserve">Kirjataan debet-puolelle.
Kirjausohje alennuksissa:
</t>
        </r>
        <r>
          <rPr>
            <sz val="9"/>
            <color indexed="81"/>
            <rFont val="Tahoma"/>
            <family val="2"/>
          </rPr>
          <t xml:space="preserve">1. Laske ensin alennuksen määrä  sis. Alvin
2. Kirjaa alennus alv 0% Annetut alennukset tilille </t>
        </r>
        <r>
          <rPr>
            <b/>
            <sz val="9"/>
            <color indexed="81"/>
            <rFont val="Tahoma"/>
            <family val="2"/>
          </rPr>
          <t xml:space="preserve">DEBET
</t>
        </r>
        <r>
          <rPr>
            <sz val="9"/>
            <color indexed="81"/>
            <rFont val="Tahoma"/>
            <family val="2"/>
          </rPr>
          <t xml:space="preserve">3.  Kirjaa Alv-osuus Alv - tilille (tase vastatattavaa OIkea puoli) </t>
        </r>
        <r>
          <rPr>
            <b/>
            <sz val="9"/>
            <color indexed="81"/>
            <rFont val="Tahoma"/>
            <family val="2"/>
          </rPr>
          <t xml:space="preserve">DEBET
</t>
        </r>
        <r>
          <rPr>
            <sz val="9"/>
            <color indexed="81"/>
            <rFont val="Tahoma"/>
            <family val="2"/>
          </rPr>
          <t xml:space="preserve">4. Kuittaa Myyntisaamiset alkuperäisen laskun koko summa alveineen pois </t>
        </r>
        <r>
          <rPr>
            <b/>
            <sz val="9"/>
            <color indexed="81"/>
            <rFont val="Tahoma"/>
            <family val="2"/>
          </rPr>
          <t>KREDIT</t>
        </r>
        <r>
          <rPr>
            <sz val="9"/>
            <color indexed="81"/>
            <rFont val="Tahoma"/>
            <family val="2"/>
          </rPr>
          <t xml:space="preserve">. Eli jos laskun alkuperäinen oli 65 € (sis alvin) ja asiakas maksoi 58,50 €. Kirjaa 65 € </t>
        </r>
        <r>
          <rPr>
            <b/>
            <sz val="9"/>
            <color indexed="81"/>
            <rFont val="Tahoma"/>
            <family val="2"/>
          </rPr>
          <t>KREDIT</t>
        </r>
        <r>
          <rPr>
            <sz val="9"/>
            <color indexed="81"/>
            <rFont val="Tahoma"/>
            <family val="2"/>
          </rPr>
          <t xml:space="preserve">. 
5. Kirjaa pankkiin </t>
        </r>
        <r>
          <rPr>
            <b/>
            <sz val="9"/>
            <color indexed="81"/>
            <rFont val="Tahoma"/>
            <family val="2"/>
          </rPr>
          <t>Debet</t>
        </r>
        <r>
          <rPr>
            <sz val="9"/>
            <color indexed="81"/>
            <rFont val="Tahoma"/>
            <family val="2"/>
          </rPr>
          <t xml:space="preserve"> saatu raha bruttona. </t>
        </r>
      </text>
    </comment>
    <comment ref="W78" authorId="0" shapeId="0" xr:uid="{21DA1692-873D-4A4A-A51A-58B3A3B57B10}">
      <text>
        <r>
          <rPr>
            <sz val="9"/>
            <color indexed="81"/>
            <rFont val="Tahoma"/>
            <family val="2"/>
          </rPr>
          <t>Käyttöikä on enintään 3 vuotta tai hankintahinta on enintään 1 200 euroa</t>
        </r>
        <r>
          <rPr>
            <sz val="9"/>
            <color indexed="81"/>
            <rFont val="Tahoma"/>
            <charset val="1"/>
          </rPr>
          <t xml:space="preserve">
</t>
        </r>
      </text>
    </comment>
    <comment ref="H105" authorId="0" shapeId="0" xr:uid="{A2988B5F-5D77-436B-B8E1-438BE00135E7}">
      <text>
        <r>
          <rPr>
            <b/>
            <sz val="9"/>
            <color indexed="81"/>
            <rFont val="Tahoma"/>
            <family val="2"/>
          </rPr>
          <t>Saadut käteisalennukset</t>
        </r>
        <r>
          <rPr>
            <sz val="9"/>
            <color indexed="81"/>
            <rFont val="Tahoma"/>
            <family val="2"/>
          </rPr>
          <t xml:space="preserve"> pienentävät ostojen kulua.
Ne kirjataan debet-puolelle.
Kirjauksen tarkoitus on vähentää ostoihin liittyvää kulua, mikä parantaa yrityksen tulosta.</t>
        </r>
      </text>
    </comment>
    <comment ref="T105" authorId="0" shapeId="0" xr:uid="{CEDB703B-72E2-4BB7-940C-7698C333E36B}">
      <text>
        <r>
          <rPr>
            <sz val="9"/>
            <color indexed="81"/>
            <rFont val="Tahoma"/>
            <family val="2"/>
          </rPr>
          <t>Tilinpäätössiirtoja ovat poistoeron ja verotusperusteisten varausten muutos.
Esimerkki:
Poistoero syntyy, kun verotuksessa tehdään suurempia poistoja kuin kirjanpidossa.  
Esimerkki:  
- Koneen hankintahinta: 100 000 €  
- Kirjanpidollinen poisto: 10 000 €  
- Verotuksessa tehty poisto: 25 000 €  
- Poistoero: 15 000 € (25 000 € - 10 000 €)  
Kirjaukset:  
1. Suunnitelman mukainen poisto:  
   Debet: Poistot 10 000 €, Kredit: Koneet 10 000 €  
2. Poistoeron muutos:  
   Debet: Tilinpäätössiirrot 15 000 € (</t>
        </r>
        <r>
          <rPr>
            <b/>
            <sz val="9"/>
            <color indexed="81"/>
            <rFont val="Tahoma"/>
            <family val="2"/>
          </rPr>
          <t>Tuloslaskelmalle</t>
        </r>
        <r>
          <rPr>
            <sz val="9"/>
            <color indexed="81"/>
            <rFont val="Tahoma"/>
            <family val="2"/>
          </rPr>
          <t>), Kredit: Poistoero 15 000 € (</t>
        </r>
        <r>
          <rPr>
            <b/>
            <sz val="9"/>
            <color indexed="81"/>
            <rFont val="Tahoma"/>
            <family val="2"/>
          </rPr>
          <t>Tase</t>
        </r>
        <r>
          <rPr>
            <sz val="9"/>
            <color indexed="81"/>
            <rFont val="Tahoma"/>
            <family val="2"/>
          </rPr>
          <t xml:space="preserve">)
</t>
        </r>
        <r>
          <rPr>
            <b/>
            <sz val="9"/>
            <color indexed="81"/>
            <rFont val="Tahoma"/>
            <family val="2"/>
          </rPr>
          <t xml:space="preserve">Taseeseen jää:
</t>
        </r>
        <r>
          <rPr>
            <sz val="9"/>
            <color indexed="81"/>
            <rFont val="Tahoma"/>
            <family val="2"/>
          </rPr>
          <t xml:space="preserve">
Vastaavaa (varat): Koneet ja kalusto vähenee 10 000 €
Vastattavaa (velat ja oma pääoma): Poistoero kasvaa 15 000 €, mikä tarkoittaa, että yritys on lykännyt verotettavaa tuloa tulevaisuuteen.</t>
        </r>
      </text>
    </comment>
    <comment ref="W105" authorId="0" shapeId="0" xr:uid="{61612D48-FE4E-4B27-BC9A-DE5CBDA50415}">
      <text>
        <r>
          <rPr>
            <b/>
            <sz val="9"/>
            <color indexed="81"/>
            <rFont val="Tahoma"/>
            <family val="2"/>
          </rPr>
          <t xml:space="preserve">Varaston muutos:
</t>
        </r>
        <r>
          <rPr>
            <sz val="9"/>
            <color indexed="81"/>
            <rFont val="Tahoma"/>
            <family val="2"/>
          </rPr>
          <t xml:space="preserve">- Aloitusvarasto: 20 000 €
- Loppuvarasto: 30 000 €
- Varaston muutos: +10 000 € (varasto kasvoi)
Kirjaukset:
1. Varaston kasvu (varasto kasvoi 10 000 €):
   Debet: Varasto 10 000 €  
   Kredit: Varaston muutos 10 000 €  
   -&gt; Varasto kasvaa, myytyjen tavaroiden kustannus pienenee, voitto kasvaa.
- Aloitusvarasto: 30 000 €
- Loppuvarasto: 20 000 €
- Varaston muutos: -10 000 € (varasto väheni)
Kirjaukset:
2. Varaston väheneminen (varasto väheni 10 000 €):
   Debet: Varaston muutos 10 000 €  
   Kredit: Varasto 10 000 €  
   -&gt; Varasto vähenee, myytyjen tavaroiden kustannus kasvaa, voitto pienenee.
</t>
        </r>
      </text>
    </comment>
    <comment ref="T106" authorId="0" shapeId="0" xr:uid="{8A82481D-D93B-4EEB-9262-7F02D87E45DB}">
      <text>
        <r>
          <rPr>
            <b/>
            <sz val="9"/>
            <color indexed="81"/>
            <rFont val="Tahoma"/>
            <family val="2"/>
          </rPr>
          <t xml:space="preserve">Poistoero:
</t>
        </r>
        <r>
          <rPr>
            <sz val="9"/>
            <color indexed="81"/>
            <rFont val="Tahoma"/>
            <family val="2"/>
          </rPr>
          <t xml:space="preserve">Kun on laskettavissa poistoeroa verotukseen:
</t>
        </r>
        <r>
          <rPr>
            <b/>
            <sz val="9"/>
            <color indexed="81"/>
            <rFont val="Tahoma"/>
            <family val="2"/>
          </rPr>
          <t>Kirjataan debetiin</t>
        </r>
        <r>
          <rPr>
            <sz val="9"/>
            <color indexed="81"/>
            <rFont val="Tahoma"/>
            <family val="2"/>
          </rPr>
          <t>, syntyy "laskennallinen" keinokulu, joka pienentää verotettavaa tulosta nyt, mutta siirtää verotettavaa tulosta tulevaisuuteen.
Tulevaisuudessa purettaessa kasvattaa verotettavaa tulosta.</t>
        </r>
      </text>
    </comment>
    <comment ref="U106" authorId="0" shapeId="0" xr:uid="{F12A8E84-BBE9-4D1D-AEC2-C427A7ED3CBD}">
      <text>
        <r>
          <rPr>
            <b/>
            <sz val="9"/>
            <color indexed="81"/>
            <rFont val="Tahoma"/>
            <family val="2"/>
          </rPr>
          <t>Poistoeron purkaminen takaisin:</t>
        </r>
        <r>
          <rPr>
            <sz val="9"/>
            <color indexed="81"/>
            <rFont val="Tahoma"/>
            <family val="2"/>
          </rPr>
          <t xml:space="preserve">
 Kun poistoeroa puretaan takaisin, kirjaa Kreditiin (Eli tuloutus!).
Debet: Poistoero (tase, vastattavaa pienenee)
Kredit: Tilinpäätössiirrot – Poistoeron muutos (kasvattaa tulosta)
Vaikutus:
Tilikauden tulos kasvaa, koska aikaisemmin lykätty tulos siirtyy takaisin verotettavaksi.
Yritys maksaa enemmän veroa kyseisenä vuonna.
</t>
        </r>
      </text>
    </comment>
    <comment ref="W106" authorId="0" shapeId="0" xr:uid="{7AE1037E-06F9-4C11-A8A9-EB52D6B58580}">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X106" authorId="0" shapeId="0" xr:uid="{C1E69625-4EE2-4903-A17C-C0F793F039FE}">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 ref="Z106" authorId="0" shapeId="0" xr:uid="{B07DBABF-6272-4621-A079-A65603971148}">
      <text>
        <r>
          <rPr>
            <b/>
            <sz val="9"/>
            <color indexed="81"/>
            <rFont val="Tahoma"/>
            <family val="2"/>
          </rPr>
          <t xml:space="preserve">DEBET: Varaston väheneminen:
</t>
        </r>
        <r>
          <rPr>
            <sz val="9"/>
            <color indexed="81"/>
            <rFont val="Tahoma"/>
            <family val="2"/>
          </rPr>
          <t xml:space="preserve">
Tuloslaskelma (Debet): Varaston muutos → Lisätään kuluja → Kulut kasvavat, tulos pienenee.
Tase (Kredit): Varasto pienenee.
</t>
        </r>
        <r>
          <rPr>
            <b/>
            <sz val="9"/>
            <color indexed="81"/>
            <rFont val="Tahoma"/>
            <family val="2"/>
          </rPr>
          <t>KREDIT:</t>
        </r>
        <r>
          <rPr>
            <sz val="9"/>
            <color indexed="81"/>
            <rFont val="Tahoma"/>
            <family val="2"/>
          </rPr>
          <t xml:space="preserve"> </t>
        </r>
        <r>
          <rPr>
            <b/>
            <sz val="9"/>
            <color indexed="81"/>
            <rFont val="Tahoma"/>
            <family val="2"/>
          </rPr>
          <t xml:space="preserve">Varaston kasvu:
</t>
        </r>
        <r>
          <rPr>
            <sz val="9"/>
            <color indexed="81"/>
            <rFont val="Tahoma"/>
            <family val="2"/>
          </rPr>
          <t xml:space="preserve">Tuloslaskelma (Kredit): Varaston muutos → Poistetaan kuluista → Kulut pienenevät, tulos kasvaa.
Tase (Debet): Varasto kasvaa.
</t>
        </r>
      </text>
    </comment>
    <comment ref="AA106" authorId="0" shapeId="0" xr:uid="{9EC25778-652C-418B-A33A-5F795CDB83B2}">
      <text>
        <r>
          <rPr>
            <b/>
            <sz val="9"/>
            <color indexed="81"/>
            <rFont val="Tahoma"/>
            <family val="2"/>
          </rPr>
          <t xml:space="preserve">KREDIT: Varaston kasvu:
</t>
        </r>
        <r>
          <rPr>
            <sz val="9"/>
            <color indexed="81"/>
            <rFont val="Tahoma"/>
            <family val="2"/>
          </rPr>
          <t xml:space="preserve">Tuloslaskelma (Kredit): Varaston muutos → Poistetaan kuluista → Kulut pienenevät, tulos kasvaa.
Tase (Debet): Varasto kasvaa.
</t>
        </r>
        <r>
          <rPr>
            <b/>
            <sz val="9"/>
            <color indexed="81"/>
            <rFont val="Tahoma"/>
            <family val="2"/>
          </rPr>
          <t xml:space="preserve">
DEBET: Varaston väheneminen:
</t>
        </r>
        <r>
          <rPr>
            <sz val="9"/>
            <color indexed="81"/>
            <rFont val="Tahoma"/>
            <family val="2"/>
          </rPr>
          <t xml:space="preserve">
Tuloslaskelma (Debet): Varaston muutos → Lisätään kuluja → Kulut kasvavat, tulos pienenee.
Tase (Kredit): Varasto pienenee.
</t>
        </r>
      </text>
    </comment>
  </commentList>
</comments>
</file>

<file path=xl/sharedStrings.xml><?xml version="1.0" encoding="utf-8"?>
<sst xmlns="http://schemas.openxmlformats.org/spreadsheetml/2006/main" count="1772" uniqueCount="700">
  <si>
    <t>Tasetilit</t>
  </si>
  <si>
    <t>Vastaavaa</t>
  </si>
  <si>
    <t>Maa-alueet</t>
  </si>
  <si>
    <t>Rakenukset</t>
  </si>
  <si>
    <t>Koneet ja laitteet</t>
  </si>
  <si>
    <t>Aineet ja tarvikkeet</t>
  </si>
  <si>
    <t>Muut saamiset</t>
  </si>
  <si>
    <t>Myyntisaamiset</t>
  </si>
  <si>
    <t>Siirtosaamiset</t>
  </si>
  <si>
    <t>Mitä omaisuutta yhtiöllä on</t>
  </si>
  <si>
    <t xml:space="preserve">Tosite </t>
  </si>
  <si>
    <t>Kassa</t>
  </si>
  <si>
    <t>Summa</t>
  </si>
  <si>
    <t>Vastattavaa</t>
  </si>
  <si>
    <t>Miten yhtiön omaisuus on rahoitettu</t>
  </si>
  <si>
    <t>Osakepääoma</t>
  </si>
  <si>
    <t>Tilikauden voitto</t>
  </si>
  <si>
    <t>Poistoero</t>
  </si>
  <si>
    <t>Laina pitkäaik.</t>
  </si>
  <si>
    <t>Laina lyhytaik.</t>
  </si>
  <si>
    <t>Ostovelat</t>
  </si>
  <si>
    <t>Muut velat</t>
  </si>
  <si>
    <t>Siirtovelat</t>
  </si>
  <si>
    <t>Erotus</t>
  </si>
  <si>
    <t>Tuloslaskelmatilit</t>
  </si>
  <si>
    <t>Palovakuutukset</t>
  </si>
  <si>
    <t>Vahinkovakuutukset</t>
  </si>
  <si>
    <t>Sähkömenot</t>
  </si>
  <si>
    <t>Tuloslaskelma</t>
  </si>
  <si>
    <t>Ohjevideo Youtube</t>
  </si>
  <si>
    <t>Debet (Menot)</t>
  </si>
  <si>
    <t>Kredit (Tulot)</t>
  </si>
  <si>
    <t>Myynnit 2</t>
  </si>
  <si>
    <t>Puhelinmenot</t>
  </si>
  <si>
    <t>Korkomenot</t>
  </si>
  <si>
    <t>Liiketoiminnan muut kulut</t>
  </si>
  <si>
    <t>Poistot</t>
  </si>
  <si>
    <t>Viennit Selite</t>
  </si>
  <si>
    <r>
      <t xml:space="preserve">Tosite
</t>
    </r>
    <r>
      <rPr>
        <b/>
        <sz val="9"/>
        <color theme="1"/>
        <rFont val="Aptos Narrow"/>
        <family val="2"/>
        <scheme val="minor"/>
      </rPr>
      <t>(kirjausnro)</t>
    </r>
  </si>
  <si>
    <t>Pvm</t>
  </si>
  <si>
    <t>Brutto (sis alv)</t>
  </si>
  <si>
    <t>Alv %</t>
  </si>
  <si>
    <t>Netto alv 0%</t>
  </si>
  <si>
    <t>Tarkistus (netto X alv %</t>
  </si>
  <si>
    <t>Tase</t>
  </si>
  <si>
    <t>Tilinpäätöskirjauksia</t>
  </si>
  <si>
    <t>Tilinpäätössiirrot</t>
  </si>
  <si>
    <t>Tulos</t>
  </si>
  <si>
    <t>Tuloverot</t>
  </si>
  <si>
    <t>varatili</t>
  </si>
  <si>
    <t>Virallinen tuloslaskelma</t>
  </si>
  <si>
    <t>Materiaalit ja palvelut</t>
  </si>
  <si>
    <t>Valmiiden ja keskeneräisten tuotteiden varastojen muutos</t>
  </si>
  <si>
    <t>LIIKEVAIHTO</t>
  </si>
  <si>
    <t xml:space="preserve">     </t>
  </si>
  <si>
    <t>Aineet, tarvikkeet ja tavarat</t>
  </si>
  <si>
    <t>Ostot tilikauden aikana</t>
  </si>
  <si>
    <t>Varastojen muutos</t>
  </si>
  <si>
    <t>Ulkopuoliset palvelut</t>
  </si>
  <si>
    <t>Poistot ja arvonalentumiset</t>
  </si>
  <si>
    <t>Suunnitelman mukaiset poistot</t>
  </si>
  <si>
    <t>LIIKEVOITTO (-TAPPIO)</t>
  </si>
  <si>
    <t>Rahoitustuotot ja -kulut</t>
  </si>
  <si>
    <t>Korkokulut ja muut rahoituskulut</t>
  </si>
  <si>
    <t>VOITTO (TAPPIO) ENNEN TILINPÄÄTÖSSIIRTOJA JA VEROJA</t>
  </si>
  <si>
    <t>Poistoeron muutos</t>
  </si>
  <si>
    <t>TILIKAUDEN VOITTO (TAPPIO)</t>
  </si>
  <si>
    <t>PYSYVÄT VASTAAVAT</t>
  </si>
  <si>
    <t>Rakennukset ja rakennelmat</t>
  </si>
  <si>
    <t>Aineelliset hyödykkeet</t>
  </si>
  <si>
    <t>Koneet ja kalusto</t>
  </si>
  <si>
    <t>Maa-ja vesialueet</t>
  </si>
  <si>
    <t>Muut aineelliset hyödykkeet</t>
  </si>
  <si>
    <t>VAIHTUVAT VASTAAVAT</t>
  </si>
  <si>
    <t>Valmiit tuotteet/tavarat</t>
  </si>
  <si>
    <t>Vaihto-omaisuus</t>
  </si>
  <si>
    <t>Muut saamset</t>
  </si>
  <si>
    <t>Rahat ja pankkisaamiset</t>
  </si>
  <si>
    <t>OMA PÄÄOMA</t>
  </si>
  <si>
    <t>Edellisten tilikausien voitto</t>
  </si>
  <si>
    <t>TILINPÄÄTÖSSIIRTOJEN KERTYMÄ</t>
  </si>
  <si>
    <t>VIERAS PÄÄOMA</t>
  </si>
  <si>
    <t>Lainat rahoituslaitoksilta</t>
  </si>
  <si>
    <t>Vastaavaa yhteensä</t>
  </si>
  <si>
    <t>Vastattavaa yhteensä</t>
  </si>
  <si>
    <t>Liikevoittoprosentti</t>
  </si>
  <si>
    <t>Omavaraisuusasteprosentti</t>
  </si>
  <si>
    <t>Debet (Varat)</t>
  </si>
  <si>
    <t>Kredit (Oma pääoma ja velat)</t>
  </si>
  <si>
    <t>Tehtävä:</t>
  </si>
  <si>
    <t>Tosite nro ()</t>
  </si>
  <si>
    <t>Mika Mujunen</t>
  </si>
  <si>
    <t xml:space="preserve">Myynnit </t>
  </si>
  <si>
    <t>Ostot</t>
  </si>
  <si>
    <t>Kredit (-)</t>
  </si>
  <si>
    <t>Debet (+)</t>
  </si>
  <si>
    <t>Vuokramenot</t>
  </si>
  <si>
    <t>Valmiit tuotteet varasto 2</t>
  </si>
  <si>
    <t>Oma pääoma</t>
  </si>
  <si>
    <t>Yksityissijoitus</t>
  </si>
  <si>
    <t>xxx</t>
  </si>
  <si>
    <t>xxx2</t>
  </si>
  <si>
    <t>Pankktiliile rahaa</t>
  </si>
  <si>
    <t>Lautaa 100 m</t>
  </si>
  <si>
    <t>Maalia ja pientavaraa</t>
  </si>
  <si>
    <t>Ed. tilikausien voitot/Tappiot</t>
  </si>
  <si>
    <t>Ostetaan pakettiauto osamaskulla</t>
  </si>
  <si>
    <t>Asiakas maskoi laskunsa (6)</t>
  </si>
  <si>
    <t>Omistajien sijoitukset</t>
  </si>
  <si>
    <t>Alv- velka ed.kk (kumulat.)</t>
  </si>
  <si>
    <t>Alv kk-saldokertymä</t>
  </si>
  <si>
    <t>Asiakas maksaa laskunsa (8)</t>
  </si>
  <si>
    <t xml:space="preserve">Annetut alennukset </t>
  </si>
  <si>
    <t>Puhelinlasku</t>
  </si>
  <si>
    <t>Myynnit 3</t>
  </si>
  <si>
    <t>Saadut käteisalennukset</t>
  </si>
  <si>
    <t>x1</t>
  </si>
  <si>
    <t>x2</t>
  </si>
  <si>
    <t>x3</t>
  </si>
  <si>
    <t>x4</t>
  </si>
  <si>
    <t>x5</t>
  </si>
  <si>
    <t>x6</t>
  </si>
  <si>
    <t>x7</t>
  </si>
  <si>
    <t xml:space="preserve">Pienhankinnat </t>
  </si>
  <si>
    <t>Markkinointimenot</t>
  </si>
  <si>
    <t>Aine ja tarvikevarasto 1</t>
  </si>
  <si>
    <t>Asikkas maksaa laskun 12, hyödyntää 10 % alennuksen</t>
  </si>
  <si>
    <t>Alvia alennuksessa 6,50-5,17 = 1,33 €.</t>
  </si>
  <si>
    <t>Jaksotuksia</t>
  </si>
  <si>
    <t>Tilikausi</t>
  </si>
  <si>
    <t>Alkaa</t>
  </si>
  <si>
    <t>Päättyyy</t>
  </si>
  <si>
    <t>Päiviä kpl</t>
  </si>
  <si>
    <t>päivää</t>
  </si>
  <si>
    <t>Loppu pvm lasketaan mukaan myös, siksi +1</t>
  </si>
  <si>
    <t>Korko: korkopäivät</t>
  </si>
  <si>
    <t>Jaksotus euraavalle tilikaudelle</t>
  </si>
  <si>
    <t>Yhteensä</t>
  </si>
  <si>
    <t>Iso tilaus 155 pönttöä</t>
  </si>
  <si>
    <t>Alennus sis. alv 25,5% 5,18 € Katso tämä ja OPI! Laske alennus = alkuper.-maksettu</t>
  </si>
  <si>
    <t xml:space="preserve">Alennus sis. alv 25,5% Laske alennus = alkuper.-maksettu. Vie alviton Annetut alennukseen Debet (kuluksi), alv alv debet. </t>
  </si>
  <si>
    <t>Asiakas maksoi heti. Lasku 14. , hyödynsi 5 % alennuksen. Pankkitili bruttona Debet, Myyntisaamiset alv 0% Kredit</t>
  </si>
  <si>
    <t>Ostettu lautaa 100 m laskulle</t>
  </si>
  <si>
    <t>Lasketaan saatu alennus. Vie alv 0% alennus saadut alennukset KREDIT ja alv osuus KREDIT</t>
  </si>
  <si>
    <t>Masketaan lasku 17 ja hyödynnetään 2 % käteisalennus. Pankkitilille 147 Kredit; Ostovelat 150 DEBIT</t>
  </si>
  <si>
    <t>Poisto  10 % menojäännöspoisto autosta ja laitteista kirjanpidossa</t>
  </si>
  <si>
    <t xml:space="preserve">Poistot EVL 25 % menojäännöksestä verottajalle. Ei kirjata mihinkään, muistiin </t>
  </si>
  <si>
    <t>Syntyy poistoero--&gt;Tase postoero Kredit, tuloslaskelmalle Tilinpäätössiirrot Debet. Tulos pienenee ja verotus kevenee. Verotus siirtyy tulevaisuuteen</t>
  </si>
  <si>
    <t>Jaksotettava korkosumma</t>
  </si>
  <si>
    <t>Korko €/pv</t>
  </si>
  <si>
    <t>Korko kuluvalle tilikaudelle</t>
  </si>
  <si>
    <t>Jaksotus eri tilikausille: Tämä tilikausi</t>
  </si>
  <si>
    <t>Korko seuraavalle tilikaudelle</t>
  </si>
  <si>
    <t>Plus</t>
  </si>
  <si>
    <t>Miinus</t>
  </si>
  <si>
    <t>Varaston kasvu pienentää kuluja + merkillä (tulos paranee). Vähennys lisää kuluja (tulos heikkenee)</t>
  </si>
  <si>
    <t>Plus, koska kulut lisääntyvät, koska saatu alennusta</t>
  </si>
  <si>
    <t>Koron laskenta päiville ja jaksotus</t>
  </si>
  <si>
    <t>Jos korkoa euroina ei ole tiedossa, voidaan korko laskea</t>
  </si>
  <si>
    <t>Kaava: r=kpt / 365x100 eli( korko% x pääoma x korkopäivät)/(365x100)</t>
  </si>
  <si>
    <t>Pääoma</t>
  </si>
  <si>
    <t xml:space="preserve">Korko% </t>
  </si>
  <si>
    <t>Päivät</t>
  </si>
  <si>
    <t>Korkoa yhteensä</t>
  </si>
  <si>
    <t>Investoidaan laitteisiin ja työkaluihin</t>
  </si>
  <si>
    <t>Tuotteita myyty käteisellä</t>
  </si>
  <si>
    <t>Myydään laskulla tuote</t>
  </si>
  <si>
    <t xml:space="preserve">Myydään tuotteita 200 kpl laskulla Tuttu Markettiin </t>
  </si>
  <si>
    <t>Myydään tuote 65€ laskulla. 10 % alennus jos maksaa aiemmin</t>
  </si>
  <si>
    <t>Varaston inventaariot: Valmiit tuotteet 50 kpl x 35 €</t>
  </si>
  <si>
    <t>Aloitussaldot (esim. pankkitilille rahaa</t>
  </si>
  <si>
    <t>Oma kirjanpito</t>
  </si>
  <si>
    <t>Versio</t>
  </si>
  <si>
    <t>2.0</t>
  </si>
  <si>
    <t>Pankkitili</t>
  </si>
  <si>
    <t>TASE</t>
  </si>
  <si>
    <t>Tulot</t>
  </si>
  <si>
    <t>Kulut</t>
  </si>
  <si>
    <t>Ostot, kulut</t>
  </si>
  <si>
    <t>Kahdenkertainen kirjanpito perusidea</t>
  </si>
  <si>
    <t>Alv (Brutto-Netto)</t>
  </si>
  <si>
    <t>Arvonlisäverot</t>
  </si>
  <si>
    <t>Tilikauden voitto/tappio</t>
  </si>
  <si>
    <t>Työkalut pankkikortilla</t>
  </si>
  <si>
    <t>Tavaroita, tarvikkeita laskulla</t>
  </si>
  <si>
    <t>Asiakas maksaa laskunsa (tosite 5)</t>
  </si>
  <si>
    <t>Maksetaan lasku (tosite 3)</t>
  </si>
  <si>
    <t xml:space="preserve">Poistot koneista 25% </t>
  </si>
  <si>
    <t>TULOS</t>
  </si>
  <si>
    <t>Inventaario: Tavaroita varastossa tilikauden lopussa</t>
  </si>
  <si>
    <t>Varaston muutos</t>
  </si>
  <si>
    <t>Pankkitili Nordea-1234567</t>
  </si>
  <si>
    <t>Muita jaksotuksia</t>
  </si>
  <si>
    <t>Jaksotettava summa:</t>
  </si>
  <si>
    <t>Esim. vuokra</t>
  </si>
  <si>
    <t>Pvm lkm joltain ajanjaksolta</t>
  </si>
  <si>
    <t>Päivää kohden</t>
  </si>
  <si>
    <t>Kulu kuluvalle kaudelle</t>
  </si>
  <si>
    <t>Kulu seuraavalle tilikaudelle</t>
  </si>
  <si>
    <t>Tilin numero</t>
  </si>
  <si>
    <t>Nimi</t>
  </si>
  <si>
    <t>VASTAAVAA</t>
  </si>
  <si>
    <t xml:space="preserve">	Pysyvät vastaavat</t>
  </si>
  <si>
    <t xml:space="preserve">		Aineettomat hyödykkeet</t>
  </si>
  <si>
    <t xml:space="preserve">			Kehittämismenot</t>
  </si>
  <si>
    <t xml:space="preserve">							Kehittämismenot</t>
  </si>
  <si>
    <t xml:space="preserve">			Aineettomat oikeudet</t>
  </si>
  <si>
    <t xml:space="preserve">							Atk-ohjelmien lisenssimaksut</t>
  </si>
  <si>
    <t xml:space="preserve">							Aineettomat oikeudet</t>
  </si>
  <si>
    <t xml:space="preserve">			Liikearvo</t>
  </si>
  <si>
    <t xml:space="preserve">							Liikearvo</t>
  </si>
  <si>
    <t xml:space="preserve">			Konserniliikearvo</t>
  </si>
  <si>
    <t xml:space="preserve">							Konserniliikearvo</t>
  </si>
  <si>
    <t xml:space="preserve">			Muut aineettomat hyödykkeet</t>
  </si>
  <si>
    <t xml:space="preserve">							Muut aineettomat hyödykkeet</t>
  </si>
  <si>
    <t xml:space="preserve">			Ennakkomaksut</t>
  </si>
  <si>
    <t xml:space="preserve">							Ennakkomaksut aineettomista hyödykkeistä</t>
  </si>
  <si>
    <t xml:space="preserve">		Aineelliset hyödykkeet</t>
  </si>
  <si>
    <t xml:space="preserve">			Maa- ja vesialueet</t>
  </si>
  <si>
    <t xml:space="preserve">							Maa- ja vesialueet</t>
  </si>
  <si>
    <t xml:space="preserve">			Rakennukset ja rakennelmat</t>
  </si>
  <si>
    <t xml:space="preserve">							Rakennukset ja rakennelmat</t>
  </si>
  <si>
    <t xml:space="preserve">			Koneet ja kalusto</t>
  </si>
  <si>
    <t xml:space="preserve">							Koneet ja kalusto</t>
  </si>
  <si>
    <t xml:space="preserve">							Ajoneuvot</t>
  </si>
  <si>
    <t xml:space="preserve">			Muut aineelliset hyödykkeet</t>
  </si>
  <si>
    <t xml:space="preserve">							Muut aineelliset hyödykkeet</t>
  </si>
  <si>
    <t xml:space="preserve">			Ennakkomaksut ja keskeneräiset hankinnat</t>
  </si>
  <si>
    <t xml:space="preserve">							Ennakkomaksut ja keskeneräiset hankinnat</t>
  </si>
  <si>
    <t xml:space="preserve">		Sijoitukset</t>
  </si>
  <si>
    <t xml:space="preserve">			Osuudet saman konsernin yrityksissä</t>
  </si>
  <si>
    <t xml:space="preserve">							Osuudet saman konsernin yrityksissä</t>
  </si>
  <si>
    <t xml:space="preserve">			Saamiset saman konsernin yrityksiltä</t>
  </si>
  <si>
    <t xml:space="preserve">							Saamiset saman konsernin yrityksiltä</t>
  </si>
  <si>
    <t xml:space="preserve">			Osuudet omistusyhteysyrityksissä</t>
  </si>
  <si>
    <t xml:space="preserve">							Osuudet omistusyhteysyrityksissä</t>
  </si>
  <si>
    <t xml:space="preserve">			Saamiset omistusyhteysyrityksiltä</t>
  </si>
  <si>
    <t xml:space="preserve">							Pitkäaikaiset saamiset omistusyhteysyrityksiltä</t>
  </si>
  <si>
    <t xml:space="preserve">			Muut osakkeet ja osuudet</t>
  </si>
  <si>
    <t xml:space="preserve">							Muut osakkeet ja osuudet</t>
  </si>
  <si>
    <t xml:space="preserve">			Muut saamiset</t>
  </si>
  <si>
    <t xml:space="preserve">							Muut pitkäaikaiset saamiset</t>
  </si>
  <si>
    <t xml:space="preserve">	Vaihtuvat vastaavat</t>
  </si>
  <si>
    <t xml:space="preserve">		Vaihto-omaisuus</t>
  </si>
  <si>
    <t xml:space="preserve">			Aineet ja tarvikkeet</t>
  </si>
  <si>
    <t xml:space="preserve">							Aineet ja tarvikkeet</t>
  </si>
  <si>
    <t xml:space="preserve">			Keskeneräiset tuotteet</t>
  </si>
  <si>
    <t xml:space="preserve">							Keskeneräiset tuotteet</t>
  </si>
  <si>
    <t xml:space="preserve">			Valmiit tuotteet/tavarat</t>
  </si>
  <si>
    <t xml:space="preserve">				Valmiit tuotteet</t>
  </si>
  <si>
    <t xml:space="preserve">							Valmiit tuotteet</t>
  </si>
  <si>
    <t xml:space="preserve">				Tavarat</t>
  </si>
  <si>
    <t xml:space="preserve">							Tavarat</t>
  </si>
  <si>
    <t xml:space="preserve">			Muu vaihto-omaisuus</t>
  </si>
  <si>
    <t xml:space="preserve">							Muu vaihto-omaisuus</t>
  </si>
  <si>
    <t xml:space="preserve">							Ennakkomaksut vaihto-omaisuudesta</t>
  </si>
  <si>
    <t xml:space="preserve">		Saamiset</t>
  </si>
  <si>
    <t xml:space="preserve">			Pitkäaikaiset</t>
  </si>
  <si>
    <t xml:space="preserve">				Myyntisaamiset</t>
  </si>
  <si>
    <t xml:space="preserve">							Pitkäaikaiset myyntisaamiset</t>
  </si>
  <si>
    <t xml:space="preserve">				Saamiset saman konsernin yrityksiltä</t>
  </si>
  <si>
    <t xml:space="preserve">							Saamiset saman konsernin yrityksiltä, pitkäaikaiset</t>
  </si>
  <si>
    <t xml:space="preserve">				Saamiset omistusyhteysyrityksiltä</t>
  </si>
  <si>
    <t xml:space="preserve">							Saamiset omistusyhteysyrityksiltä, pitkäaikaiset</t>
  </si>
  <si>
    <t xml:space="preserve">				Lainasaamiset</t>
  </si>
  <si>
    <t xml:space="preserve">							Lainasaamiset, pitkäaikaiset</t>
  </si>
  <si>
    <t xml:space="preserve">				Muut saamiset</t>
  </si>
  <si>
    <t xml:space="preserve">							Muut saamiset, pitkäaikaiset</t>
  </si>
  <si>
    <t xml:space="preserve">							Pitkäaikaiset maksetut vuokravakuudet</t>
  </si>
  <si>
    <t xml:space="preserve">				Maksamattomat osakkeet / osuudet</t>
  </si>
  <si>
    <t xml:space="preserve">							Pitkäaikaiset maksamattomat osakkeet / osuudet</t>
  </si>
  <si>
    <t xml:space="preserve">				Siirtosaamiset</t>
  </si>
  <si>
    <t xml:space="preserve">					Siirtosaamiset</t>
  </si>
  <si>
    <t xml:space="preserve">							Pitkäaikaiset siirtosaamiset</t>
  </si>
  <si>
    <t xml:space="preserve">					Laskennalliset verosaamiset</t>
  </si>
  <si>
    <t xml:space="preserve">							Pitkäaikaiset laskennalliset verosaamiset</t>
  </si>
  <si>
    <t xml:space="preserve">			Lyhytaikaiset</t>
  </si>
  <si>
    <t xml:space="preserve">							Myyntisaamiset reskontran ulkopuoliset</t>
  </si>
  <si>
    <t xml:space="preserve">							Myyntisaamiset</t>
  </si>
  <si>
    <t xml:space="preserve">							Factoring-myyntisaamiset matkalla</t>
  </si>
  <si>
    <t xml:space="preserve">							Korttisaamiset</t>
  </si>
  <si>
    <t xml:space="preserve">							Factoring-myyntisaamiset laskutili</t>
  </si>
  <si>
    <t xml:space="preserve">							Saamiset saman konsernin yrityksiltä, lyhytaikaiset</t>
  </si>
  <si>
    <t xml:space="preserve">							Saamiset omistusyhteysyrityksiltä, lyhytaikaiset</t>
  </si>
  <si>
    <t xml:space="preserve">							Lainasaamiset, lyhytaikaiset</t>
  </si>
  <si>
    <t xml:space="preserve">							Muut saamiset, lyhytaikaiset</t>
  </si>
  <si>
    <t xml:space="preserve">							Verosaamiset</t>
  </si>
  <si>
    <t xml:space="preserve">							Selvittelytili</t>
  </si>
  <si>
    <t xml:space="preserve">							Maksamattomat osakkeet / osuudet, lyhytaikaiset</t>
  </si>
  <si>
    <t xml:space="preserve">							Siirtosaamiset, jaksotukset</t>
  </si>
  <si>
    <t xml:space="preserve">							Siirtosaamiset, lyhytaikaiset</t>
  </si>
  <si>
    <t xml:space="preserve">							Laskennalliset verosaamiset</t>
  </si>
  <si>
    <t xml:space="preserve">		Rahoitusarvopaperit</t>
  </si>
  <si>
    <t xml:space="preserve">							Muut osakkeet ja osuudet (rahoitusomaisuus)</t>
  </si>
  <si>
    <t xml:space="preserve">			Muut arvopaperit</t>
  </si>
  <si>
    <t xml:space="preserve">							Muut rahoitusarvopaperit</t>
  </si>
  <si>
    <t xml:space="preserve">		Rahat ja pankkisaamiset</t>
  </si>
  <si>
    <t xml:space="preserve">			Rahat</t>
  </si>
  <si>
    <t xml:space="preserve">							Rahat / käteisvarat</t>
  </si>
  <si>
    <t xml:space="preserve">			Pankkisaamiset</t>
  </si>
  <si>
    <t xml:space="preserve">							Pankkisaamiset, pankki3</t>
  </si>
  <si>
    <t xml:space="preserve">							Pankkisaamiset, pankki8</t>
  </si>
  <si>
    <t xml:space="preserve">							Pankkisaamiset, pankki4</t>
  </si>
  <si>
    <t xml:space="preserve">							Pankkisaamiset, pankki2</t>
  </si>
  <si>
    <t xml:space="preserve">							Pankkisaamiset</t>
  </si>
  <si>
    <t xml:space="preserve">							Pankkisaamiset, pankki5</t>
  </si>
  <si>
    <t xml:space="preserve">							Pankkisaamiset, pankki6</t>
  </si>
  <si>
    <t xml:space="preserve">							Pankkisaamiset, pankki7</t>
  </si>
  <si>
    <t xml:space="preserve">			Rahansiirrot ja täsmäytykset</t>
  </si>
  <si>
    <t xml:space="preserve">							Rahansiirrot ja täsmäytykset</t>
  </si>
  <si>
    <t>VASTATTAVAA</t>
  </si>
  <si>
    <t xml:space="preserve">	Oma pääoma</t>
  </si>
  <si>
    <t xml:space="preserve">		Osake-, osuus- tai muu vastaava pääoma</t>
  </si>
  <si>
    <t xml:space="preserve">			Osakepääoma</t>
  </si>
  <si>
    <t xml:space="preserve">							Osakepääoma</t>
  </si>
  <si>
    <t xml:space="preserve">			Osakeanti</t>
  </si>
  <si>
    <t xml:space="preserve">							Osakeanti</t>
  </si>
  <si>
    <t xml:space="preserve">			Osuuspääoma</t>
  </si>
  <si>
    <t xml:space="preserve">							Osuuspääoma</t>
  </si>
  <si>
    <t xml:space="preserve">			Pääomapanokset (ay)</t>
  </si>
  <si>
    <t xml:space="preserve">							Pääomapanokset (ay)</t>
  </si>
  <si>
    <t xml:space="preserve">			Pääomapanokset (ky)</t>
  </si>
  <si>
    <t xml:space="preserve">							Pääomapanokset (ky)</t>
  </si>
  <si>
    <t xml:space="preserve">							Äänettömien yhtiömiesten panokset</t>
  </si>
  <si>
    <t xml:space="preserve">			Peruspääoma (tmi)</t>
  </si>
  <si>
    <t xml:space="preserve">							Peruspääoma tmi</t>
  </si>
  <si>
    <t xml:space="preserve">		Ylikurssirahasto</t>
  </si>
  <si>
    <t xml:space="preserve">							Ylikurssirahasto</t>
  </si>
  <si>
    <t xml:space="preserve">		Arvonkorotusrahasto</t>
  </si>
  <si>
    <t xml:space="preserve">			Arvonkorotusrahasto (oy)</t>
  </si>
  <si>
    <t xml:space="preserve">							Arvonkorotusrahasto</t>
  </si>
  <si>
    <t xml:space="preserve">			Arvonkorotusrahasto (osk)</t>
  </si>
  <si>
    <t xml:space="preserve">							Arvonkorotusrahasto (osk)</t>
  </si>
  <si>
    <t xml:space="preserve">			Arvonkorotusrahasto (ay)</t>
  </si>
  <si>
    <t xml:space="preserve">							Arvonkorotusrahasto (ay)</t>
  </si>
  <si>
    <t xml:space="preserve">			Arvonkorotusrahasto (ky)</t>
  </si>
  <si>
    <t xml:space="preserve">							Arvonkorotusrahasto (ky)</t>
  </si>
  <si>
    <t xml:space="preserve">			Arvonkorotusrahasto (tmi)</t>
  </si>
  <si>
    <t xml:space="preserve">							Arvonkorotusrahasto (tmi)</t>
  </si>
  <si>
    <t xml:space="preserve">		Muut rahastot</t>
  </si>
  <si>
    <t xml:space="preserve">			Sijoitetun vapaan oman pääoman rahasto</t>
  </si>
  <si>
    <t xml:space="preserve">							Sijoitetun vapaan oman pääoman rahasto</t>
  </si>
  <si>
    <t xml:space="preserve">			Vararahasto</t>
  </si>
  <si>
    <t xml:space="preserve">				Vararahasto (oy)</t>
  </si>
  <si>
    <t xml:space="preserve">							Vararahasto</t>
  </si>
  <si>
    <t xml:space="preserve">				Vararahasto (osk)</t>
  </si>
  <si>
    <t xml:space="preserve">							Vararahasto (osk)</t>
  </si>
  <si>
    <t xml:space="preserve">			Yhtiöjärjestyksen mukaiset rahastot</t>
  </si>
  <si>
    <t xml:space="preserve">				Yhtiöjärjestyksen mukaiset rahastot (oy)</t>
  </si>
  <si>
    <t xml:space="preserve">							Yhtiöjärjestyksen mukainen rahasto</t>
  </si>
  <si>
    <t xml:space="preserve">				Sääntöjen mukaiset rahastot (osk)</t>
  </si>
  <si>
    <t xml:space="preserve">							Sääntöjen mukainen rahasto</t>
  </si>
  <si>
    <t xml:space="preserve">			Muut rahastot</t>
  </si>
  <si>
    <t xml:space="preserve">				Muut rahastot (oy)</t>
  </si>
  <si>
    <t xml:space="preserve">							Muut rahastot</t>
  </si>
  <si>
    <t xml:space="preserve">				Muut rahastot (osk)</t>
  </si>
  <si>
    <t xml:space="preserve">							Muut rahastot (osk)</t>
  </si>
  <si>
    <t xml:space="preserve">		Edellisten tilikausien voitto (tappio)</t>
  </si>
  <si>
    <t xml:space="preserve">			Edellisten tilikausien voitto (tappio)</t>
  </si>
  <si>
    <t xml:space="preserve">							Osingonjako</t>
  </si>
  <si>
    <t xml:space="preserve">							Voitto-osuus yhtiöhenkilö A</t>
  </si>
  <si>
    <t xml:space="preserve">							Voitto-osuus yhtiöhenkilö B</t>
  </si>
  <si>
    <t xml:space="preserve">							Edellisten tilikausien voitto / tappio</t>
  </si>
  <si>
    <t xml:space="preserve">			Pääomavajaus edellisiltä tilikausilta</t>
  </si>
  <si>
    <t xml:space="preserve">							Pääomavajaus edellisiltä tilikausilta</t>
  </si>
  <si>
    <t xml:space="preserve">		Yksityistilit tilikaudella</t>
  </si>
  <si>
    <t xml:space="preserve">							Yksityistilit tilikaudella</t>
  </si>
  <si>
    <t xml:space="preserve">		Tilikauden voitto (tappio)</t>
  </si>
  <si>
    <t xml:space="preserve">							Tilikauden tulos</t>
  </si>
  <si>
    <t xml:space="preserve">		Pääomalainat</t>
  </si>
  <si>
    <t xml:space="preserve">							Pääomalaina</t>
  </si>
  <si>
    <t xml:space="preserve">	Vähemmistöosuudet</t>
  </si>
  <si>
    <t xml:space="preserve">							Vähemmistöosuus</t>
  </si>
  <si>
    <t xml:space="preserve">	Tilinpäätössiirtojen kertymä</t>
  </si>
  <si>
    <t xml:space="preserve">		Poistoero</t>
  </si>
  <si>
    <t xml:space="preserve">							Poistoero</t>
  </si>
  <si>
    <t xml:space="preserve">		Verotusperusteiset varaukset</t>
  </si>
  <si>
    <t xml:space="preserve">							Verotusperusteiset varaukset</t>
  </si>
  <si>
    <t xml:space="preserve">	Pakolliset varaukset</t>
  </si>
  <si>
    <t xml:space="preserve">		Eläkevaraukset</t>
  </si>
  <si>
    <t xml:space="preserve">							Eläkevaraukset</t>
  </si>
  <si>
    <t xml:space="preserve">		Verovaraukset</t>
  </si>
  <si>
    <t xml:space="preserve">							Verovaraukset</t>
  </si>
  <si>
    <t xml:space="preserve">		Muut pakolliset varaukset</t>
  </si>
  <si>
    <t xml:space="preserve">							Muut pakolliset varaukset</t>
  </si>
  <si>
    <t xml:space="preserve">	Konsernireservi</t>
  </si>
  <si>
    <t xml:space="preserve">							Konsernireservi</t>
  </si>
  <si>
    <t xml:space="preserve">	Vieras pääoma</t>
  </si>
  <si>
    <t xml:space="preserve">		Pitkäaikainen vieras pääoma</t>
  </si>
  <si>
    <t xml:space="preserve">			Pääomalainat</t>
  </si>
  <si>
    <t xml:space="preserve">							Pääomalainat, pitkäaikaiset</t>
  </si>
  <si>
    <t xml:space="preserve">			Joukkovelkakirjalainat</t>
  </si>
  <si>
    <t xml:space="preserve">							Joukkovelkakirjalainat, pitkäaikaiset</t>
  </si>
  <si>
    <t xml:space="preserve">			Vaihtovelkakirjalainat</t>
  </si>
  <si>
    <t xml:space="preserve">							Pitkäaikaiset vaihtovelkakirjalainat</t>
  </si>
  <si>
    <t xml:space="preserve">			Lainat rahoituslaitoksilta</t>
  </si>
  <si>
    <t xml:space="preserve">							Lainat rahoituslaitoksilta</t>
  </si>
  <si>
    <t xml:space="preserve">			Takaisinlainat työeläkelaitoksilta</t>
  </si>
  <si>
    <t xml:space="preserve">							Pitkäaikaiset takaisinlainat työeläkelaitoksilta</t>
  </si>
  <si>
    <t xml:space="preserve">			Saadut ennakot</t>
  </si>
  <si>
    <t xml:space="preserve">							Pitkäaikaiset saadut ennakot</t>
  </si>
  <si>
    <t xml:space="preserve">			Ostovelat</t>
  </si>
  <si>
    <t xml:space="preserve">							Ostovelat, pitkäaikaiset</t>
  </si>
  <si>
    <t xml:space="preserve">							Pitkäaikaiset osamaksuvelat</t>
  </si>
  <si>
    <t xml:space="preserve">			Rahoitusvekselit</t>
  </si>
  <si>
    <t xml:space="preserve">							Pitkäaikaiset rahoitusvekselit</t>
  </si>
  <si>
    <t xml:space="preserve">			Velat saman konsernin yrityksille</t>
  </si>
  <si>
    <t xml:space="preserve">							Velat saman konsernin yrityksille, pitkäaikaiset</t>
  </si>
  <si>
    <t xml:space="preserve">			Velat omistusyhteysyrityksille</t>
  </si>
  <si>
    <t xml:space="preserve">							Velat omistusyhteysyrityksille, pitkäaikaiset</t>
  </si>
  <si>
    <t xml:space="preserve">			Muut velat</t>
  </si>
  <si>
    <t xml:space="preserve">							Muut velat, pitkäaikaiset</t>
  </si>
  <si>
    <t xml:space="preserve">			Siirtovelat</t>
  </si>
  <si>
    <t xml:space="preserve">				Siirtovelat</t>
  </si>
  <si>
    <t xml:space="preserve">							Pitkäaikaiset siirtovelat</t>
  </si>
  <si>
    <t xml:space="preserve">				Laskennalliset verovelat</t>
  </si>
  <si>
    <t xml:space="preserve">							Pitkäaikaiset laskennalliset verovelat</t>
  </si>
  <si>
    <t xml:space="preserve">		Lyhytaikainen vieras pääoma</t>
  </si>
  <si>
    <t xml:space="preserve">							Pääomalainat, lyhytaikaiset</t>
  </si>
  <si>
    <t xml:space="preserve">							Joukkovelkakirjalainat</t>
  </si>
  <si>
    <t xml:space="preserve">							Vaihtovelkakirjalainat</t>
  </si>
  <si>
    <t xml:space="preserve">							Factoring-luottotili</t>
  </si>
  <si>
    <t xml:space="preserve">							Työeläkelaitoksien takaisinlainojen lyhennyserät</t>
  </si>
  <si>
    <t xml:space="preserve">							Saadut ennakot</t>
  </si>
  <si>
    <t xml:space="preserve">							Palkkojen maksuliikenne</t>
  </si>
  <si>
    <t xml:space="preserve">							Ostovelat reskontran ulkopuoliset</t>
  </si>
  <si>
    <t xml:space="preserve">							Osamaksuvelat</t>
  </si>
  <si>
    <t xml:space="preserve">							Maksuliikennetili</t>
  </si>
  <si>
    <t xml:space="preserve">							Rahoitusvekselit</t>
  </si>
  <si>
    <t xml:space="preserve">							Velat saman konsernin yrityksille</t>
  </si>
  <si>
    <t xml:space="preserve">							Velat omistusyhteysyrityksille</t>
  </si>
  <si>
    <t xml:space="preserve">							Velat osakkaille</t>
  </si>
  <si>
    <t xml:space="preserve">							OmaVero-tapahtumat</t>
  </si>
  <si>
    <t xml:space="preserve">							Ay-jäsenmaksutilitysvelka</t>
  </si>
  <si>
    <t xml:space="preserve">							Ennakonpidätysvelka</t>
  </si>
  <si>
    <t xml:space="preserve">							Sairasvakuutusmaksuvelka</t>
  </si>
  <si>
    <t xml:space="preserve">							Muut velat</t>
  </si>
  <si>
    <t xml:space="preserve">							Ulosottotilitysvelka</t>
  </si>
  <si>
    <t xml:space="preserve">							Suoritettava arvonlisävero</t>
  </si>
  <si>
    <t xml:space="preserve">							Ennakonpidätys- ja sava-maksuvelka</t>
  </si>
  <si>
    <t xml:space="preserve">							Siirtovelat, jaksotukset</t>
  </si>
  <si>
    <t xml:space="preserve">							Työnantajan pakolliset vakuutusmaksut</t>
  </si>
  <si>
    <t xml:space="preserve">							Muut siirtovelat</t>
  </si>
  <si>
    <t xml:space="preserve">							Eläkevakuutusmaksut</t>
  </si>
  <si>
    <t xml:space="preserve">							Tuloverojaksotus</t>
  </si>
  <si>
    <t xml:space="preserve">							Lomapalkkavelka</t>
  </si>
  <si>
    <t xml:space="preserve">							Palkkojen siirtovelat</t>
  </si>
  <si>
    <t xml:space="preserve">							Lomapalkkojen jaksotus</t>
  </si>
  <si>
    <t xml:space="preserve">							Laskennalliset verovelat</t>
  </si>
  <si>
    <t>TULOSLASKELMA</t>
  </si>
  <si>
    <t xml:space="preserve">	Liikevaihto</t>
  </si>
  <si>
    <t xml:space="preserve">		Yleiset myyntitilit</t>
  </si>
  <si>
    <t xml:space="preserve">							Myyntien selvittelytili</t>
  </si>
  <si>
    <t xml:space="preserve">							Myynti</t>
  </si>
  <si>
    <t xml:space="preserve">		Oheispalvelut</t>
  </si>
  <si>
    <t xml:space="preserve">							Oheispalvelut</t>
  </si>
  <si>
    <t xml:space="preserve">		Toimitusveloitukset ja osamaksulisät</t>
  </si>
  <si>
    <t xml:space="preserve">							Toimitusveloitukset ja osamaksulisät</t>
  </si>
  <si>
    <t xml:space="preserve">		Komissiokauppa ja agentuuri</t>
  </si>
  <si>
    <t xml:space="preserve">							Komissiokauppa ja agentuuri</t>
  </si>
  <si>
    <t xml:space="preserve">		Tavaravienti</t>
  </si>
  <si>
    <t xml:space="preserve">							Tavaramyynti Ahvenanmaalle</t>
  </si>
  <si>
    <t xml:space="preserve">							Yhteisömyynti</t>
  </si>
  <si>
    <t xml:space="preserve">							Myynti yhteisön ulkopuolelle</t>
  </si>
  <si>
    <t xml:space="preserve">		Myynti, käytetyt tavarat ja taide-, keräily- ja antiikkiesineet</t>
  </si>
  <si>
    <t xml:space="preserve">							Marginaaliverollinen myynti</t>
  </si>
  <si>
    <t xml:space="preserve">							Myynti, käytetyt tavarat ja taide-, keräily- ja antiikkiesineet</t>
  </si>
  <si>
    <t xml:space="preserve">		Myynti, arvopaperit ja kiinteistöt</t>
  </si>
  <si>
    <t xml:space="preserve">							Myynti, arvopaperit ja kiinteistöt</t>
  </si>
  <si>
    <t xml:space="preserve">		Myynnin oikaisuerät</t>
  </si>
  <si>
    <t xml:space="preserve">							Myynnin alennukset</t>
  </si>
  <si>
    <t xml:space="preserve">							Muut myynnin oikaisuerät</t>
  </si>
  <si>
    <t xml:space="preserve">							Välilliset verot</t>
  </si>
  <si>
    <t xml:space="preserve">							Tulonsiirto- ja läpikulkuerät</t>
  </si>
  <si>
    <t xml:space="preserve">							Myynnin valuuttakurssierot</t>
  </si>
  <si>
    <t xml:space="preserve">	Valmiiden ja keskeneräisten tuotteiden varastojen lisäys (+) tai vähennys (-)</t>
  </si>
  <si>
    <t xml:space="preserve">							Valmiiden ja keskeneräisten tuotteiden varastojen lisäys (+) tai vähennys (-)</t>
  </si>
  <si>
    <t xml:space="preserve">	Valmistus omaan käyttöön (+)</t>
  </si>
  <si>
    <t xml:space="preserve">							Valmistus omaan käyttöön</t>
  </si>
  <si>
    <t xml:space="preserve">	Liiketoiminnan muut tuotot</t>
  </si>
  <si>
    <t xml:space="preserve">							Palkkiot ja korvaukset</t>
  </si>
  <si>
    <t xml:space="preserve">							Myyntivoitot pysyvistä vastaavista</t>
  </si>
  <si>
    <t xml:space="preserve">							Saadut avustukset ja tuet</t>
  </si>
  <si>
    <t xml:space="preserve">							Muut tuotot</t>
  </si>
  <si>
    <t xml:space="preserve">							Keskeytys- ym. Vakuutuskorvaukset</t>
  </si>
  <si>
    <t xml:space="preserve">							Vuokratuotot</t>
  </si>
  <si>
    <t xml:space="preserve">							Leasinghyvitykset</t>
  </si>
  <si>
    <t xml:space="preserve">							Palvelutuotot</t>
  </si>
  <si>
    <t xml:space="preserve">	Materiaalit ja palvelut</t>
  </si>
  <si>
    <t xml:space="preserve">		Aineet, tarvikkeet ja tavarat</t>
  </si>
  <si>
    <t xml:space="preserve">			Ostot tilikauden aikana</t>
  </si>
  <si>
    <t xml:space="preserve">				Aine-, tarvike-, ja tavaraostot</t>
  </si>
  <si>
    <t xml:space="preserve">							Ostot</t>
  </si>
  <si>
    <t xml:space="preserve">				Tavaratuonti</t>
  </si>
  <si>
    <t xml:space="preserve">							Tavaraostot Ahvenanmaalta</t>
  </si>
  <si>
    <t xml:space="preserve">							Tuontiostot yhteisön ulkopuolelta</t>
  </si>
  <si>
    <t xml:space="preserve">							Yhteisötavarahankinnat</t>
  </si>
  <si>
    <t xml:space="preserve">				Ostot, käytetyt tavarat ja taide-, keräily- ja antiikkiesineet</t>
  </si>
  <si>
    <t xml:space="preserve">							Marginaaliverollinen osto</t>
  </si>
  <si>
    <t xml:space="preserve">							Ostot, käytetyt tavarat ja taide-, keräily- ja antiikkiesineet</t>
  </si>
  <si>
    <t xml:space="preserve">				Ostot, arvopaperit ja kiinteistöt</t>
  </si>
  <si>
    <t xml:space="preserve">							Ostot, arvopaperit ja kiinteistöt</t>
  </si>
  <si>
    <t xml:space="preserve">				Ostojen oikaisuerät</t>
  </si>
  <si>
    <t xml:space="preserve">							Palautetut tavarat</t>
  </si>
  <si>
    <t xml:space="preserve">							Ostojen alennukset</t>
  </si>
  <si>
    <t xml:space="preserve">							Saadut vahingonkorvaukset ja avustukset</t>
  </si>
  <si>
    <t xml:space="preserve">							Ostojen valuuttakurssierot</t>
  </si>
  <si>
    <t xml:space="preserve">							Siirrot muuhun kuin myyntitarkoitukseen</t>
  </si>
  <si>
    <t xml:space="preserve">							Muut ostojen oikaisuerät</t>
  </si>
  <si>
    <t xml:space="preserve">							Rahdit, huolinta ja muut hankintakulut</t>
  </si>
  <si>
    <t xml:space="preserve">			Varastojen lisäys (+) tai vähennys (-)</t>
  </si>
  <si>
    <t xml:space="preserve">							Varastojen lisäys (+) tai vähennys (-)</t>
  </si>
  <si>
    <t xml:space="preserve">		Ulkopuoliset palvelut</t>
  </si>
  <si>
    <t xml:space="preserve">							Alihankinta</t>
  </si>
  <si>
    <t xml:space="preserve">							Muut ulkopuoliset palvelut</t>
  </si>
  <si>
    <t xml:space="preserve">							Vuokrattu työvoima</t>
  </si>
  <si>
    <t xml:space="preserve">							Yhteisöpalveluhankinnat</t>
  </si>
  <si>
    <t xml:space="preserve">	Henkilöstökulut</t>
  </si>
  <si>
    <t xml:space="preserve">		Palkat ja palkkiot</t>
  </si>
  <si>
    <t xml:space="preserve">			Työntekijöiden palkat ja palkkiot</t>
  </si>
  <si>
    <t xml:space="preserve">							Palkkojen jaksotus</t>
  </si>
  <si>
    <t xml:space="preserve">							Loma-ajan ja sosiaalipalkat</t>
  </si>
  <si>
    <t xml:space="preserve">							Työssäoloajan normaalipalkat</t>
  </si>
  <si>
    <t xml:space="preserve">							Palkkiot</t>
  </si>
  <si>
    <t xml:space="preserve">							Saadut korvaukset palkoista</t>
  </si>
  <si>
    <t xml:space="preserve">							Luontoisedut</t>
  </si>
  <si>
    <t xml:space="preserve">							Lisät ja korvaukset</t>
  </si>
  <si>
    <t xml:space="preserve">			Johdon palkat ja palkkiot</t>
  </si>
  <si>
    <t xml:space="preserve">							Saadut korvaukset johdon palkoista</t>
  </si>
  <si>
    <t xml:space="preserve">							Johdon palkat ja palkkiot</t>
  </si>
  <si>
    <t xml:space="preserve">							Johdon luontoisedut</t>
  </si>
  <si>
    <t xml:space="preserve">			Osakkaiden ja omaisten palkat</t>
  </si>
  <si>
    <t xml:space="preserve">							Osakkaiden ja omaisten luontoisedut</t>
  </si>
  <si>
    <t xml:space="preserve">							Saadut korvaukset osakkaiden ja omaisten palkoista</t>
  </si>
  <si>
    <t xml:space="preserve">							Osakkaiden ja omaisten palkat ja palkkiot</t>
  </si>
  <si>
    <t xml:space="preserve">			Luontoisetujen vastatili</t>
  </si>
  <si>
    <t xml:space="preserve">							Luontoisetujen vastatili</t>
  </si>
  <si>
    <t xml:space="preserve">		Henkilösivukulut</t>
  </si>
  <si>
    <t xml:space="preserve">			Eläkekulut</t>
  </si>
  <si>
    <t xml:space="preserve">							Tilikauden aikainen jaksotus</t>
  </si>
  <si>
    <t xml:space="preserve">							YEL-maksut</t>
  </si>
  <si>
    <t xml:space="preserve">							Vapaaehtoiset eläkevakuutusmaksut</t>
  </si>
  <si>
    <t xml:space="preserve">							TyEL-maksut</t>
  </si>
  <si>
    <t xml:space="preserve">							Maksetut eläkkeet</t>
  </si>
  <si>
    <t xml:space="preserve">			Muut henkilösivukulut</t>
  </si>
  <si>
    <t xml:space="preserve">							Sairasvakuutusmaksut</t>
  </si>
  <si>
    <t xml:space="preserve">							Tapaturmavakuutusmaksut</t>
  </si>
  <si>
    <t xml:space="preserve">							Muut henkilöstön vakuutusmaksut</t>
  </si>
  <si>
    <t xml:space="preserve">							Työttömyysvakuutusmaksut</t>
  </si>
  <si>
    <t xml:space="preserve">							Pakolliset vakuutusmaksut</t>
  </si>
  <si>
    <t xml:space="preserve">							Ryhmähenkivakuutusmaksut</t>
  </si>
  <si>
    <t xml:space="preserve">	Poistot ja arvonalentumiset</t>
  </si>
  <si>
    <t xml:space="preserve">		Suunnitelmanmukaiset poistot</t>
  </si>
  <si>
    <t xml:space="preserve">							Suunnitelman mukaiset poistot</t>
  </si>
  <si>
    <t xml:space="preserve">		Konserniliikearvon poisto ja konsenireservin vähennys</t>
  </si>
  <si>
    <t xml:space="preserve">							Konserniliikearvon poisto ja konsenireservin vähennys</t>
  </si>
  <si>
    <t xml:space="preserve">		Arvonalentumiset pysyvien vastaavien hyödykkeistä</t>
  </si>
  <si>
    <t xml:space="preserve">							Arvonalentumiset pysyvien vastaavien hyödykkeistä</t>
  </si>
  <si>
    <t xml:space="preserve">		Vaihtuvien vastaavien poikkeukselliset arvonalentumiset</t>
  </si>
  <si>
    <t xml:space="preserve">							Vaihtuvien vastaavien poikkeukselliset arvonalentumiset</t>
  </si>
  <si>
    <t xml:space="preserve">	Liiketoiminnan muut kulut</t>
  </si>
  <si>
    <t xml:space="preserve">		Vapaaehtoiset henkilösivukulut</t>
  </si>
  <si>
    <t xml:space="preserve">							Työvaatteet ja suojavälineet</t>
  </si>
  <si>
    <t xml:space="preserve">							Vapaaehtoiset henkilösivukulut</t>
  </si>
  <si>
    <t xml:space="preserve">							Työterveyshuolto</t>
  </si>
  <si>
    <t xml:space="preserve">							Henkilökuntapalaverit ja virkistys</t>
  </si>
  <si>
    <t xml:space="preserve">							Henkilökunnan koulutus</t>
  </si>
  <si>
    <t xml:space="preserve">		Toimitilakulut</t>
  </si>
  <si>
    <t xml:space="preserve">							Varastovuokrat</t>
  </si>
  <si>
    <t xml:space="preserve">							Toimitilojen lämmitys</t>
  </si>
  <si>
    <t xml:space="preserve">							Autotalli- ja autopaikkavuokrat</t>
  </si>
  <si>
    <t xml:space="preserve">							Toimitilakulut</t>
  </si>
  <si>
    <t xml:space="preserve">							Toimitilavuokrat</t>
  </si>
  <si>
    <t xml:space="preserve">							Sähkö ja kaasu</t>
  </si>
  <si>
    <t xml:space="preserve">							Vesi ja jätevesi</t>
  </si>
  <si>
    <t xml:space="preserve">		Ajoneuvokulut</t>
  </si>
  <si>
    <t xml:space="preserve">							Ajoneuvoleasing</t>
  </si>
  <si>
    <t xml:space="preserve">							Ajoneuvokulut</t>
  </si>
  <si>
    <t xml:space="preserve">		Atk-laite ja -ohjelmakulut</t>
  </si>
  <si>
    <t xml:space="preserve">							Atk-laite ja -ohjelmakulut</t>
  </si>
  <si>
    <t xml:space="preserve">							Atk-laite ja -ohjelmistoleasing</t>
  </si>
  <si>
    <t xml:space="preserve">		Kone- ja kalustokulut</t>
  </si>
  <si>
    <t xml:space="preserve">							Kone- ja kalustovuokrat</t>
  </si>
  <si>
    <t xml:space="preserve">							Kone- ja kalustoleasing</t>
  </si>
  <si>
    <t xml:space="preserve">							Kone- ja kalustokulut</t>
  </si>
  <si>
    <t xml:space="preserve">		Matkakulut</t>
  </si>
  <si>
    <t xml:space="preserve">							Kilometrikorvaukset</t>
  </si>
  <si>
    <t xml:space="preserve">							Matkakulut</t>
  </si>
  <si>
    <t xml:space="preserve">							Päivärahat</t>
  </si>
  <si>
    <t xml:space="preserve">		Edustuskulut</t>
  </si>
  <si>
    <t xml:space="preserve">							Edustuskulut</t>
  </si>
  <si>
    <t xml:space="preserve">		Myyntikulut</t>
  </si>
  <si>
    <t xml:space="preserve">							Myyntikulut</t>
  </si>
  <si>
    <t xml:space="preserve">							Luottokorttiprovisiot</t>
  </si>
  <si>
    <t xml:space="preserve">		Markkinointikulut</t>
  </si>
  <si>
    <t xml:space="preserve">							Suhdetoimintakulut</t>
  </si>
  <si>
    <t xml:space="preserve">							Markkinointikulut</t>
  </si>
  <si>
    <t xml:space="preserve">							Lahjoitukset</t>
  </si>
  <si>
    <t xml:space="preserve">		Tutkimus- ja kehityskulut</t>
  </si>
  <si>
    <t xml:space="preserve">							Tutkimus- ja kehityskulut</t>
  </si>
  <si>
    <t xml:space="preserve">		Hallintopalvelut</t>
  </si>
  <si>
    <t xml:space="preserve">							Ostetut hallintopalvelut</t>
  </si>
  <si>
    <t xml:space="preserve">		Muut hallintokulut</t>
  </si>
  <si>
    <t xml:space="preserve">							Vakuutukset ja vahingonkorvaukset</t>
  </si>
  <si>
    <t xml:space="preserve">							Puhelin- ja tietoliikennekulut</t>
  </si>
  <si>
    <t xml:space="preserve">							Muut hallintokulut</t>
  </si>
  <si>
    <t xml:space="preserve">							Jäsenmaksut</t>
  </si>
  <si>
    <t xml:space="preserve">							Kulujen selvittelytili</t>
  </si>
  <si>
    <t xml:space="preserve">							Toimisto- ja neuvottelukulut</t>
  </si>
  <si>
    <t xml:space="preserve">							Rahaliikenteen kulut</t>
  </si>
  <si>
    <t xml:space="preserve">		Muut liikekulut</t>
  </si>
  <si>
    <t xml:space="preserve">							Fuusiotappio</t>
  </si>
  <si>
    <t xml:space="preserve">							Myynnin luottotappiot</t>
  </si>
  <si>
    <t xml:space="preserve">							Sakot, pys.virhe- ja muut rang.maksut</t>
  </si>
  <si>
    <t xml:space="preserve">							Vähennyskelvottomat liikekulut</t>
  </si>
  <si>
    <t xml:space="preserve">							Muut liikekulut</t>
  </si>
  <si>
    <t xml:space="preserve">							Käyttöomaisuuden luovutustappiot</t>
  </si>
  <si>
    <t xml:space="preserve">		Täsmäytyserot</t>
  </si>
  <si>
    <t xml:space="preserve">							Täsmäytyserot</t>
  </si>
  <si>
    <t xml:space="preserve">	Osuus osakkuusyritysten voitosta (tappiosta)</t>
  </si>
  <si>
    <t xml:space="preserve">							Osuus osakkuusyritysten tuloksesta</t>
  </si>
  <si>
    <t xml:space="preserve">	Rahoitustuotot ja -kulut</t>
  </si>
  <si>
    <t xml:space="preserve">		Tuotot osuuksista saman konsernin yrityksissä</t>
  </si>
  <si>
    <t xml:space="preserve">							Tuotot osuuksista saman konsernin yrityksissä</t>
  </si>
  <si>
    <t xml:space="preserve">		Osuus osakkuusyritysten voitosta (tappiosta)</t>
  </si>
  <si>
    <t xml:space="preserve">							Osuus osakkuusyritysten voitosta (tappiosta)</t>
  </si>
  <si>
    <t xml:space="preserve">		Tuotot osuuksista omistusyhteysyrityksissä</t>
  </si>
  <si>
    <t xml:space="preserve">			Tuotot osuuksista omistusyhteysyrityksissä</t>
  </si>
  <si>
    <t xml:space="preserve">							Tuotot osuuksista omistusyhteysyrityksissä</t>
  </si>
  <si>
    <t xml:space="preserve">			Tuotot osuuksista muissa omistusyhteysyrityksissä</t>
  </si>
  <si>
    <t xml:space="preserve">							Tuotot osuuksista muissa omistusyhteysyrityksissä</t>
  </si>
  <si>
    <t xml:space="preserve">		Tuotot muista pysyvien vastaavien sijoituksista</t>
  </si>
  <si>
    <t xml:space="preserve">			Saman konsernin yrityksiltä</t>
  </si>
  <si>
    <t xml:space="preserve">							Sijoitustuotot pysyvien vastaavien sijoituksista, konserni</t>
  </si>
  <si>
    <t xml:space="preserve">			Muilta</t>
  </si>
  <si>
    <t xml:space="preserve">							Sijoitustuotot pysyvien vastaavien sijoituksista, muut</t>
  </si>
  <si>
    <t xml:space="preserve">		Muut korko- ja rahoitustuotot</t>
  </si>
  <si>
    <t xml:space="preserve">							Muut korko- ja rahoitustuotot, konserni</t>
  </si>
  <si>
    <t xml:space="preserve">							Valuuttakurssivoitot</t>
  </si>
  <si>
    <t xml:space="preserve">							Muut rahoitustuotot</t>
  </si>
  <si>
    <t xml:space="preserve">							Muut korkotuotot</t>
  </si>
  <si>
    <t xml:space="preserve">							Verovapaat korkotuotot</t>
  </si>
  <si>
    <t xml:space="preserve">		Arvonalentumiset pysyvien vastaavien sijoituksista</t>
  </si>
  <si>
    <t xml:space="preserve">							Arvonalentumiset pysyvien vastaavien sijoituksista</t>
  </si>
  <si>
    <t xml:space="preserve">		Arvonalentumiset vaihtuvien vastaavien rahoitusarvopapereista</t>
  </si>
  <si>
    <t xml:space="preserve">							Arvonalentumiset vaihtuvien vastaavien rahoitusarvopapereista</t>
  </si>
  <si>
    <t xml:space="preserve">		Korkokulut ja muut rahoituskulut</t>
  </si>
  <si>
    <t xml:space="preserve">			Saman konsernin yrityksille</t>
  </si>
  <si>
    <t xml:space="preserve">							Korkokulut ja muut rahoituskulut, konserni</t>
  </si>
  <si>
    <t xml:space="preserve">			Muille</t>
  </si>
  <si>
    <t xml:space="preserve">							Factoring-kulut</t>
  </si>
  <si>
    <t xml:space="preserve">							Rahoituskulut, muut</t>
  </si>
  <si>
    <t xml:space="preserve">							Valuuttakurssitappiot</t>
  </si>
  <si>
    <t xml:space="preserve">							Korkokulut, muut</t>
  </si>
  <si>
    <t xml:space="preserve">							Verojen viivästysseuraamukset</t>
  </si>
  <si>
    <t xml:space="preserve">	Tilinpäätössiirrot</t>
  </si>
  <si>
    <t xml:space="preserve">		Poistoeron lisäys (-) tai vähennys (+)</t>
  </si>
  <si>
    <t xml:space="preserve">							Poistoeron lisäys (-) tai vähennys (+)</t>
  </si>
  <si>
    <t xml:space="preserve">		Verotusperusteisten varausten lisäys (-) tai vähennys (+)</t>
  </si>
  <si>
    <t xml:space="preserve">							Verotusperusteisten varausten lisäys (-) tai vähennys (+)</t>
  </si>
  <si>
    <t xml:space="preserve">		Konserniavustukset, saadut</t>
  </si>
  <si>
    <t xml:space="preserve">							Konserniavustukset, saadut</t>
  </si>
  <si>
    <t xml:space="preserve">		Konserniavustukset, maksetut</t>
  </si>
  <si>
    <t xml:space="preserve">							Konserniavustukset, maksetut</t>
  </si>
  <si>
    <t xml:space="preserve">	Tuloverot</t>
  </si>
  <si>
    <t xml:space="preserve">		Tilikauden ja aikaisempien tilikausien verot</t>
  </si>
  <si>
    <t xml:space="preserve">							Tilikauden verojaksotus</t>
  </si>
  <si>
    <t xml:space="preserve">							Tilikauden ja aikaisempien tilikausien verot</t>
  </si>
  <si>
    <t xml:space="preserve">							Veronpalautukset/jäännösverot</t>
  </si>
  <si>
    <t xml:space="preserve">		Laskennalliset verot</t>
  </si>
  <si>
    <t xml:space="preserve">							Laskennalliset verot</t>
  </si>
  <si>
    <t xml:space="preserve">	Muut välittömät verot</t>
  </si>
  <si>
    <t xml:space="preserve">							Muut välittömät verot</t>
  </si>
  <si>
    <t xml:space="preserve">							Vähemmistöosuudet</t>
  </si>
  <si>
    <t>Näytä tilinrot: K/E</t>
  </si>
  <si>
    <t>Tilikartta (Procountor)</t>
  </si>
  <si>
    <t>Open säädöt</t>
  </si>
  <si>
    <t>Näytä tilin 1. summausrivi : K/E</t>
  </si>
  <si>
    <t>Näytä tilin loppusaldo: K/E</t>
  </si>
  <si>
    <t>k</t>
  </si>
  <si>
    <t>Varastomuutos</t>
  </si>
  <si>
    <t>Aineet, tarvikkeet ja tavarat ja palvelut</t>
  </si>
  <si>
    <t>Muut velat mm. Alv</t>
  </si>
  <si>
    <t>e</t>
  </si>
  <si>
    <t>Aloitussaldot (esim. pankkitilille rahaa)</t>
  </si>
  <si>
    <t>Myynty jakkaroita pankkikortilla</t>
  </si>
  <si>
    <t>Myynty jakkaroita laskulle</t>
  </si>
  <si>
    <t>Open esimerkki</t>
  </si>
  <si>
    <t>Video</t>
  </si>
  <si>
    <t>2KP Kirjanpitoharjoitus kahdenkertaisesti</t>
  </si>
  <si>
    <t>Tässä Excel-työkirjassason on videolla esitetty harjoituspohja, johon voit videon avulla tehdä kirjaukset</t>
  </si>
  <si>
    <t xml:space="preserve">Lisäksi saat käyttöösi isomman pohjan (2 kpl) jolla voit tehdä harjoitustöitäsi. </t>
  </si>
  <si>
    <t>Ohjevideoon:</t>
  </si>
  <si>
    <t>Apulaskentaa välilehdellä voit laskea jaksotuksia</t>
  </si>
  <si>
    <t>Siirry harjoitukseen</t>
  </si>
  <si>
    <t>Siirry pohjalle</t>
  </si>
  <si>
    <t>Apulaskentaa</t>
  </si>
  <si>
    <t>Tilikartta</t>
  </si>
  <si>
    <t>Tilikartta Procountor</t>
  </si>
  <si>
    <t>Alla kartta, miten eri osat sijoittuvat taulukossa: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</si>
</sst>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0B]_-;\-* #,##0.00\ [$€-40B]_-;_-* &quot;-&quot;??\ [$€-40B]_-;_-@_-"/>
    <numFmt numFmtId="165" formatCode="#,##0.00\ &quot;€&quot;"/>
  </numFmts>
  <fonts count="26"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i/>
      <sz val="11"/>
      <color theme="1"/>
      <name val="Aptos Narrow"/>
      <family val="2"/>
      <scheme val="minor"/>
    </font>
    <font>
      <sz val="9"/>
      <color theme="1"/>
      <name val="Aptos Narrow"/>
      <family val="2"/>
      <scheme val="minor"/>
    </font>
    <font>
      <sz val="11"/>
      <name val="Aptos Narrow"/>
      <family val="2"/>
      <scheme val="minor"/>
    </font>
    <font>
      <b/>
      <sz val="10"/>
      <color theme="1"/>
      <name val="Aptos Narrow"/>
      <family val="2"/>
      <scheme val="minor"/>
    </font>
    <font>
      <b/>
      <sz val="11"/>
      <color rgb="FFFF0000"/>
      <name val="Aptos Narrow"/>
      <family val="2"/>
      <scheme val="minor"/>
    </font>
    <font>
      <b/>
      <i/>
      <sz val="11"/>
      <color theme="1"/>
      <name val="Aptos Narrow"/>
      <family val="2"/>
      <scheme val="minor"/>
    </font>
    <font>
      <b/>
      <sz val="9"/>
      <color theme="1"/>
      <name val="Aptos Narrow"/>
      <family val="2"/>
      <scheme val="minor"/>
    </font>
    <font>
      <sz val="9"/>
      <color rgb="FF000000"/>
      <name val="Tahoma"/>
      <family val="2"/>
    </font>
    <font>
      <b/>
      <sz val="11"/>
      <color theme="1"/>
      <name val="Aptos Narrow"/>
      <family val="2"/>
      <scheme val="minor"/>
    </font>
    <font>
      <sz val="11"/>
      <color theme="1"/>
      <name val="Aptos Narrow"/>
      <family val="2"/>
      <scheme val="minor"/>
    </font>
    <font>
      <sz val="9"/>
      <color theme="1"/>
      <name val="Aptos Narrow"/>
      <family val="2"/>
      <scheme val="minor"/>
    </font>
    <font>
      <sz val="10"/>
      <color theme="1"/>
      <name val="Aptos Narrow"/>
      <family val="2"/>
      <scheme val="minor"/>
    </font>
    <font>
      <b/>
      <sz val="9"/>
      <color indexed="81"/>
      <name val="Tahoma"/>
      <family val="2"/>
    </font>
    <font>
      <sz val="11"/>
      <color rgb="FFFF0000"/>
      <name val="Aptos Narrow"/>
      <family val="2"/>
      <scheme val="minor"/>
    </font>
    <font>
      <b/>
      <sz val="11"/>
      <color rgb="FF00B050"/>
      <name val="Aptos Narrow"/>
      <family val="2"/>
      <scheme val="minor"/>
    </font>
    <font>
      <b/>
      <sz val="11"/>
      <name val="Aptos Narrow"/>
      <family val="2"/>
      <scheme val="minor"/>
    </font>
    <font>
      <sz val="9"/>
      <color indexed="81"/>
      <name val="Tahoma"/>
      <charset val="1"/>
    </font>
    <font>
      <sz val="9"/>
      <color indexed="81"/>
      <name val="Tahoma"/>
      <family val="2"/>
    </font>
    <font>
      <i/>
      <sz val="11"/>
      <color rgb="FFFF0000"/>
      <name val="Aptos Narrow"/>
      <family val="2"/>
      <scheme val="minor"/>
    </font>
    <font>
      <sz val="8"/>
      <name val="Aptos Narrow"/>
      <family val="2"/>
      <scheme val="minor"/>
    </font>
    <font>
      <b/>
      <sz val="14"/>
      <color theme="1"/>
      <name val="Aptos Narrow"/>
      <family val="2"/>
      <scheme val="minor"/>
    </font>
    <font>
      <b/>
      <sz val="8"/>
      <color theme="1"/>
      <name val="Aptos Narrow"/>
      <family val="2"/>
      <scheme val="minor"/>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xf numFmtId="0" fontId="4" fillId="0" borderId="0" xfId="0" applyFont="1"/>
    <xf numFmtId="0" fontId="5" fillId="0" borderId="0" xfId="0" applyFont="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xf>
    <xf numFmtId="44" fontId="0" fillId="0" borderId="4" xfId="1" applyFont="1" applyBorder="1"/>
    <xf numFmtId="44" fontId="0" fillId="0" borderId="0" xfId="1" applyFont="1"/>
    <xf numFmtId="44" fontId="0" fillId="0" borderId="5" xfId="1" applyFont="1" applyBorder="1"/>
    <xf numFmtId="0" fontId="0" fillId="0" borderId="0" xfId="1" applyNumberFormat="1" applyFont="1" applyFill="1" applyBorder="1"/>
    <xf numFmtId="44" fontId="2" fillId="0" borderId="7" xfId="1" applyFont="1" applyBorder="1"/>
    <xf numFmtId="44" fontId="0" fillId="0" borderId="0" xfId="1" applyFont="1" applyBorder="1"/>
    <xf numFmtId="44" fontId="0" fillId="0" borderId="9" xfId="1" applyFont="1" applyBorder="1"/>
    <xf numFmtId="44" fontId="2" fillId="0" borderId="0" xfId="0" applyNumberFormat="1" applyFont="1"/>
    <xf numFmtId="0" fontId="5" fillId="0" borderId="0" xfId="0" applyFont="1"/>
    <xf numFmtId="0" fontId="5" fillId="0" borderId="0" xfId="0" applyFont="1" applyAlignment="1">
      <alignment horizontal="right"/>
    </xf>
    <xf numFmtId="44" fontId="0" fillId="0" borderId="6" xfId="1" applyFont="1" applyBorder="1"/>
    <xf numFmtId="44" fontId="8" fillId="0" borderId="0" xfId="0" applyNumberFormat="1" applyFont="1"/>
    <xf numFmtId="0" fontId="3" fillId="0" borderId="0" xfId="2"/>
    <xf numFmtId="1" fontId="0" fillId="0" borderId="0" xfId="1" applyNumberFormat="1" applyFont="1" applyFill="1" applyBorder="1"/>
    <xf numFmtId="44" fontId="2" fillId="0" borderId="0" xfId="1" applyFont="1" applyBorder="1"/>
    <xf numFmtId="0" fontId="9" fillId="0" borderId="0" xfId="0" applyFont="1"/>
    <xf numFmtId="0" fontId="2"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center"/>
    </xf>
    <xf numFmtId="44" fontId="0" fillId="0" borderId="13" xfId="1" applyFont="1" applyBorder="1"/>
    <xf numFmtId="44" fontId="0" fillId="0" borderId="13" xfId="1" applyFont="1" applyBorder="1" applyAlignment="1">
      <alignment horizontal="center" vertical="center"/>
    </xf>
    <xf numFmtId="0" fontId="12" fillId="0" borderId="0" xfId="0" applyFont="1"/>
    <xf numFmtId="0" fontId="0" fillId="0" borderId="0" xfId="0" applyAlignment="1">
      <alignment horizontal="center" vertical="center"/>
    </xf>
    <xf numFmtId="0" fontId="0" fillId="0" borderId="13" xfId="0" applyBorder="1" applyAlignment="1">
      <alignment horizontal="center" vertical="center"/>
    </xf>
    <xf numFmtId="14" fontId="4" fillId="0" borderId="13" xfId="0" applyNumberFormat="1" applyFont="1" applyBorder="1" applyAlignment="1">
      <alignment vertical="center"/>
    </xf>
    <xf numFmtId="14" fontId="0" fillId="0" borderId="13" xfId="0" applyNumberFormat="1" applyBorder="1" applyAlignment="1">
      <alignment vertical="center"/>
    </xf>
    <xf numFmtId="0" fontId="0" fillId="0" borderId="0" xfId="0" applyAlignment="1">
      <alignment horizontal="right" vertical="center"/>
    </xf>
    <xf numFmtId="0" fontId="0" fillId="0" borderId="0" xfId="0" applyAlignment="1">
      <alignment horizontal="center" vertical="center" wrapText="1"/>
    </xf>
    <xf numFmtId="0" fontId="0" fillId="0" borderId="0" xfId="0" applyAlignment="1">
      <alignment vertical="center"/>
    </xf>
    <xf numFmtId="10" fontId="0" fillId="0" borderId="13" xfId="0" applyNumberFormat="1" applyBorder="1"/>
    <xf numFmtId="44" fontId="0" fillId="0" borderId="13" xfId="0" applyNumberFormat="1" applyBorder="1"/>
    <xf numFmtId="0" fontId="13" fillId="0" borderId="0" xfId="0" applyFont="1"/>
    <xf numFmtId="0" fontId="14" fillId="0" borderId="0" xfId="0" applyFont="1"/>
    <xf numFmtId="44" fontId="13" fillId="0" borderId="4" xfId="1" applyFont="1" applyBorder="1"/>
    <xf numFmtId="44" fontId="13" fillId="0" borderId="0" xfId="1" applyFont="1"/>
    <xf numFmtId="44" fontId="13" fillId="0" borderId="5" xfId="1" applyFont="1" applyBorder="1"/>
    <xf numFmtId="1" fontId="13" fillId="0" borderId="0" xfId="1" applyNumberFormat="1" applyFont="1" applyFill="1" applyBorder="1"/>
    <xf numFmtId="0" fontId="13" fillId="0" borderId="0" xfId="0" applyFont="1" applyAlignment="1">
      <alignment horizontal="right"/>
    </xf>
    <xf numFmtId="44" fontId="13" fillId="0" borderId="6" xfId="1" applyFont="1" applyBorder="1"/>
    <xf numFmtId="0" fontId="15" fillId="0" borderId="0" xfId="0" applyFont="1" applyAlignment="1">
      <alignment horizontal="right"/>
    </xf>
    <xf numFmtId="44" fontId="12" fillId="0" borderId="0" xfId="1" applyFont="1" applyBorder="1"/>
    <xf numFmtId="44" fontId="13" fillId="0" borderId="10" xfId="1" applyFont="1" applyBorder="1"/>
    <xf numFmtId="44" fontId="13" fillId="0" borderId="0" xfId="0" applyNumberFormat="1" applyFont="1"/>
    <xf numFmtId="164" fontId="13" fillId="0" borderId="0" xfId="0" applyNumberFormat="1" applyFont="1"/>
    <xf numFmtId="44" fontId="12" fillId="0" borderId="0" xfId="0" applyNumberFormat="1" applyFont="1"/>
    <xf numFmtId="165" fontId="13" fillId="0" borderId="0" xfId="0" applyNumberFormat="1" applyFont="1"/>
    <xf numFmtId="10" fontId="12" fillId="0" borderId="0" xfId="0" applyNumberFormat="1" applyFont="1"/>
    <xf numFmtId="0" fontId="0" fillId="0" borderId="0" xfId="0" applyAlignment="1">
      <alignment horizontal="center"/>
    </xf>
    <xf numFmtId="44" fontId="6" fillId="0" borderId="0" xfId="1" applyFont="1" applyBorder="1"/>
    <xf numFmtId="0" fontId="12" fillId="0" borderId="0" xfId="0" applyFont="1" applyAlignment="1">
      <alignment horizontal="center" vertical="center"/>
    </xf>
    <xf numFmtId="44" fontId="13" fillId="0" borderId="0" xfId="1" applyFont="1" applyBorder="1"/>
    <xf numFmtId="0" fontId="7" fillId="0" borderId="0" xfId="0" applyFont="1" applyAlignment="1">
      <alignment horizontal="center" vertical="center"/>
    </xf>
    <xf numFmtId="0" fontId="17" fillId="0" borderId="0" xfId="0" applyFont="1"/>
    <xf numFmtId="44" fontId="0" fillId="0" borderId="0" xfId="0" applyNumberFormat="1"/>
    <xf numFmtId="0" fontId="0" fillId="0" borderId="0" xfId="1" applyNumberFormat="1" applyFont="1"/>
    <xf numFmtId="0" fontId="0" fillId="0" borderId="0" xfId="0" applyAlignment="1">
      <alignment wrapText="1"/>
    </xf>
    <xf numFmtId="0" fontId="10" fillId="0" borderId="0" xfId="0" applyFont="1" applyAlignment="1">
      <alignment horizontal="center" vertical="center" wrapText="1"/>
    </xf>
    <xf numFmtId="44" fontId="2" fillId="0" borderId="3" xfId="0" applyNumberFormat="1" applyFont="1" applyBorder="1"/>
    <xf numFmtId="44" fontId="2" fillId="0" borderId="17" xfId="1" applyFont="1" applyBorder="1"/>
    <xf numFmtId="44" fontId="2" fillId="0" borderId="18" xfId="1" applyFont="1" applyBorder="1"/>
    <xf numFmtId="44" fontId="2" fillId="0" borderId="15" xfId="1" applyFont="1" applyBorder="1"/>
    <xf numFmtId="44" fontId="2" fillId="0" borderId="16" xfId="1" applyFont="1" applyBorder="1"/>
    <xf numFmtId="0" fontId="0" fillId="0" borderId="5" xfId="0" applyBorder="1"/>
    <xf numFmtId="44" fontId="8" fillId="0" borderId="12" xfId="1" applyFont="1" applyBorder="1"/>
    <xf numFmtId="44" fontId="18" fillId="0" borderId="0" xfId="1" applyFont="1"/>
    <xf numFmtId="44" fontId="19" fillId="0" borderId="7" xfId="1" applyFont="1" applyBorder="1"/>
    <xf numFmtId="0" fontId="4" fillId="0" borderId="8" xfId="0" applyFont="1" applyBorder="1" applyAlignment="1">
      <alignment horizontal="left"/>
    </xf>
    <xf numFmtId="0" fontId="4" fillId="0" borderId="14" xfId="0" applyFont="1" applyBorder="1" applyAlignment="1">
      <alignment horizontal="left"/>
    </xf>
    <xf numFmtId="0" fontId="4" fillId="0" borderId="7" xfId="0" applyFont="1" applyBorder="1" applyAlignment="1">
      <alignment horizontal="left"/>
    </xf>
    <xf numFmtId="0" fontId="0" fillId="0" borderId="0" xfId="0" applyAlignment="1">
      <alignment horizontal="right"/>
    </xf>
    <xf numFmtId="0" fontId="0" fillId="0" borderId="3" xfId="0" applyBorder="1" applyAlignment="1">
      <alignment horizontal="center" vertical="center" wrapText="1"/>
    </xf>
    <xf numFmtId="0" fontId="13" fillId="0" borderId="0" xfId="0" applyFont="1" applyAlignment="1">
      <alignment horizontal="left" vertical="top"/>
    </xf>
    <xf numFmtId="0" fontId="13" fillId="0" borderId="0" xfId="0" applyFont="1" applyAlignment="1">
      <alignment horizontal="right" wrapText="1"/>
    </xf>
    <xf numFmtId="9" fontId="0" fillId="0" borderId="0" xfId="0" applyNumberFormat="1"/>
    <xf numFmtId="10" fontId="0" fillId="0" borderId="0" xfId="0" applyNumberFormat="1"/>
    <xf numFmtId="1" fontId="0" fillId="0" borderId="0" xfId="0" applyNumberFormat="1"/>
    <xf numFmtId="0" fontId="0" fillId="0" borderId="0" xfId="0" applyAlignment="1">
      <alignment horizontal="left"/>
    </xf>
    <xf numFmtId="0" fontId="13" fillId="0" borderId="0" xfId="0" applyFont="1" applyAlignment="1">
      <alignment horizontal="center" vertical="center"/>
    </xf>
    <xf numFmtId="0" fontId="13" fillId="0" borderId="0" xfId="0" applyFont="1" applyAlignment="1">
      <alignment horizontal="left"/>
    </xf>
    <xf numFmtId="44" fontId="12" fillId="0" borderId="13" xfId="0" applyNumberFormat="1" applyFont="1" applyBorder="1"/>
    <xf numFmtId="0" fontId="24" fillId="0" borderId="0" xfId="0" applyFont="1" applyAlignment="1">
      <alignment horizontal="left"/>
    </xf>
    <xf numFmtId="0" fontId="0" fillId="2" borderId="13" xfId="0" applyFill="1" applyBorder="1" applyAlignment="1">
      <alignment horizontal="center" vertical="center"/>
    </xf>
    <xf numFmtId="1" fontId="0" fillId="0" borderId="19" xfId="0" applyNumberFormat="1" applyBorder="1"/>
    <xf numFmtId="1" fontId="0" fillId="0" borderId="20" xfId="0" applyNumberFormat="1" applyBorder="1"/>
    <xf numFmtId="1" fontId="0" fillId="0" borderId="3" xfId="0" applyNumberFormat="1" applyBorder="1"/>
    <xf numFmtId="1" fontId="0" fillId="0" borderId="13" xfId="0" applyNumberFormat="1" applyBorder="1"/>
    <xf numFmtId="0" fontId="0" fillId="2" borderId="0" xfId="0" applyFill="1" applyAlignment="1">
      <alignment horizontal="center" vertical="center"/>
    </xf>
    <xf numFmtId="44" fontId="6" fillId="0" borderId="5" xfId="1" applyFont="1" applyBorder="1"/>
    <xf numFmtId="0" fontId="2" fillId="0" borderId="23" xfId="0" applyFont="1" applyBorder="1"/>
    <xf numFmtId="0" fontId="0" fillId="0" borderId="24" xfId="0" applyBorder="1"/>
    <xf numFmtId="0" fontId="0" fillId="0" borderId="25" xfId="0" applyBorder="1"/>
    <xf numFmtId="0" fontId="2" fillId="0" borderId="26" xfId="0" applyFont="1" applyBorder="1"/>
    <xf numFmtId="0" fontId="4" fillId="0" borderId="26" xfId="0" applyFont="1" applyBorder="1"/>
    <xf numFmtId="0" fontId="0" fillId="0" borderId="26" xfId="0" applyBorder="1"/>
    <xf numFmtId="44" fontId="0" fillId="0" borderId="27" xfId="1" applyFont="1" applyBorder="1"/>
    <xf numFmtId="0" fontId="0" fillId="0" borderId="28" xfId="0" applyBorder="1"/>
    <xf numFmtId="0" fontId="0" fillId="0" borderId="29" xfId="0" applyBorder="1"/>
    <xf numFmtId="0" fontId="0" fillId="0" borderId="30" xfId="0" applyBorder="1"/>
    <xf numFmtId="0" fontId="2" fillId="0" borderId="24" xfId="0" applyFont="1" applyBorder="1"/>
    <xf numFmtId="0" fontId="9" fillId="0" borderId="0" xfId="0" applyFont="1" applyAlignment="1">
      <alignment horizontal="center" vertical="center" wrapText="1"/>
    </xf>
    <xf numFmtId="0" fontId="2" fillId="0" borderId="25" xfId="0" applyFont="1" applyBorder="1"/>
    <xf numFmtId="44" fontId="0" fillId="0" borderId="19" xfId="0" applyNumberFormat="1" applyBorder="1"/>
    <xf numFmtId="44" fontId="0" fillId="0" borderId="20" xfId="0" applyNumberFormat="1" applyBorder="1"/>
    <xf numFmtId="44" fontId="2" fillId="0" borderId="32" xfId="0" applyNumberFormat="1" applyFont="1" applyBorder="1"/>
    <xf numFmtId="0" fontId="2" fillId="0" borderId="0" xfId="0" applyFont="1" applyAlignment="1">
      <alignment vertical="top"/>
    </xf>
    <xf numFmtId="1" fontId="0" fillId="0" borderId="0" xfId="1" applyNumberFormat="1" applyFont="1" applyFill="1" applyBorder="1" applyAlignment="1">
      <alignment horizontal="left" indent="2"/>
    </xf>
    <xf numFmtId="0" fontId="0" fillId="2" borderId="13" xfId="0" applyFill="1" applyBorder="1" applyAlignment="1" applyProtection="1">
      <alignment horizontal="center" vertical="center"/>
      <protection locked="0"/>
    </xf>
    <xf numFmtId="0" fontId="0" fillId="0" borderId="0" xfId="0" applyProtection="1">
      <protection locked="0"/>
    </xf>
    <xf numFmtId="44" fontId="0" fillId="0" borderId="4" xfId="1" applyFont="1" applyBorder="1" applyProtection="1">
      <protection locked="0"/>
    </xf>
    <xf numFmtId="44" fontId="0" fillId="0" borderId="0" xfId="1" applyFont="1" applyBorder="1" applyProtection="1">
      <protection locked="0"/>
    </xf>
    <xf numFmtId="44" fontId="0" fillId="0" borderId="27" xfId="1" applyFont="1" applyBorder="1" applyProtection="1">
      <protection locked="0"/>
    </xf>
    <xf numFmtId="44" fontId="0" fillId="0" borderId="5" xfId="1" applyFont="1" applyBorder="1" applyProtection="1">
      <protection locked="0"/>
    </xf>
    <xf numFmtId="0" fontId="0" fillId="0" borderId="0" xfId="1" applyNumberFormat="1" applyFont="1" applyFill="1" applyBorder="1" applyProtection="1">
      <protection locked="0"/>
    </xf>
    <xf numFmtId="0" fontId="0" fillId="0" borderId="0" xfId="1" applyNumberFormat="1" applyFont="1" applyBorder="1" applyProtection="1">
      <protection locked="0"/>
    </xf>
    <xf numFmtId="44" fontId="0" fillId="0" borderId="9" xfId="1" applyFont="1" applyBorder="1" applyProtection="1">
      <protection locked="0"/>
    </xf>
    <xf numFmtId="0" fontId="0" fillId="0" borderId="13" xfId="0" applyBorder="1" applyAlignment="1" applyProtection="1">
      <alignment horizontal="center" vertical="center"/>
      <protection locked="0"/>
    </xf>
    <xf numFmtId="44" fontId="0" fillId="0" borderId="13" xfId="1" applyFont="1" applyBorder="1" applyProtection="1">
      <protection locked="0"/>
    </xf>
    <xf numFmtId="10" fontId="0" fillId="0" borderId="13" xfId="0" applyNumberFormat="1" applyBorder="1" applyProtection="1">
      <protection locked="0"/>
    </xf>
    <xf numFmtId="14" fontId="5" fillId="0" borderId="13" xfId="0" applyNumberFormat="1" applyFont="1" applyBorder="1" applyAlignment="1" applyProtection="1">
      <alignment vertical="center"/>
      <protection locked="0"/>
    </xf>
    <xf numFmtId="44" fontId="2" fillId="0" borderId="0" xfId="1" applyFont="1"/>
    <xf numFmtId="0" fontId="25" fillId="0" borderId="0" xfId="0" applyFont="1" applyAlignment="1">
      <alignment horizontal="center" vertical="center" wrapText="1"/>
    </xf>
    <xf numFmtId="0" fontId="24" fillId="0" borderId="0" xfId="0" applyFont="1"/>
    <xf numFmtId="44" fontId="8" fillId="0" borderId="5" xfId="1" applyFont="1" applyBorder="1" applyProtection="1"/>
    <xf numFmtId="44" fontId="18" fillId="0" borderId="0" xfId="1" applyFont="1" applyBorder="1" applyProtection="1"/>
    <xf numFmtId="44" fontId="19" fillId="0" borderId="33" xfId="1" applyFont="1" applyBorder="1"/>
    <xf numFmtId="44" fontId="2" fillId="0" borderId="33" xfId="1" applyFont="1" applyBorder="1"/>
    <xf numFmtId="14" fontId="0" fillId="2" borderId="13" xfId="0" applyNumberFormat="1" applyFill="1" applyBorder="1" applyProtection="1">
      <protection locked="0"/>
    </xf>
    <xf numFmtId="14" fontId="0" fillId="2" borderId="8" xfId="0" applyNumberFormat="1" applyFill="1" applyBorder="1" applyProtection="1">
      <protection locked="0"/>
    </xf>
    <xf numFmtId="44" fontId="0" fillId="2" borderId="13" xfId="1" applyFont="1" applyFill="1" applyBorder="1" applyProtection="1">
      <protection locked="0"/>
    </xf>
    <xf numFmtId="10" fontId="0" fillId="2" borderId="13" xfId="3" applyNumberFormat="1" applyFont="1" applyFill="1" applyBorder="1" applyProtection="1">
      <protection locked="0"/>
    </xf>
    <xf numFmtId="0" fontId="0" fillId="2" borderId="12" xfId="0" applyFill="1" applyBorder="1" applyProtection="1">
      <protection locked="0"/>
    </xf>
    <xf numFmtId="0" fontId="3" fillId="0" borderId="26" xfId="2" applyBorder="1"/>
    <xf numFmtId="0" fontId="0" fillId="0" borderId="8"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7" xfId="0" applyBorder="1" applyAlignment="1" applyProtection="1">
      <alignment horizontal="left" wrapText="1"/>
      <protection locked="0"/>
    </xf>
    <xf numFmtId="0" fontId="15" fillId="0" borderId="8" xfId="0" applyFont="1" applyBorder="1" applyAlignment="1" applyProtection="1">
      <alignment horizontal="left"/>
      <protection locked="0"/>
    </xf>
    <xf numFmtId="0" fontId="15" fillId="0" borderId="14" xfId="0" applyFont="1" applyBorder="1" applyAlignment="1" applyProtection="1">
      <alignment horizontal="left"/>
      <protection locked="0"/>
    </xf>
    <xf numFmtId="0" fontId="15" fillId="0" borderId="7" xfId="0" applyFont="1" applyBorder="1" applyAlignment="1" applyProtection="1">
      <alignment horizontal="left"/>
      <protection locked="0"/>
    </xf>
    <xf numFmtId="0" fontId="15" fillId="0" borderId="8" xfId="0" applyFont="1" applyBorder="1" applyAlignment="1" applyProtection="1">
      <alignment horizontal="left" wrapText="1"/>
      <protection locked="0"/>
    </xf>
    <xf numFmtId="0" fontId="15" fillId="0" borderId="14" xfId="0" applyFont="1" applyBorder="1" applyAlignment="1" applyProtection="1">
      <alignment horizontal="left" wrapText="1"/>
      <protection locked="0"/>
    </xf>
    <xf numFmtId="0" fontId="15" fillId="0" borderId="7" xfId="0" applyFont="1" applyBorder="1" applyAlignment="1" applyProtection="1">
      <alignment horizontal="left" wrapText="1"/>
      <protection locked="0"/>
    </xf>
    <xf numFmtId="0" fontId="2" fillId="0" borderId="8"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7" xfId="0" applyFont="1" applyBorder="1" applyAlignment="1" applyProtection="1">
      <alignment horizontal="left"/>
      <protection locked="0"/>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7" xfId="0" applyBorder="1" applyAlignment="1" applyProtection="1">
      <alignment horizontal="left"/>
      <protection locked="0"/>
    </xf>
    <xf numFmtId="0" fontId="2" fillId="0" borderId="24" xfId="0" applyFont="1" applyBorder="1" applyAlignment="1">
      <alignment horizont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9" fillId="0" borderId="0" xfId="0" applyFont="1" applyAlignment="1">
      <alignment horizontal="center" vertic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4" fillId="0" borderId="31" xfId="0" applyFont="1" applyBorder="1" applyAlignment="1">
      <alignment horizontal="center" wrapText="1"/>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0" fillId="0" borderId="18" xfId="0"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xf>
    <xf numFmtId="0" fontId="4" fillId="0" borderId="14"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wrapText="1"/>
    </xf>
    <xf numFmtId="0" fontId="4" fillId="0" borderId="14" xfId="0" applyFont="1" applyBorder="1" applyAlignment="1">
      <alignment horizontal="left" wrapText="1"/>
    </xf>
    <xf numFmtId="0" fontId="4" fillId="0" borderId="7" xfId="0" applyFont="1" applyBorder="1" applyAlignment="1">
      <alignment horizontal="left"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2" borderId="13" xfId="0" applyFill="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 xfId="0" applyFont="1" applyBorder="1" applyAlignment="1">
      <alignment horizontal="center" vertical="center" wrapText="1"/>
    </xf>
    <xf numFmtId="0" fontId="22" fillId="0" borderId="8" xfId="0" applyFont="1" applyBorder="1" applyAlignment="1">
      <alignment horizontal="left" wrapText="1"/>
    </xf>
    <xf numFmtId="0" fontId="22" fillId="0" borderId="14" xfId="0" applyFont="1" applyBorder="1" applyAlignment="1">
      <alignment horizontal="left" wrapText="1"/>
    </xf>
    <xf numFmtId="0" fontId="22" fillId="0" borderId="7" xfId="0" applyFont="1" applyBorder="1" applyAlignment="1">
      <alignment horizontal="left" wrapText="1"/>
    </xf>
    <xf numFmtId="0" fontId="0" fillId="0" borderId="8" xfId="0" applyBorder="1" applyAlignment="1">
      <alignment horizontal="left"/>
    </xf>
    <xf numFmtId="0" fontId="0" fillId="0" borderId="14" xfId="0" applyBorder="1" applyAlignment="1">
      <alignment horizontal="left"/>
    </xf>
    <xf numFmtId="0" fontId="0" fillId="0" borderId="7" xfId="0" applyBorder="1" applyAlignment="1">
      <alignment horizontal="left"/>
    </xf>
    <xf numFmtId="0" fontId="2" fillId="0" borderId="8" xfId="0" applyFont="1" applyBorder="1" applyAlignment="1">
      <alignment horizontal="left"/>
    </xf>
    <xf numFmtId="0" fontId="2" fillId="0" borderId="14" xfId="0" applyFont="1" applyBorder="1" applyAlignment="1">
      <alignment horizontal="left"/>
    </xf>
    <xf numFmtId="0" fontId="2" fillId="0" borderId="7" xfId="0" applyFont="1" applyBorder="1" applyAlignment="1">
      <alignment horizontal="left"/>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8" xfId="0" applyBorder="1" applyAlignment="1">
      <alignment horizontal="left" wrapText="1"/>
    </xf>
    <xf numFmtId="0" fontId="0" fillId="0" borderId="14" xfId="0" applyBorder="1" applyAlignment="1">
      <alignment horizontal="left" wrapText="1"/>
    </xf>
    <xf numFmtId="0" fontId="0" fillId="0" borderId="7" xfId="0" applyBorder="1" applyAlignment="1">
      <alignment horizontal="left" wrapText="1"/>
    </xf>
    <xf numFmtId="0" fontId="24" fillId="0" borderId="1" xfId="0" applyFont="1" applyBorder="1" applyAlignment="1">
      <alignment horizontal="center" wrapText="1"/>
    </xf>
    <xf numFmtId="0" fontId="24" fillId="0" borderId="2" xfId="0" applyFont="1" applyBorder="1" applyAlignment="1">
      <alignment horizontal="center" wrapText="1"/>
    </xf>
  </cellXfs>
  <cellStyles count="4">
    <cellStyle name="Hyperlinkki" xfId="2" builtinId="8"/>
    <cellStyle name="Normaali" xfId="0" builtinId="0"/>
    <cellStyle name="Prosenttia" xfId="3" builtinId="5"/>
    <cellStyle name="Valuutta" xfId="1" builtinId="4"/>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180975</xdr:rowOff>
    </xdr:from>
    <xdr:to>
      <xdr:col>17</xdr:col>
      <xdr:colOff>133622</xdr:colOff>
      <xdr:row>42</xdr:row>
      <xdr:rowOff>34661</xdr:rowOff>
    </xdr:to>
    <xdr:pic>
      <xdr:nvPicPr>
        <xdr:cNvPr id="2" name="Kuva 1">
          <a:extLst>
            <a:ext uri="{FF2B5EF4-FFF2-40B4-BE49-F238E27FC236}">
              <a16:creationId xmlns:a16="http://schemas.microsoft.com/office/drawing/2014/main" id="{EC2B759D-0B72-BC42-4E9B-A16AB5E8DF4B}"/>
            </a:ext>
          </a:extLst>
        </xdr:cNvPr>
        <xdr:cNvPicPr>
          <a:picLocks noChangeAspect="1"/>
        </xdr:cNvPicPr>
      </xdr:nvPicPr>
      <xdr:blipFill>
        <a:blip xmlns:r="http://schemas.openxmlformats.org/officeDocument/2006/relationships" r:embed="rId1"/>
        <a:stretch>
          <a:fillRect/>
        </a:stretch>
      </xdr:blipFill>
      <xdr:spPr>
        <a:xfrm>
          <a:off x="0" y="1704975"/>
          <a:ext cx="10496822" cy="6521186"/>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youtu.be/J7WnjrfVFu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youtu.be/J7WnjrfVFug"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youtu.be/CNASTS2Upw0" TargetMode="External"/><Relationship Id="rId1" Type="http://schemas.openxmlformats.org/officeDocument/2006/relationships/hyperlink" Target="https://youtu.be/14FykOT6MOg?si=XvYtpzSfakCu6SE8"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youtu.be/14FykOT6MOg?si=XvYtpzSfakCu6SE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8950-54A9-469D-9161-7B0394540473}">
  <dimension ref="A1:L64"/>
  <sheetViews>
    <sheetView tabSelected="1" zoomScale="90" zoomScaleNormal="90" workbookViewId="0">
      <selection activeCell="L6" sqref="L6"/>
    </sheetView>
  </sheetViews>
  <sheetFormatPr defaultRowHeight="15" x14ac:dyDescent="0.25"/>
  <sheetData>
    <row r="1" spans="1:12" x14ac:dyDescent="0.25">
      <c r="A1" s="1" t="s">
        <v>689</v>
      </c>
      <c r="E1" t="s">
        <v>172</v>
      </c>
      <c r="F1" s="93" t="s">
        <v>173</v>
      </c>
      <c r="G1" s="1" t="s">
        <v>91</v>
      </c>
    </row>
    <row r="3" spans="1:12" x14ac:dyDescent="0.25">
      <c r="A3" t="s">
        <v>690</v>
      </c>
      <c r="L3" s="18" t="s">
        <v>694</v>
      </c>
    </row>
    <row r="4" spans="1:12" x14ac:dyDescent="0.25">
      <c r="A4" t="s">
        <v>691</v>
      </c>
      <c r="L4" s="18" t="s">
        <v>695</v>
      </c>
    </row>
    <row r="5" spans="1:12" x14ac:dyDescent="0.25">
      <c r="A5" t="s">
        <v>693</v>
      </c>
      <c r="L5" s="18" t="s">
        <v>696</v>
      </c>
    </row>
    <row r="6" spans="1:12" x14ac:dyDescent="0.25">
      <c r="A6" t="s">
        <v>697</v>
      </c>
      <c r="L6" s="18" t="s">
        <v>698</v>
      </c>
    </row>
    <row r="7" spans="1:12" x14ac:dyDescent="0.25">
      <c r="A7" t="s">
        <v>692</v>
      </c>
      <c r="C7" s="18" t="s">
        <v>688</v>
      </c>
    </row>
    <row r="8" spans="1:12" x14ac:dyDescent="0.25">
      <c r="A8" t="s">
        <v>699</v>
      </c>
    </row>
    <row r="60" spans="1:1" x14ac:dyDescent="0.25">
      <c r="A60" s="80"/>
    </row>
    <row r="61" spans="1:1" x14ac:dyDescent="0.25">
      <c r="A61" s="80"/>
    </row>
    <row r="62" spans="1:1" x14ac:dyDescent="0.25">
      <c r="A62" s="80"/>
    </row>
    <row r="63" spans="1:1" x14ac:dyDescent="0.25">
      <c r="A63" s="80"/>
    </row>
    <row r="64" spans="1:1" x14ac:dyDescent="0.25">
      <c r="A64" s="81"/>
    </row>
  </sheetData>
  <sheetProtection algorithmName="SHA-512" hashValue="xDcDyVrVk9LO+n0cPcN6aR+mkx7eANP11On4I/xpJ0vj3aVu3bsGQuEQORymHzOUkdTwaI3sj69kEx3gQyhrlA==" saltValue="igiAuaun6v1mKR6H0ezylg==" spinCount="100000" sheet="1" objects="1" scenarios="1"/>
  <hyperlinks>
    <hyperlink ref="C7" r:id="rId1" xr:uid="{17C4EE60-5ACD-4F69-836B-25B7640EBBD8}"/>
    <hyperlink ref="A5" location="Apulaskentaa!A1" display="Apulaskentaa välilehdellä voit laskea jaksotuksia" xr:uid="{45EE7DBD-6902-4A73-A968-9B1DCE2E1635}"/>
    <hyperlink ref="L3" location="'2KP perusidea tee videolta'!A1" display="Siirry harjoitukseen" xr:uid="{0210F00C-8425-4E18-8A23-7CD1E5D41DA5}"/>
    <hyperlink ref="L4" location="'2KP Kirjanpito oma'!A1" display="Siirry pohjalle" xr:uid="{DF68526F-DBA5-442E-B2D9-446CD9D50479}"/>
    <hyperlink ref="L5" location="Apulaskentaa!A1" display="Apulaskentaa" xr:uid="{5BC6B616-5728-4BB4-AE12-826E8C0296F5}"/>
    <hyperlink ref="L6" location="Tilikartta!A1" display="Tilikartta Procountor" xr:uid="{74109B97-6511-4CEB-B997-4CBBF3A9AC3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E6A25-DB9D-4B81-BBD0-785044CCAEEA}">
  <dimension ref="A1:AA79"/>
  <sheetViews>
    <sheetView zoomScale="85" zoomScaleNormal="85" workbookViewId="0">
      <selection activeCell="F6" sqref="F6"/>
    </sheetView>
  </sheetViews>
  <sheetFormatPr defaultRowHeight="15" x14ac:dyDescent="0.25"/>
  <cols>
    <col min="3" max="3" width="11.85546875" customWidth="1"/>
    <col min="4" max="4" width="6.140625" customWidth="1"/>
    <col min="5" max="5" width="10.42578125" customWidth="1"/>
    <col min="6" max="6" width="13.140625" customWidth="1"/>
    <col min="7" max="7" width="11.85546875" bestFit="1" customWidth="1"/>
    <col min="8" max="8" width="7" customWidth="1"/>
    <col min="9" max="9" width="11.85546875" bestFit="1" customWidth="1"/>
    <col min="10" max="10" width="13" customWidth="1"/>
    <col min="11" max="11" width="5.5703125" customWidth="1"/>
    <col min="12" max="12" width="11.140625" customWidth="1"/>
    <col min="13" max="13" width="11.42578125" customWidth="1"/>
    <col min="14" max="14" width="6.140625" customWidth="1"/>
    <col min="15" max="15" width="11.85546875" customWidth="1"/>
    <col min="16" max="16" width="12" customWidth="1"/>
    <col min="17" max="17" width="10.140625" customWidth="1"/>
    <col min="18" max="18" width="14.7109375" customWidth="1"/>
    <col min="19" max="19" width="14.85546875" customWidth="1"/>
    <col min="20" max="20" width="12" customWidth="1"/>
    <col min="21" max="21" width="18.28515625" customWidth="1"/>
    <col min="22" max="22" width="4.5703125" customWidth="1"/>
    <col min="23" max="23" width="11.42578125" bestFit="1" customWidth="1"/>
    <col min="25" max="25" width="18.85546875" customWidth="1"/>
    <col min="27" max="28" width="19" customWidth="1"/>
  </cols>
  <sheetData>
    <row r="1" spans="1:27" x14ac:dyDescent="0.25">
      <c r="A1" s="1" t="s">
        <v>179</v>
      </c>
    </row>
    <row r="2" spans="1:27" ht="6" customHeight="1" thickBot="1" x14ac:dyDescent="0.3"/>
    <row r="3" spans="1:27" ht="19.5" thickBot="1" x14ac:dyDescent="0.35">
      <c r="A3" s="95" t="s">
        <v>175</v>
      </c>
      <c r="B3" s="96"/>
      <c r="C3" s="96"/>
      <c r="D3" s="96"/>
      <c r="E3" s="96"/>
      <c r="F3" s="96"/>
      <c r="G3" s="96"/>
      <c r="H3" s="96"/>
      <c r="I3" s="96"/>
      <c r="J3" s="96"/>
      <c r="K3" s="96"/>
      <c r="L3" s="96"/>
      <c r="M3" s="96"/>
      <c r="N3" s="96"/>
      <c r="O3" s="96"/>
      <c r="P3" s="97"/>
      <c r="R3" s="170" t="s">
        <v>44</v>
      </c>
      <c r="S3" s="171"/>
      <c r="T3" s="171"/>
      <c r="U3" s="172"/>
      <c r="W3" s="128" t="s">
        <v>44</v>
      </c>
    </row>
    <row r="4" spans="1:27" ht="15.75" thickBot="1" x14ac:dyDescent="0.3">
      <c r="A4" s="98" t="s">
        <v>1</v>
      </c>
      <c r="F4" s="155" t="str">
        <f>IF(D69&lt;&gt;"K","",Tilikartta!A25)</f>
        <v/>
      </c>
      <c r="G4" s="156"/>
      <c r="H4" s="114"/>
      <c r="I4" s="155" t="str">
        <f>IF(D69&lt;&gt;"K","",Tilikartta!A54)</f>
        <v/>
      </c>
      <c r="J4" s="156"/>
      <c r="K4" s="114"/>
      <c r="L4" s="155" t="str">
        <f>IF(D69&lt;&gt;"K","",Tilikartta!A82)</f>
        <v/>
      </c>
      <c r="M4" s="156"/>
      <c r="N4" s="114"/>
      <c r="O4" s="155" t="str">
        <f>IF(D69&lt;&gt;"K","",Tilikartta!A119)</f>
        <v/>
      </c>
      <c r="P4" s="173"/>
      <c r="Q4" s="29" t="str">
        <f>IF(D69&lt;&gt;"K","",Tilikartta!A7)</f>
        <v/>
      </c>
      <c r="R4" s="174" t="s">
        <v>87</v>
      </c>
      <c r="S4" s="175"/>
      <c r="T4" s="176" t="s">
        <v>88</v>
      </c>
      <c r="U4" s="177"/>
      <c r="W4" s="1" t="s">
        <v>1</v>
      </c>
      <c r="X4" s="38"/>
      <c r="Y4" s="38"/>
      <c r="Z4" s="38"/>
      <c r="AA4" s="38"/>
    </row>
    <row r="5" spans="1:27" ht="15.75" thickBot="1" x14ac:dyDescent="0.3">
      <c r="A5" s="99" t="s">
        <v>9</v>
      </c>
      <c r="F5" s="158" t="s">
        <v>70</v>
      </c>
      <c r="G5" s="159"/>
      <c r="H5" s="114"/>
      <c r="I5" s="161" t="s">
        <v>125</v>
      </c>
      <c r="J5" s="162"/>
      <c r="K5" s="114"/>
      <c r="L5" s="158" t="s">
        <v>7</v>
      </c>
      <c r="M5" s="159"/>
      <c r="N5" s="114"/>
      <c r="O5" s="158" t="s">
        <v>174</v>
      </c>
      <c r="P5" s="159"/>
      <c r="R5" s="44" t="str">
        <f>F5</f>
        <v>Koneet ja kalusto</v>
      </c>
      <c r="S5" s="94">
        <f>IF(G18&gt;0,G18,IF(F18&gt;0,F18*-1,0))</f>
        <v>0</v>
      </c>
      <c r="T5" s="7"/>
      <c r="U5" s="38"/>
      <c r="W5" s="38" t="s">
        <v>67</v>
      </c>
      <c r="X5" s="38"/>
      <c r="Y5" s="38"/>
      <c r="Z5" s="38"/>
      <c r="AA5" s="38"/>
    </row>
    <row r="6" spans="1:27" ht="15.75" thickBot="1" x14ac:dyDescent="0.3">
      <c r="A6" s="100"/>
      <c r="E6" s="3" t="s">
        <v>10</v>
      </c>
      <c r="F6" s="4" t="s">
        <v>95</v>
      </c>
      <c r="G6" s="5" t="s">
        <v>94</v>
      </c>
      <c r="H6" s="3" t="s">
        <v>10</v>
      </c>
      <c r="I6" s="77" t="s">
        <v>95</v>
      </c>
      <c r="J6" s="5" t="s">
        <v>94</v>
      </c>
      <c r="K6" s="3" t="s">
        <v>10</v>
      </c>
      <c r="L6" s="4" t="s">
        <v>95</v>
      </c>
      <c r="M6" s="5" t="s">
        <v>94</v>
      </c>
      <c r="N6" s="3" t="s">
        <v>10</v>
      </c>
      <c r="O6" s="4" t="s">
        <v>95</v>
      </c>
      <c r="P6" s="5" t="s">
        <v>94</v>
      </c>
      <c r="R6" s="76" t="str">
        <f>I5</f>
        <v>Aine ja tarvikevarasto 1</v>
      </c>
      <c r="S6" s="42">
        <f>IF(J18&gt;0,J18,IF(I18&gt;0,I18*-1,0))</f>
        <v>0</v>
      </c>
      <c r="T6" s="7"/>
      <c r="W6" s="38" t="s">
        <v>69</v>
      </c>
      <c r="X6" s="38"/>
      <c r="Y6" s="38"/>
      <c r="Z6" s="38"/>
      <c r="AA6" s="38"/>
    </row>
    <row r="7" spans="1:27" x14ac:dyDescent="0.25">
      <c r="A7" s="100"/>
      <c r="E7" s="114"/>
      <c r="F7" s="115"/>
      <c r="G7" s="116"/>
      <c r="H7" s="114"/>
      <c r="I7" s="115"/>
      <c r="J7" s="116"/>
      <c r="K7" s="114"/>
      <c r="L7" s="115"/>
      <c r="M7" s="116"/>
      <c r="N7" s="114"/>
      <c r="O7" s="115"/>
      <c r="P7" s="117"/>
      <c r="R7" s="76" t="str">
        <f>L5</f>
        <v>Myyntisaamiset</v>
      </c>
      <c r="S7" s="42">
        <f>IF(M18&gt;0,M18,IF(L18&gt;0,L18*-1,0))</f>
        <v>0</v>
      </c>
      <c r="T7" s="7"/>
      <c r="W7" s="38" t="s">
        <v>75</v>
      </c>
      <c r="X7" s="38"/>
      <c r="Y7" s="38"/>
      <c r="Z7" s="38"/>
      <c r="AA7" s="38"/>
    </row>
    <row r="8" spans="1:27" x14ac:dyDescent="0.25">
      <c r="A8" s="138" t="s">
        <v>688</v>
      </c>
      <c r="E8" s="114"/>
      <c r="F8" s="118"/>
      <c r="G8" s="116"/>
      <c r="H8" s="114"/>
      <c r="I8" s="118"/>
      <c r="J8" s="116"/>
      <c r="K8" s="114"/>
      <c r="L8" s="118"/>
      <c r="M8" s="116"/>
      <c r="N8" s="114"/>
      <c r="O8" s="118"/>
      <c r="P8" s="117"/>
      <c r="R8" s="76" t="str">
        <f>O5</f>
        <v>Pankkitili</v>
      </c>
      <c r="S8" s="42">
        <f>IF(P18&gt;0,P18,IF(O18&gt;0,O18*-1,0))</f>
        <v>0</v>
      </c>
      <c r="T8" s="7"/>
      <c r="W8" s="38"/>
      <c r="X8" s="38" t="s">
        <v>70</v>
      </c>
      <c r="Y8" s="38"/>
      <c r="Z8" s="38"/>
      <c r="AA8" s="49">
        <f>S5</f>
        <v>0</v>
      </c>
    </row>
    <row r="9" spans="1:27" x14ac:dyDescent="0.25">
      <c r="A9" s="100"/>
      <c r="E9" s="114"/>
      <c r="F9" s="118"/>
      <c r="G9" s="116"/>
      <c r="H9" s="114"/>
      <c r="I9" s="118"/>
      <c r="J9" s="116"/>
      <c r="K9" s="114"/>
      <c r="L9" s="118"/>
      <c r="M9" s="116"/>
      <c r="N9" s="114"/>
      <c r="O9" s="118"/>
      <c r="P9" s="117"/>
      <c r="S9" s="42"/>
      <c r="T9" s="7"/>
      <c r="W9" s="38"/>
      <c r="X9" s="38"/>
      <c r="Y9" s="38"/>
      <c r="Z9" s="38"/>
      <c r="AA9" s="38"/>
    </row>
    <row r="10" spans="1:27" x14ac:dyDescent="0.25">
      <c r="A10" s="100"/>
      <c r="E10" s="114"/>
      <c r="F10" s="118"/>
      <c r="G10" s="116"/>
      <c r="H10" s="114"/>
      <c r="I10" s="118"/>
      <c r="J10" s="116"/>
      <c r="K10" s="114"/>
      <c r="L10" s="118"/>
      <c r="M10" s="116"/>
      <c r="N10" s="114"/>
      <c r="O10" s="118"/>
      <c r="P10" s="117"/>
      <c r="S10" s="42"/>
      <c r="W10" s="38" t="s">
        <v>73</v>
      </c>
      <c r="Y10" s="38"/>
      <c r="Z10" s="38"/>
      <c r="AA10" s="38"/>
    </row>
    <row r="11" spans="1:27" x14ac:dyDescent="0.25">
      <c r="A11" s="100"/>
      <c r="E11" s="114"/>
      <c r="F11" s="118"/>
      <c r="G11" s="116"/>
      <c r="H11" s="114"/>
      <c r="I11" s="118"/>
      <c r="J11" s="116"/>
      <c r="K11" s="114"/>
      <c r="L11" s="118"/>
      <c r="M11" s="116"/>
      <c r="N11" s="114"/>
      <c r="O11" s="118"/>
      <c r="P11" s="117"/>
      <c r="S11" s="42"/>
      <c r="T11" s="7">
        <f>IF(F33&gt;0,F33,IF(G33&gt;0,G33*-1,0))</f>
        <v>0</v>
      </c>
      <c r="U11" t="str">
        <f>F23</f>
        <v>Oma pääoma</v>
      </c>
      <c r="W11" s="38"/>
      <c r="X11" s="38" t="s">
        <v>5</v>
      </c>
      <c r="Y11" s="38"/>
      <c r="Z11" s="38"/>
      <c r="AA11" s="49">
        <f>S6</f>
        <v>0</v>
      </c>
    </row>
    <row r="12" spans="1:27" x14ac:dyDescent="0.25">
      <c r="A12" s="100"/>
      <c r="E12" s="114"/>
      <c r="F12" s="118"/>
      <c r="G12" s="116"/>
      <c r="H12" s="119"/>
      <c r="I12" s="118"/>
      <c r="J12" s="116"/>
      <c r="K12" s="114"/>
      <c r="L12" s="118"/>
      <c r="M12" s="116"/>
      <c r="N12" s="114"/>
      <c r="O12" s="118"/>
      <c r="P12" s="117"/>
      <c r="S12" s="42"/>
      <c r="T12" s="7">
        <f>IF(I33&gt;0,I33,IF(J33&gt;0,J33*-1,0))</f>
        <v>0</v>
      </c>
      <c r="U12" t="str">
        <f>I23</f>
        <v>Ostovelat</v>
      </c>
      <c r="W12" s="38"/>
      <c r="X12" s="38" t="s">
        <v>7</v>
      </c>
      <c r="Y12" s="38"/>
      <c r="Z12" s="38"/>
      <c r="AA12" s="49">
        <f>S7</f>
        <v>0</v>
      </c>
    </row>
    <row r="13" spans="1:27" x14ac:dyDescent="0.25">
      <c r="A13" s="100"/>
      <c r="E13" s="114"/>
      <c r="F13" s="118"/>
      <c r="G13" s="116"/>
      <c r="H13" s="114"/>
      <c r="I13" s="118"/>
      <c r="J13" s="116"/>
      <c r="K13" s="114"/>
      <c r="L13" s="118"/>
      <c r="M13" s="116"/>
      <c r="N13" s="114"/>
      <c r="O13" s="118"/>
      <c r="P13" s="117"/>
      <c r="S13" s="42"/>
      <c r="T13" s="7">
        <f>IF(L33&gt;0,L33,IF(M33&gt;0,M33*-1,0))</f>
        <v>0</v>
      </c>
      <c r="U13" t="str">
        <f>L23</f>
        <v>Arvonlisäverot</v>
      </c>
      <c r="W13" s="38"/>
      <c r="X13" s="38" t="s">
        <v>77</v>
      </c>
      <c r="Y13" s="38"/>
      <c r="Z13" s="38"/>
      <c r="AA13" s="49">
        <f>S8</f>
        <v>0</v>
      </c>
    </row>
    <row r="14" spans="1:27" x14ac:dyDescent="0.25">
      <c r="A14" s="100"/>
      <c r="E14" s="114"/>
      <c r="F14" s="118"/>
      <c r="G14" s="116"/>
      <c r="H14" s="114"/>
      <c r="I14" s="118"/>
      <c r="J14" s="116"/>
      <c r="K14" s="114"/>
      <c r="L14" s="118"/>
      <c r="M14" s="116"/>
      <c r="N14" s="114"/>
      <c r="O14" s="118"/>
      <c r="P14" s="117"/>
      <c r="S14" s="42"/>
      <c r="T14" s="7">
        <f>IF(O33&gt;0,O33,IF(P33&gt;0,P33*-1,0))</f>
        <v>0</v>
      </c>
      <c r="U14" t="str">
        <f>O23</f>
        <v>Tilikauden voitto/tappio</v>
      </c>
      <c r="W14" s="28" t="s">
        <v>83</v>
      </c>
      <c r="X14" s="38"/>
      <c r="Y14" s="38"/>
      <c r="Z14" s="38"/>
      <c r="AA14" s="126">
        <f>SUM(AA6:AA13)</f>
        <v>0</v>
      </c>
    </row>
    <row r="15" spans="1:27" ht="15" hidden="1" customHeight="1" x14ac:dyDescent="0.25">
      <c r="A15" s="100"/>
      <c r="F15" s="8"/>
      <c r="G15" s="11"/>
      <c r="I15" s="8"/>
      <c r="J15" s="11"/>
      <c r="L15" s="8"/>
      <c r="M15" s="11"/>
      <c r="O15" s="8"/>
      <c r="P15" s="101"/>
      <c r="S15" s="42"/>
      <c r="T15" s="7"/>
      <c r="W15" s="1" t="s">
        <v>13</v>
      </c>
      <c r="X15" s="38"/>
      <c r="Y15" s="38"/>
      <c r="Z15" s="38"/>
      <c r="AA15" s="38"/>
    </row>
    <row r="16" spans="1:27" ht="15" hidden="1" customHeight="1" x14ac:dyDescent="0.25">
      <c r="A16" s="100"/>
      <c r="F16" s="8"/>
      <c r="G16" s="11"/>
      <c r="I16" s="8"/>
      <c r="J16" s="11"/>
      <c r="L16" s="8"/>
      <c r="M16" s="11"/>
      <c r="O16" s="8"/>
      <c r="P16" s="101"/>
      <c r="S16" s="67">
        <f>SUM(S5:S15)</f>
        <v>0</v>
      </c>
      <c r="T16" s="68">
        <f>SUM(T5:T15)</f>
        <v>0</v>
      </c>
    </row>
    <row r="17" spans="1:27" ht="15.75" thickBot="1" x14ac:dyDescent="0.3">
      <c r="A17" s="100"/>
      <c r="F17" s="16">
        <f>IF($D$67&lt;&gt;"k",0,SUM(F7:F16))</f>
        <v>0</v>
      </c>
      <c r="G17" s="16">
        <f>IF($D$67&lt;&gt;"K",0,SUM(G7:G16))</f>
        <v>0</v>
      </c>
      <c r="I17" s="16">
        <f>IF($D$67&lt;&gt;"k",0,SUM(I7:I16))</f>
        <v>0</v>
      </c>
      <c r="J17" s="16">
        <f>IF($D$67&lt;&gt;"K",0,SUM(J7:J16))</f>
        <v>0</v>
      </c>
      <c r="L17" s="16">
        <f>IF($D$67&lt;&gt;"k",0,SUM(L7:L16))</f>
        <v>0</v>
      </c>
      <c r="M17" s="16">
        <f>IF($D$67&lt;&gt;"K",0,SUM(M7:M16))</f>
        <v>0</v>
      </c>
      <c r="O17" s="16">
        <f>IF($D$67&lt;&gt;"k",0,SUM(O7:O16))</f>
        <v>0</v>
      </c>
      <c r="P17" s="16">
        <f>IF($D$67&lt;&gt;"K",0,SUM(P7:P16))</f>
        <v>0</v>
      </c>
      <c r="Q17" s="112" t="str">
        <f>IF(D69&lt;&gt;"K","",Tilikartta!A124)</f>
        <v/>
      </c>
      <c r="S17" s="65">
        <f>SUM(S5:S14)</f>
        <v>0</v>
      </c>
      <c r="T17" s="65">
        <f>SUM(T5:T14)</f>
        <v>0</v>
      </c>
      <c r="W17" s="38" t="s">
        <v>78</v>
      </c>
      <c r="X17" s="38"/>
      <c r="Y17" s="38"/>
      <c r="Z17" s="38"/>
      <c r="AA17" s="38"/>
    </row>
    <row r="18" spans="1:27" ht="16.5" thickTop="1" thickBot="1" x14ac:dyDescent="0.3">
      <c r="A18" s="100"/>
      <c r="F18" s="10">
        <f>IF($D$68&lt;&gt;"K",0,IF(F17&lt;G17,G17-F17,0))</f>
        <v>0</v>
      </c>
      <c r="G18" s="10">
        <f>IF($D$68&lt;&gt;"K",0,IF(G17&lt;F17,F17-G17,0))</f>
        <v>0</v>
      </c>
      <c r="I18" s="10">
        <f>IF($D$68&lt;&gt;"K",0,IF(I17&lt;J17,J17-I17,0))</f>
        <v>0</v>
      </c>
      <c r="J18" s="10">
        <f>IF($D$68&lt;&gt;"K",0,IF(J17&lt;I17,I17-J17,0))</f>
        <v>0</v>
      </c>
      <c r="L18" s="10">
        <f>IF($D$68&lt;&gt;"K",0,IF(L17&lt;M17,M17-L17,0))</f>
        <v>0</v>
      </c>
      <c r="M18" s="10">
        <f>IF($D$68&lt;&gt;"K",0,IF(M17&lt;L17,L17-M17,0))</f>
        <v>0</v>
      </c>
      <c r="O18" s="10">
        <f>IF($D$68&lt;&gt;"K",0,IF(O17&lt;P17,P17-O17,0))</f>
        <v>0</v>
      </c>
      <c r="P18" s="10">
        <f>IF($D$68&lt;&gt;"K",0,IF(P17&lt;O17,O17-P17,0))</f>
        <v>0</v>
      </c>
      <c r="S18" s="65">
        <f>IF(S17&lt;T17,T17-S17,0)</f>
        <v>0</v>
      </c>
      <c r="T18" s="66">
        <f>IF(T17&lt;S17,S17-T17,0)</f>
        <v>0</v>
      </c>
      <c r="W18" s="38"/>
      <c r="X18" t="s">
        <v>98</v>
      </c>
      <c r="Y18" s="38"/>
      <c r="Z18" s="38"/>
      <c r="AA18" s="49">
        <f>T11</f>
        <v>0</v>
      </c>
    </row>
    <row r="19" spans="1:27" ht="15.75" thickBot="1" x14ac:dyDescent="0.3">
      <c r="A19" s="102"/>
      <c r="B19" s="103"/>
      <c r="C19" s="103"/>
      <c r="D19" s="103"/>
      <c r="E19" s="103"/>
      <c r="F19" s="103"/>
      <c r="G19" s="103"/>
      <c r="H19" s="103"/>
      <c r="I19" s="103"/>
      <c r="J19" s="103"/>
      <c r="K19" s="103"/>
      <c r="L19" s="103"/>
      <c r="M19" s="103"/>
      <c r="N19" s="103"/>
      <c r="O19" s="103"/>
      <c r="P19" s="104"/>
      <c r="S19" s="25" t="str">
        <f>IF(S18&lt;&gt;T18,"Tase ei täsmää, tarkista kirjaukset!","Ok")</f>
        <v>Ok</v>
      </c>
      <c r="W19" s="38"/>
      <c r="X19" s="38" t="s">
        <v>79</v>
      </c>
      <c r="Y19" s="38"/>
      <c r="Z19" s="38"/>
      <c r="AA19" s="49"/>
    </row>
    <row r="20" spans="1:27" ht="6.75" customHeight="1" thickBot="1" x14ac:dyDescent="0.3">
      <c r="W20" s="38"/>
      <c r="X20" s="38" t="s">
        <v>16</v>
      </c>
      <c r="Y20" s="38"/>
      <c r="Z20" s="38"/>
      <c r="AA20" s="49">
        <f>T14</f>
        <v>0</v>
      </c>
    </row>
    <row r="21" spans="1:27" ht="15.75" thickBot="1" x14ac:dyDescent="0.3">
      <c r="A21" s="95" t="s">
        <v>13</v>
      </c>
      <c r="B21" s="96"/>
      <c r="C21" s="96"/>
      <c r="D21" s="96"/>
      <c r="E21" s="96"/>
      <c r="F21" s="96"/>
      <c r="G21" s="96"/>
      <c r="H21" s="96"/>
      <c r="I21" s="96"/>
      <c r="J21" s="96"/>
      <c r="K21" s="96"/>
      <c r="L21" s="96"/>
      <c r="M21" s="96"/>
      <c r="N21" s="96"/>
      <c r="O21" s="96"/>
      <c r="P21" s="97"/>
      <c r="R21" s="163" t="s">
        <v>28</v>
      </c>
      <c r="S21" s="164"/>
      <c r="T21" s="164"/>
      <c r="U21" s="165"/>
      <c r="W21" s="38" t="s">
        <v>81</v>
      </c>
      <c r="X21" s="38"/>
      <c r="Y21" s="38"/>
      <c r="Z21" s="38"/>
      <c r="AA21" s="38"/>
    </row>
    <row r="22" spans="1:27" ht="15.75" thickBot="1" x14ac:dyDescent="0.3">
      <c r="A22" s="99" t="s">
        <v>14</v>
      </c>
      <c r="F22" s="155" t="str">
        <f>IF(D69&lt;&gt;"K","",Tilikartta!A140)</f>
        <v/>
      </c>
      <c r="G22" s="156"/>
      <c r="H22" s="114"/>
      <c r="I22" s="155" t="str">
        <f>IF(D69&lt;&gt;"K","",Tilikartta!A217)</f>
        <v/>
      </c>
      <c r="J22" s="156"/>
      <c r="K22" s="114"/>
      <c r="L22" s="155" t="str">
        <f>IF(D69&lt;&gt;"K","",Tilikartta!A265)</f>
        <v/>
      </c>
      <c r="M22" s="156"/>
      <c r="N22" s="114"/>
      <c r="O22" s="155" t="str">
        <f>IF(D69&lt;&gt;"K","",Tilikartta!A183)</f>
        <v/>
      </c>
      <c r="P22" s="156"/>
      <c r="R22" s="166" t="s">
        <v>30</v>
      </c>
      <c r="S22" s="167"/>
      <c r="T22" s="168" t="s">
        <v>31</v>
      </c>
      <c r="U22" s="169"/>
      <c r="W22" s="38"/>
      <c r="X22" s="38" t="s">
        <v>82</v>
      </c>
      <c r="Y22" s="38"/>
      <c r="Z22" s="38"/>
      <c r="AA22" s="49">
        <f>L70+L71</f>
        <v>0</v>
      </c>
    </row>
    <row r="23" spans="1:27" ht="15.75" thickBot="1" x14ac:dyDescent="0.3">
      <c r="A23" s="100"/>
      <c r="F23" s="158" t="s">
        <v>98</v>
      </c>
      <c r="G23" s="159"/>
      <c r="H23" s="114"/>
      <c r="I23" s="158" t="s">
        <v>20</v>
      </c>
      <c r="J23" s="159"/>
      <c r="K23" s="114"/>
      <c r="L23" s="158" t="s">
        <v>181</v>
      </c>
      <c r="M23" s="159"/>
      <c r="N23" s="114"/>
      <c r="O23" s="158" t="s">
        <v>182</v>
      </c>
      <c r="P23" s="159"/>
      <c r="S23" s="8"/>
      <c r="T23" s="7"/>
      <c r="W23" s="38"/>
      <c r="X23" s="38" t="s">
        <v>20</v>
      </c>
      <c r="Y23" s="38"/>
      <c r="Z23" s="38"/>
      <c r="AA23" s="49">
        <f>T12</f>
        <v>0</v>
      </c>
    </row>
    <row r="24" spans="1:27" ht="15.75" thickBot="1" x14ac:dyDescent="0.3">
      <c r="A24" s="100"/>
      <c r="E24" s="3" t="s">
        <v>10</v>
      </c>
      <c r="F24" s="4" t="s">
        <v>95</v>
      </c>
      <c r="G24" s="5" t="s">
        <v>94</v>
      </c>
      <c r="H24" s="3" t="s">
        <v>10</v>
      </c>
      <c r="I24" s="4" t="s">
        <v>95</v>
      </c>
      <c r="J24" s="5" t="s">
        <v>94</v>
      </c>
      <c r="K24" s="3" t="s">
        <v>10</v>
      </c>
      <c r="L24" s="4" t="s">
        <v>95</v>
      </c>
      <c r="M24" s="5" t="s">
        <v>94</v>
      </c>
      <c r="N24" s="3" t="s">
        <v>10</v>
      </c>
      <c r="O24" s="4" t="s">
        <v>95</v>
      </c>
      <c r="P24" s="5" t="s">
        <v>94</v>
      </c>
      <c r="S24" s="8"/>
      <c r="T24" s="7">
        <f>IF(F48&gt;0,F48,IF(G48&gt;0,G48*-1,0))</f>
        <v>0</v>
      </c>
      <c r="U24" t="str">
        <f>F37</f>
        <v xml:space="preserve">Myynnit </v>
      </c>
      <c r="X24" t="s">
        <v>682</v>
      </c>
      <c r="Y24" s="38"/>
      <c r="Z24" s="38"/>
      <c r="AA24" s="60">
        <f>T13</f>
        <v>0</v>
      </c>
    </row>
    <row r="25" spans="1:27" ht="15.75" customHeight="1" x14ac:dyDescent="0.25">
      <c r="A25" s="100"/>
      <c r="E25" s="114"/>
      <c r="F25" s="118"/>
      <c r="G25" s="116"/>
      <c r="H25" s="120"/>
      <c r="I25" s="115"/>
      <c r="J25" s="116"/>
      <c r="K25" s="120"/>
      <c r="L25" s="115"/>
      <c r="M25" s="116"/>
      <c r="N25" s="120"/>
      <c r="O25" s="115"/>
      <c r="P25" s="116"/>
      <c r="S25" s="8"/>
      <c r="T25" s="7"/>
      <c r="W25" s="28" t="s">
        <v>84</v>
      </c>
      <c r="AA25" s="126">
        <f>SUM(AA17:AA24)</f>
        <v>0</v>
      </c>
    </row>
    <row r="26" spans="1:27" x14ac:dyDescent="0.25">
      <c r="A26" s="100"/>
      <c r="E26" s="114"/>
      <c r="F26" s="118"/>
      <c r="G26" s="121"/>
      <c r="H26" s="120"/>
      <c r="I26" s="116"/>
      <c r="J26" s="121"/>
      <c r="K26" s="120"/>
      <c r="L26" s="116"/>
      <c r="M26" s="121"/>
      <c r="N26" s="120"/>
      <c r="O26" s="116"/>
      <c r="P26" s="121"/>
      <c r="S26" s="8"/>
      <c r="T26" s="7"/>
      <c r="W26" s="38"/>
      <c r="X26" s="38"/>
      <c r="Y26" s="38"/>
      <c r="Z26" s="38"/>
      <c r="AA26" s="49"/>
    </row>
    <row r="27" spans="1:27" x14ac:dyDescent="0.25">
      <c r="A27" s="100"/>
      <c r="E27" s="114"/>
      <c r="F27" s="118"/>
      <c r="G27" s="116"/>
      <c r="H27" s="120"/>
      <c r="I27" s="118"/>
      <c r="J27" s="116"/>
      <c r="K27" s="120"/>
      <c r="L27" s="118"/>
      <c r="M27" s="116"/>
      <c r="N27" s="120"/>
      <c r="O27" s="118"/>
      <c r="P27" s="116"/>
      <c r="R27" t="str">
        <f>I37</f>
        <v>Ostot, kulut</v>
      </c>
      <c r="S27" s="8">
        <f>IF(J48&gt;0,J48,IF(I48&gt;0,I48*-1,0))</f>
        <v>0</v>
      </c>
      <c r="T27" s="7"/>
    </row>
    <row r="28" spans="1:27" x14ac:dyDescent="0.25">
      <c r="A28" s="100"/>
      <c r="E28" s="114"/>
      <c r="F28" s="118"/>
      <c r="G28" s="116"/>
      <c r="H28" s="120"/>
      <c r="I28" s="118"/>
      <c r="J28" s="116"/>
      <c r="K28" s="120"/>
      <c r="L28" s="118"/>
      <c r="M28" s="116"/>
      <c r="N28" s="120"/>
      <c r="O28" s="118"/>
      <c r="P28" s="116"/>
      <c r="R28" t="str">
        <f>L37</f>
        <v>Poistot</v>
      </c>
      <c r="S28" s="8">
        <f>IF(M48&gt;0,M48,IF(L48&gt;0,L48*-1,0))</f>
        <v>0</v>
      </c>
      <c r="T28" s="7"/>
    </row>
    <row r="29" spans="1:27" ht="18.75" x14ac:dyDescent="0.3">
      <c r="A29" s="100"/>
      <c r="E29" s="114"/>
      <c r="F29" s="118"/>
      <c r="G29" s="116"/>
      <c r="H29" s="120"/>
      <c r="I29" s="118"/>
      <c r="J29" s="116"/>
      <c r="K29" s="120"/>
      <c r="L29" s="118"/>
      <c r="M29" s="116"/>
      <c r="N29" s="120"/>
      <c r="O29" s="118"/>
      <c r="P29" s="116"/>
      <c r="R29" t="str">
        <f>O37</f>
        <v>Varaston muutos</v>
      </c>
      <c r="S29" s="8">
        <f>IF(P48&gt;0,P48,IF(O48&gt;0,O48*-1,0))</f>
        <v>0</v>
      </c>
      <c r="T29" s="7"/>
      <c r="W29" s="128" t="s">
        <v>28</v>
      </c>
      <c r="Y29" s="38"/>
      <c r="Z29" s="38"/>
      <c r="AA29" s="38"/>
    </row>
    <row r="30" spans="1:27" ht="15.75" thickBot="1" x14ac:dyDescent="0.3">
      <c r="A30" s="100"/>
      <c r="E30" s="114"/>
      <c r="F30" s="118"/>
      <c r="G30" s="116"/>
      <c r="H30" s="120"/>
      <c r="I30" s="118"/>
      <c r="J30" s="116"/>
      <c r="K30" s="120"/>
      <c r="L30" s="118"/>
      <c r="M30" s="116"/>
      <c r="N30" s="120"/>
      <c r="O30" s="118"/>
      <c r="S30" s="45">
        <f>SUM(S23:S29)</f>
        <v>0</v>
      </c>
      <c r="T30" s="16">
        <f>SUM(T23:T29)</f>
        <v>0</v>
      </c>
      <c r="W30" s="38" t="s">
        <v>53</v>
      </c>
      <c r="X30" s="38"/>
      <c r="Y30" s="38"/>
      <c r="Z30" s="38"/>
      <c r="AA30" s="60">
        <f>T24</f>
        <v>0</v>
      </c>
    </row>
    <row r="31" spans="1:27" ht="15.75" thickTop="1" x14ac:dyDescent="0.25">
      <c r="A31" s="100"/>
      <c r="E31" s="114"/>
      <c r="F31" s="118"/>
      <c r="G31" s="116"/>
      <c r="H31" s="120"/>
      <c r="I31" s="118"/>
      <c r="J31" s="116"/>
      <c r="K31" s="120"/>
      <c r="L31" s="118"/>
      <c r="M31" s="116"/>
      <c r="N31" s="120"/>
      <c r="O31" s="129">
        <f>IF(T31&gt;0,T31,0)</f>
        <v>0</v>
      </c>
      <c r="P31" s="130">
        <f>IF(S31&gt;0,S31,0)</f>
        <v>0</v>
      </c>
      <c r="R31" s="113">
        <f>D64</f>
        <v>10</v>
      </c>
      <c r="S31" s="72">
        <f>IF(S30&lt;T30,T30-S30,0)</f>
        <v>0</v>
      </c>
      <c r="T31" s="10">
        <f>IF(T30&lt;S30,S30-T30,0)</f>
        <v>0</v>
      </c>
      <c r="W31" s="38" t="s">
        <v>51</v>
      </c>
      <c r="X31" s="38"/>
      <c r="Y31" s="38"/>
      <c r="Z31" s="38"/>
      <c r="AA31" s="38"/>
    </row>
    <row r="32" spans="1:27" ht="23.25" customHeight="1" thickBot="1" x14ac:dyDescent="0.35">
      <c r="A32" s="100"/>
      <c r="F32" s="16">
        <f>IF($D$67&lt;&gt;"k",0,SUM(F25:F31))</f>
        <v>0</v>
      </c>
      <c r="G32" s="16">
        <f>IF($D$67&lt;&gt;"K",0,SUM(G25:G31))</f>
        <v>0</v>
      </c>
      <c r="I32" s="16">
        <f>IF($D$67&lt;&gt;"k",0,SUM(I25:I31))</f>
        <v>0</v>
      </c>
      <c r="J32" s="16">
        <f>IF($D$67&lt;&gt;"K",0,SUM(J25:J31))</f>
        <v>0</v>
      </c>
      <c r="L32" s="16">
        <f>IF($D$67&lt;&gt;"k",0,SUM(L25:L31))</f>
        <v>0</v>
      </c>
      <c r="M32" s="16">
        <f>IF($D$67&lt;&gt;"K",0,SUM(M25:M31))</f>
        <v>0</v>
      </c>
      <c r="O32" s="16">
        <f>IF($D$67&lt;&gt;"k",0,SUM(O25:O31))</f>
        <v>0</v>
      </c>
      <c r="P32" s="16">
        <f>IF($D$67&lt;&gt;"K",0,SUM(P25:P31))</f>
        <v>0</v>
      </c>
      <c r="R32" s="127" t="str">
        <f>"Tosite nro: ("&amp;R31&amp;")"</f>
        <v>Tosite nro: (10)</v>
      </c>
      <c r="S32" s="160" t="str">
        <f>IF(S31&gt;0,"Tulos voitollinen",IF(T31&gt;0,"Tulos tappiollinen",""))</f>
        <v/>
      </c>
      <c r="T32" s="160"/>
      <c r="W32" s="38" t="s">
        <v>54</v>
      </c>
      <c r="X32" t="s">
        <v>681</v>
      </c>
      <c r="Y32" s="38"/>
      <c r="Z32" s="38"/>
      <c r="AA32" s="38"/>
    </row>
    <row r="33" spans="1:27" ht="15.75" thickTop="1" x14ac:dyDescent="0.25">
      <c r="A33" s="100"/>
      <c r="F33" s="10">
        <f>IF($D$68&lt;&gt;"K",0,IF(F32&lt;G32,G32-F32,0))</f>
        <v>0</v>
      </c>
      <c r="G33" s="10">
        <f>IF($D$68&lt;&gt;"K",0,IF(G32&lt;F32,F32-G32,0))</f>
        <v>0</v>
      </c>
      <c r="I33" s="10">
        <f>IF($D$68&lt;&gt;"K",0,IF(I32&lt;J32,J32-I32,0))</f>
        <v>0</v>
      </c>
      <c r="J33" s="10">
        <f>IF($D$68&lt;&gt;"K",0,IF(J32&lt;I32,I32-J32,0))</f>
        <v>0</v>
      </c>
      <c r="L33" s="10">
        <f>IF($D$68&lt;&gt;"K",0,IF(L32&lt;M32,M32-L32,0))</f>
        <v>0</v>
      </c>
      <c r="M33" s="10">
        <f>IF($D$68&lt;&gt;"K",0,IF(M32&lt;L32,L32-M32,0))</f>
        <v>0</v>
      </c>
      <c r="O33" s="10">
        <f>IF($D$68&lt;&gt;"K",0,IF(O32&lt;P32,P32-O32,0))</f>
        <v>0</v>
      </c>
      <c r="P33" s="10">
        <f>IF($D$68&lt;&gt;"K",0,IF(P32&lt;O32,O32-P32,0))</f>
        <v>0</v>
      </c>
      <c r="W33" s="38"/>
      <c r="X33" s="38"/>
      <c r="Y33" s="38" t="s">
        <v>56</v>
      </c>
      <c r="Z33" s="38"/>
      <c r="AA33" s="49">
        <f>S27</f>
        <v>0</v>
      </c>
    </row>
    <row r="34" spans="1:27" ht="6" customHeight="1" thickBot="1" x14ac:dyDescent="0.3">
      <c r="A34" s="102"/>
      <c r="B34" s="103"/>
      <c r="C34" s="103"/>
      <c r="D34" s="103"/>
      <c r="E34" s="103"/>
      <c r="F34" s="103"/>
      <c r="G34" s="103"/>
      <c r="H34" s="103"/>
      <c r="I34" s="103"/>
      <c r="J34" s="103"/>
      <c r="K34" s="103"/>
      <c r="L34" s="103"/>
      <c r="M34" s="103"/>
      <c r="N34" s="103"/>
      <c r="O34" s="103"/>
      <c r="P34" s="104"/>
      <c r="W34" s="38"/>
      <c r="X34" s="38"/>
      <c r="Y34" t="s">
        <v>680</v>
      </c>
      <c r="AA34" s="49">
        <f>S29</f>
        <v>0</v>
      </c>
    </row>
    <row r="35" spans="1:27" x14ac:dyDescent="0.25">
      <c r="A35" s="95" t="s">
        <v>24</v>
      </c>
      <c r="B35" s="96"/>
      <c r="C35" s="96"/>
      <c r="D35" s="96"/>
      <c r="E35" s="96"/>
      <c r="F35" s="105" t="s">
        <v>176</v>
      </c>
      <c r="G35" s="96"/>
      <c r="H35" s="96"/>
      <c r="I35" s="154" t="s">
        <v>177</v>
      </c>
      <c r="J35" s="154"/>
      <c r="K35" s="154"/>
      <c r="L35" s="154"/>
      <c r="M35" s="154"/>
      <c r="N35" s="105"/>
      <c r="O35" s="105"/>
      <c r="P35" s="107"/>
      <c r="W35" s="38"/>
      <c r="X35" s="38" t="s">
        <v>58</v>
      </c>
      <c r="Y35" s="38"/>
      <c r="Z35" s="38"/>
      <c r="AA35" s="50"/>
    </row>
    <row r="36" spans="1:27" ht="15.75" thickBot="1" x14ac:dyDescent="0.3">
      <c r="A36" s="100"/>
      <c r="F36" s="155" t="str">
        <f>IF(D69&lt;&gt;"K","",Tilikartta!A283)</f>
        <v/>
      </c>
      <c r="G36" s="156"/>
      <c r="H36" s="114"/>
      <c r="I36" s="155" t="str">
        <f>IF(D69&lt;&gt;"K","",Tilikartta!A322)</f>
        <v/>
      </c>
      <c r="J36" s="156"/>
      <c r="K36" s="114"/>
      <c r="L36" s="155" t="str">
        <f>IF(D69&lt;&gt;"K","",Tilikartta!A386)</f>
        <v/>
      </c>
      <c r="M36" s="156"/>
      <c r="N36" s="114"/>
      <c r="O36" s="155" t="str">
        <f>IF(D69&lt;&gt;"K","",Tilikartta!A341)</f>
        <v/>
      </c>
      <c r="P36" s="156"/>
      <c r="W36" s="38" t="s">
        <v>59</v>
      </c>
      <c r="X36" s="38"/>
      <c r="Y36" s="38"/>
      <c r="Z36" s="38"/>
      <c r="AA36" s="38"/>
    </row>
    <row r="37" spans="1:27" ht="15.75" thickBot="1" x14ac:dyDescent="0.3">
      <c r="A37" s="100"/>
      <c r="F37" s="158" t="s">
        <v>92</v>
      </c>
      <c r="G37" s="159"/>
      <c r="H37" s="114"/>
      <c r="I37" s="158" t="s">
        <v>178</v>
      </c>
      <c r="J37" s="159"/>
      <c r="K37" s="114"/>
      <c r="L37" s="158" t="s">
        <v>36</v>
      </c>
      <c r="M37" s="159"/>
      <c r="N37" s="114"/>
      <c r="O37" s="158" t="s">
        <v>190</v>
      </c>
      <c r="P37" s="159"/>
      <c r="S37" s="38"/>
      <c r="T37" s="38"/>
      <c r="U37" s="38"/>
      <c r="V37" s="38"/>
      <c r="W37" s="38"/>
      <c r="X37" s="38" t="s">
        <v>60</v>
      </c>
      <c r="Y37" s="38"/>
      <c r="Z37" s="38"/>
      <c r="AA37" s="49">
        <f>S28</f>
        <v>0</v>
      </c>
    </row>
    <row r="38" spans="1:27" ht="15.75" thickBot="1" x14ac:dyDescent="0.3">
      <c r="A38" s="100"/>
      <c r="E38" s="3" t="s">
        <v>10</v>
      </c>
      <c r="F38" s="4" t="s">
        <v>95</v>
      </c>
      <c r="G38" s="5" t="s">
        <v>94</v>
      </c>
      <c r="H38" s="3" t="s">
        <v>10</v>
      </c>
      <c r="I38" s="4" t="s">
        <v>95</v>
      </c>
      <c r="J38" s="5" t="s">
        <v>94</v>
      </c>
      <c r="K38" s="3" t="s">
        <v>10</v>
      </c>
      <c r="L38" s="4" t="s">
        <v>95</v>
      </c>
      <c r="M38" s="5" t="s">
        <v>94</v>
      </c>
      <c r="N38" s="3" t="s">
        <v>10</v>
      </c>
      <c r="O38" s="4" t="s">
        <v>95</v>
      </c>
      <c r="P38" s="5" t="s">
        <v>94</v>
      </c>
      <c r="W38" s="38" t="s">
        <v>35</v>
      </c>
      <c r="X38" s="38"/>
      <c r="Y38" s="38"/>
      <c r="Z38" s="38"/>
      <c r="AA38" s="49"/>
    </row>
    <row r="39" spans="1:27" x14ac:dyDescent="0.25">
      <c r="A39" s="100"/>
      <c r="E39" s="114"/>
      <c r="F39" s="115"/>
      <c r="G39" s="116"/>
      <c r="H39" s="120"/>
      <c r="I39" s="115"/>
      <c r="J39" s="116"/>
      <c r="K39" s="120"/>
      <c r="L39" s="115"/>
      <c r="M39" s="116"/>
      <c r="N39" s="120"/>
      <c r="O39" s="115"/>
      <c r="P39" s="116"/>
      <c r="W39" s="38" t="s">
        <v>61</v>
      </c>
      <c r="X39" s="38"/>
      <c r="Y39" s="38"/>
      <c r="Z39" s="38"/>
      <c r="AA39" s="60">
        <f>AA30-AA33-AA34-AA35-AA37-AA38</f>
        <v>0</v>
      </c>
    </row>
    <row r="40" spans="1:27" x14ac:dyDescent="0.25">
      <c r="A40" s="100"/>
      <c r="E40" s="114"/>
      <c r="F40" s="118"/>
      <c r="G40" s="116"/>
      <c r="H40" s="120"/>
      <c r="I40" s="118">
        <v>0</v>
      </c>
      <c r="J40" s="116"/>
      <c r="K40" s="120"/>
      <c r="L40" s="118"/>
      <c r="M40" s="116"/>
      <c r="N40" s="120"/>
      <c r="O40" s="118"/>
      <c r="P40" s="116"/>
      <c r="W40" s="38" t="s">
        <v>62</v>
      </c>
      <c r="X40" s="38"/>
      <c r="Y40" s="38"/>
      <c r="Z40" s="38"/>
      <c r="AA40" s="38"/>
    </row>
    <row r="41" spans="1:27" x14ac:dyDescent="0.25">
      <c r="A41" s="100"/>
      <c r="E41" s="114"/>
      <c r="F41" s="118"/>
      <c r="G41" s="116"/>
      <c r="H41" s="120"/>
      <c r="I41" s="118"/>
      <c r="J41" s="116"/>
      <c r="K41" s="120"/>
      <c r="L41" s="118"/>
      <c r="M41" s="116"/>
      <c r="N41" s="120"/>
      <c r="O41" s="118"/>
      <c r="P41" s="116"/>
      <c r="W41" s="38"/>
      <c r="X41" s="38" t="s">
        <v>63</v>
      </c>
      <c r="Y41" s="38"/>
      <c r="Z41" s="38"/>
      <c r="AA41" s="49"/>
    </row>
    <row r="42" spans="1:27" x14ac:dyDescent="0.25">
      <c r="A42" s="100"/>
      <c r="E42" s="114"/>
      <c r="F42" s="118"/>
      <c r="G42" s="116"/>
      <c r="H42" s="120"/>
      <c r="I42" s="118"/>
      <c r="J42" s="116"/>
      <c r="K42" s="120"/>
      <c r="L42" s="118"/>
      <c r="M42" s="116"/>
      <c r="N42" s="120"/>
      <c r="O42" s="118"/>
      <c r="P42" s="116"/>
      <c r="W42" s="38" t="s">
        <v>64</v>
      </c>
      <c r="X42" s="38"/>
      <c r="Y42" s="38"/>
      <c r="Z42" s="38"/>
      <c r="AA42" s="60">
        <f>AA39-AA41</f>
        <v>0</v>
      </c>
    </row>
    <row r="43" spans="1:27" x14ac:dyDescent="0.25">
      <c r="A43" s="100"/>
      <c r="E43" s="114"/>
      <c r="F43" s="118"/>
      <c r="G43" s="116"/>
      <c r="H43" s="120"/>
      <c r="I43" s="118"/>
      <c r="J43" s="116"/>
      <c r="K43" s="120"/>
      <c r="L43" s="118"/>
      <c r="M43" s="116"/>
      <c r="N43" s="120"/>
      <c r="O43" s="118"/>
      <c r="P43" s="116"/>
      <c r="W43" s="38" t="s">
        <v>48</v>
      </c>
      <c r="X43" s="38"/>
      <c r="Y43" s="38"/>
      <c r="Z43" s="38"/>
      <c r="AA43" s="49"/>
    </row>
    <row r="44" spans="1:27" x14ac:dyDescent="0.25">
      <c r="A44" s="100"/>
      <c r="E44" s="114"/>
      <c r="F44" s="118"/>
      <c r="G44" s="116"/>
      <c r="H44" s="120"/>
      <c r="I44" s="118"/>
      <c r="J44" s="116"/>
      <c r="K44" s="120"/>
      <c r="L44" s="118"/>
      <c r="M44" s="116"/>
      <c r="N44" s="120"/>
      <c r="O44" s="118"/>
      <c r="P44" s="116"/>
      <c r="W44" s="38" t="s">
        <v>66</v>
      </c>
      <c r="X44" s="38"/>
      <c r="Y44" s="38"/>
      <c r="Z44" s="38"/>
      <c r="AA44" s="51">
        <f>AA42-AA43</f>
        <v>0</v>
      </c>
    </row>
    <row r="45" spans="1:27" x14ac:dyDescent="0.25">
      <c r="A45" s="100"/>
      <c r="E45" s="114"/>
      <c r="F45" s="118"/>
      <c r="G45" s="116"/>
      <c r="H45" s="120"/>
      <c r="I45" s="118"/>
      <c r="J45" s="116"/>
      <c r="K45" s="120"/>
      <c r="L45" s="118"/>
      <c r="M45" s="116"/>
      <c r="N45" s="120"/>
      <c r="O45" s="118"/>
      <c r="P45" s="116"/>
    </row>
    <row r="46" spans="1:27" x14ac:dyDescent="0.25">
      <c r="A46" s="100"/>
      <c r="E46" s="114"/>
      <c r="F46" s="118">
        <v>0</v>
      </c>
      <c r="G46" s="116"/>
      <c r="H46" s="120"/>
      <c r="I46" s="118"/>
      <c r="J46" s="116"/>
      <c r="K46" s="120"/>
      <c r="L46" s="118"/>
      <c r="M46" s="116"/>
      <c r="N46" s="120"/>
      <c r="O46" s="118"/>
      <c r="P46" s="116"/>
      <c r="W46" s="28" t="s">
        <v>85</v>
      </c>
      <c r="X46" s="38"/>
      <c r="Z46" s="38"/>
      <c r="AA46" s="53" t="e">
        <f>AA39/AA30</f>
        <v>#DIV/0!</v>
      </c>
    </row>
    <row r="47" spans="1:27" ht="15.75" thickBot="1" x14ac:dyDescent="0.3">
      <c r="A47" s="100"/>
      <c r="F47" s="16">
        <f>IF($D$67&lt;&gt;"k",0,SUM(F39:F46))</f>
        <v>0</v>
      </c>
      <c r="G47" s="16">
        <f>IF($D$67&lt;&gt;"K",0,SUM(G39:G46))</f>
        <v>0</v>
      </c>
      <c r="I47" s="16">
        <f>IF($D$67&lt;&gt;"k",0,SUM(I39:I46))</f>
        <v>0</v>
      </c>
      <c r="J47" s="16">
        <f>IF($D$67&lt;&gt;"K",0,SUM(J39:J46))</f>
        <v>0</v>
      </c>
      <c r="L47" s="16">
        <f>IF($D$67&lt;&gt;"k",0,SUM(L39:L46))</f>
        <v>0</v>
      </c>
      <c r="M47" s="16">
        <f>IF($D$67&lt;&gt;"K",0,SUM(M39:M46))</f>
        <v>0</v>
      </c>
      <c r="O47" s="16">
        <f>IF($D$67&lt;&gt;"k",0,SUM(O39:O46))</f>
        <v>0</v>
      </c>
      <c r="P47" s="16">
        <f>IF($D$67&lt;&gt;"K",0,SUM(P39:P46))</f>
        <v>0</v>
      </c>
    </row>
    <row r="48" spans="1:27" ht="15.75" thickTop="1" x14ac:dyDescent="0.25">
      <c r="A48" s="100"/>
      <c r="F48" s="10">
        <f>IF($D$68&lt;&gt;"K",0,IF(F47&lt;G47,G47-F47,0))</f>
        <v>0</v>
      </c>
      <c r="G48" s="10">
        <f>IF($D$68&lt;&gt;"K",0,IF(G47&lt;F47,F47-G47,0))</f>
        <v>0</v>
      </c>
      <c r="I48" s="10">
        <f>IF($D$68&lt;&gt;"K",0,IF(I47&lt;J47,J47-I47,0))</f>
        <v>0</v>
      </c>
      <c r="J48" s="10">
        <f>IF($D$68&lt;&gt;"K",0,IF(J47&lt;I47,I47-J47,0))</f>
        <v>0</v>
      </c>
      <c r="L48" s="10">
        <f>IF($D$68&lt;&gt;"K",0,IF(L47&lt;M47,M47-L47,0))</f>
        <v>0</v>
      </c>
      <c r="M48" s="10">
        <f>IF($D$68&lt;&gt;"K",0,IF(M47&lt;L47,L47-M47,0))</f>
        <v>0</v>
      </c>
      <c r="O48" s="10">
        <f>IF($D$68&lt;&gt;"K",0,IF(O47&lt;P47,P47-O47,0))</f>
        <v>0</v>
      </c>
      <c r="P48" s="10">
        <f>IF($D$68&lt;&gt;"K",0,IF(P47&lt;O47,O47-P47,0))</f>
        <v>0</v>
      </c>
      <c r="Q48" s="38"/>
      <c r="W48" s="60"/>
    </row>
    <row r="49" spans="1:16" ht="15.75" thickBot="1" x14ac:dyDescent="0.3">
      <c r="A49" s="102"/>
      <c r="B49" s="103"/>
      <c r="C49" s="103"/>
      <c r="D49" s="103"/>
      <c r="E49" s="103"/>
      <c r="F49" s="103"/>
      <c r="G49" s="103"/>
      <c r="H49" s="103"/>
      <c r="I49" s="103"/>
      <c r="J49" s="103"/>
      <c r="K49" s="103"/>
      <c r="L49" s="103"/>
      <c r="M49" s="103"/>
      <c r="N49" s="103"/>
      <c r="O49" s="103"/>
      <c r="P49" s="104"/>
    </row>
    <row r="51" spans="1:16" ht="54" x14ac:dyDescent="0.25">
      <c r="A51" s="157" t="s">
        <v>37</v>
      </c>
      <c r="B51" s="157"/>
      <c r="C51" s="157"/>
      <c r="D51" s="22" t="s">
        <v>38</v>
      </c>
      <c r="E51" s="23" t="s">
        <v>39</v>
      </c>
      <c r="F51" s="24" t="s">
        <v>40</v>
      </c>
      <c r="G51" s="25" t="s">
        <v>41</v>
      </c>
      <c r="I51" s="25" t="s">
        <v>42</v>
      </c>
      <c r="J51" s="22" t="s">
        <v>180</v>
      </c>
    </row>
    <row r="52" spans="1:16" x14ac:dyDescent="0.25">
      <c r="A52" s="21"/>
      <c r="D52" s="29"/>
      <c r="E52" s="23"/>
      <c r="F52" s="24"/>
      <c r="G52" s="29"/>
      <c r="I52" s="29"/>
      <c r="J52" s="29"/>
    </row>
    <row r="53" spans="1:16" ht="26.25" customHeight="1" x14ac:dyDescent="0.25">
      <c r="A53" s="145" t="s">
        <v>684</v>
      </c>
      <c r="B53" s="146"/>
      <c r="C53" s="147"/>
      <c r="D53" s="122">
        <v>1</v>
      </c>
      <c r="E53" s="125">
        <v>45658</v>
      </c>
      <c r="F53" s="123">
        <v>3000</v>
      </c>
      <c r="G53" s="124">
        <v>0</v>
      </c>
      <c r="I53" s="37">
        <f t="shared" ref="I53:I60" si="0">F53/(1+G53)</f>
        <v>3000</v>
      </c>
      <c r="J53" s="37">
        <f t="shared" ref="J53:J60" si="1">F53-I53</f>
        <v>0</v>
      </c>
    </row>
    <row r="54" spans="1:16" x14ac:dyDescent="0.25">
      <c r="A54" s="145" t="s">
        <v>183</v>
      </c>
      <c r="B54" s="146"/>
      <c r="C54" s="147"/>
      <c r="D54" s="122">
        <f>D53+1</f>
        <v>2</v>
      </c>
      <c r="E54" s="125">
        <v>45659</v>
      </c>
      <c r="F54" s="123">
        <v>2000</v>
      </c>
      <c r="G54" s="124">
        <v>0.255</v>
      </c>
      <c r="I54" s="37">
        <f t="shared" si="0"/>
        <v>1593.6254980079682</v>
      </c>
      <c r="J54" s="37">
        <f t="shared" si="1"/>
        <v>406.37450199203181</v>
      </c>
    </row>
    <row r="55" spans="1:16" x14ac:dyDescent="0.25">
      <c r="A55" s="145" t="s">
        <v>184</v>
      </c>
      <c r="B55" s="146"/>
      <c r="C55" s="147"/>
      <c r="D55" s="122">
        <f t="shared" ref="D55:D59" si="2">D54+1</f>
        <v>3</v>
      </c>
      <c r="E55" s="125">
        <v>45660</v>
      </c>
      <c r="F55" s="123">
        <v>1000</v>
      </c>
      <c r="G55" s="124">
        <f>G54</f>
        <v>0.255</v>
      </c>
      <c r="I55" s="37">
        <f t="shared" si="0"/>
        <v>796.81274900398409</v>
      </c>
      <c r="J55" s="37">
        <f t="shared" si="1"/>
        <v>203.18725099601591</v>
      </c>
    </row>
    <row r="56" spans="1:16" x14ac:dyDescent="0.25">
      <c r="A56" s="142" t="s">
        <v>685</v>
      </c>
      <c r="B56" s="143"/>
      <c r="C56" s="144"/>
      <c r="D56" s="122">
        <f t="shared" si="2"/>
        <v>4</v>
      </c>
      <c r="E56" s="125">
        <v>45661</v>
      </c>
      <c r="F56" s="123">
        <v>1500</v>
      </c>
      <c r="G56" s="124">
        <f t="shared" ref="G56:G64" si="3">G55</f>
        <v>0.255</v>
      </c>
      <c r="I56" s="37">
        <f t="shared" si="0"/>
        <v>1195.2191235059761</v>
      </c>
      <c r="J56" s="37">
        <f t="shared" si="1"/>
        <v>304.78087649402391</v>
      </c>
    </row>
    <row r="57" spans="1:16" x14ac:dyDescent="0.25">
      <c r="A57" s="142" t="s">
        <v>686</v>
      </c>
      <c r="B57" s="143"/>
      <c r="C57" s="144"/>
      <c r="D57" s="122">
        <f t="shared" si="2"/>
        <v>5</v>
      </c>
      <c r="E57" s="125">
        <v>45661</v>
      </c>
      <c r="F57" s="123">
        <v>1800</v>
      </c>
      <c r="G57" s="124">
        <f t="shared" si="3"/>
        <v>0.255</v>
      </c>
      <c r="I57" s="37">
        <f t="shared" si="0"/>
        <v>1434.2629482071713</v>
      </c>
      <c r="J57" s="37">
        <f t="shared" si="1"/>
        <v>365.73705179282865</v>
      </c>
    </row>
    <row r="58" spans="1:16" x14ac:dyDescent="0.25">
      <c r="A58" s="142" t="s">
        <v>185</v>
      </c>
      <c r="B58" s="143"/>
      <c r="C58" s="144"/>
      <c r="D58" s="122">
        <f t="shared" si="2"/>
        <v>6</v>
      </c>
      <c r="E58" s="125">
        <v>45662</v>
      </c>
      <c r="F58" s="123">
        <v>1800</v>
      </c>
      <c r="G58" s="124">
        <v>0</v>
      </c>
      <c r="I58" s="37">
        <f t="shared" si="0"/>
        <v>1800</v>
      </c>
      <c r="J58" s="37">
        <f t="shared" si="1"/>
        <v>0</v>
      </c>
    </row>
    <row r="59" spans="1:16" x14ac:dyDescent="0.25">
      <c r="A59" s="142" t="s">
        <v>186</v>
      </c>
      <c r="B59" s="143"/>
      <c r="C59" s="144"/>
      <c r="D59" s="122">
        <f t="shared" si="2"/>
        <v>7</v>
      </c>
      <c r="E59" s="125">
        <v>45662</v>
      </c>
      <c r="F59" s="123">
        <v>1000</v>
      </c>
      <c r="G59" s="124">
        <f t="shared" si="3"/>
        <v>0</v>
      </c>
      <c r="I59" s="37">
        <f t="shared" si="0"/>
        <v>1000</v>
      </c>
      <c r="J59" s="37">
        <f t="shared" si="1"/>
        <v>0</v>
      </c>
    </row>
    <row r="60" spans="1:16" x14ac:dyDescent="0.25">
      <c r="A60" s="145"/>
      <c r="B60" s="146"/>
      <c r="C60" s="147"/>
      <c r="D60" s="122"/>
      <c r="E60" s="125"/>
      <c r="F60" s="123"/>
      <c r="G60" s="124">
        <f t="shared" si="3"/>
        <v>0</v>
      </c>
      <c r="I60" s="37">
        <f t="shared" si="0"/>
        <v>0</v>
      </c>
      <c r="J60" s="37">
        <f t="shared" si="1"/>
        <v>0</v>
      </c>
    </row>
    <row r="61" spans="1:16" x14ac:dyDescent="0.25">
      <c r="A61" s="148" t="s">
        <v>45</v>
      </c>
      <c r="B61" s="149"/>
      <c r="C61" s="150"/>
      <c r="D61" s="122"/>
      <c r="E61" s="125"/>
      <c r="F61" s="123"/>
      <c r="G61" s="114"/>
    </row>
    <row r="62" spans="1:16" x14ac:dyDescent="0.25">
      <c r="A62" s="151" t="s">
        <v>187</v>
      </c>
      <c r="B62" s="152"/>
      <c r="C62" s="153"/>
      <c r="D62" s="122">
        <v>8</v>
      </c>
      <c r="E62" s="125">
        <v>46022</v>
      </c>
      <c r="F62" s="123">
        <f>25%*(SUM(F7:F14))</f>
        <v>0</v>
      </c>
      <c r="G62" s="124">
        <f t="shared" si="3"/>
        <v>0</v>
      </c>
    </row>
    <row r="63" spans="1:16" ht="34.5" customHeight="1" x14ac:dyDescent="0.25">
      <c r="A63" s="139" t="s">
        <v>189</v>
      </c>
      <c r="B63" s="140"/>
      <c r="C63" s="141"/>
      <c r="D63" s="122">
        <f>D62+1</f>
        <v>9</v>
      </c>
      <c r="E63" s="125">
        <v>46022</v>
      </c>
      <c r="F63" s="123">
        <v>200</v>
      </c>
      <c r="G63" s="124">
        <f t="shared" si="3"/>
        <v>0</v>
      </c>
    </row>
    <row r="64" spans="1:16" x14ac:dyDescent="0.25">
      <c r="A64" s="139" t="s">
        <v>188</v>
      </c>
      <c r="B64" s="140"/>
      <c r="C64" s="141"/>
      <c r="D64" s="122">
        <f>D63+1</f>
        <v>10</v>
      </c>
      <c r="E64" s="125"/>
      <c r="F64" s="123"/>
      <c r="G64" s="124">
        <f t="shared" si="3"/>
        <v>0</v>
      </c>
    </row>
    <row r="66" spans="1:22" x14ac:dyDescent="0.25">
      <c r="A66" s="1" t="s">
        <v>676</v>
      </c>
    </row>
    <row r="67" spans="1:22" x14ac:dyDescent="0.25">
      <c r="A67" t="s">
        <v>677</v>
      </c>
      <c r="D67" s="113" t="s">
        <v>679</v>
      </c>
    </row>
    <row r="68" spans="1:22" x14ac:dyDescent="0.25">
      <c r="A68" t="s">
        <v>678</v>
      </c>
      <c r="D68" s="113" t="s">
        <v>679</v>
      </c>
    </row>
    <row r="69" spans="1:22" x14ac:dyDescent="0.25">
      <c r="A69" t="s">
        <v>674</v>
      </c>
      <c r="D69" s="113" t="s">
        <v>683</v>
      </c>
    </row>
    <row r="79" spans="1:22" x14ac:dyDescent="0.25">
      <c r="R79" s="28"/>
      <c r="S79" s="38"/>
      <c r="T79" s="38"/>
      <c r="U79" s="38"/>
      <c r="V79" s="53"/>
    </row>
  </sheetData>
  <sheetProtection sheet="1" formatCells="0" formatColumns="0" formatRows="0"/>
  <mergeCells count="45">
    <mergeCell ref="R3:U3"/>
    <mergeCell ref="F4:G4"/>
    <mergeCell ref="I4:J4"/>
    <mergeCell ref="L4:M4"/>
    <mergeCell ref="O4:P4"/>
    <mergeCell ref="R4:S4"/>
    <mergeCell ref="T4:U4"/>
    <mergeCell ref="S32:T32"/>
    <mergeCell ref="F5:G5"/>
    <mergeCell ref="I5:J5"/>
    <mergeCell ref="L5:M5"/>
    <mergeCell ref="O5:P5"/>
    <mergeCell ref="R21:U21"/>
    <mergeCell ref="F22:G22"/>
    <mergeCell ref="I22:J22"/>
    <mergeCell ref="L22:M22"/>
    <mergeCell ref="O22:P22"/>
    <mergeCell ref="R22:S22"/>
    <mergeCell ref="T22:U22"/>
    <mergeCell ref="F23:G23"/>
    <mergeCell ref="I23:J23"/>
    <mergeCell ref="L23:M23"/>
    <mergeCell ref="O23:P23"/>
    <mergeCell ref="O36:P36"/>
    <mergeCell ref="F37:G37"/>
    <mergeCell ref="I37:J37"/>
    <mergeCell ref="L37:M37"/>
    <mergeCell ref="O37:P37"/>
    <mergeCell ref="A57:C57"/>
    <mergeCell ref="I35:M35"/>
    <mergeCell ref="F36:G36"/>
    <mergeCell ref="I36:J36"/>
    <mergeCell ref="L36:M36"/>
    <mergeCell ref="A51:C51"/>
    <mergeCell ref="A53:C53"/>
    <mergeCell ref="A54:C54"/>
    <mergeCell ref="A55:C55"/>
    <mergeCell ref="A56:C56"/>
    <mergeCell ref="A64:C64"/>
    <mergeCell ref="A58:C58"/>
    <mergeCell ref="A59:C59"/>
    <mergeCell ref="A60:C60"/>
    <mergeCell ref="A61:C61"/>
    <mergeCell ref="A62:C62"/>
    <mergeCell ref="A63:C63"/>
  </mergeCells>
  <conditionalFormatting sqref="S5:S6">
    <cfRule type="cellIs" dxfId="16" priority="2" operator="lessThan">
      <formula>0</formula>
    </cfRule>
  </conditionalFormatting>
  <conditionalFormatting sqref="S8">
    <cfRule type="cellIs" dxfId="15" priority="4" operator="lessThan">
      <formula>0</formula>
    </cfRule>
  </conditionalFormatting>
  <conditionalFormatting sqref="S29">
    <cfRule type="cellIs" dxfId="14" priority="1" operator="lessThan">
      <formula>0</formula>
    </cfRule>
  </conditionalFormatting>
  <conditionalFormatting sqref="T11:T14">
    <cfRule type="cellIs" dxfId="13" priority="3" operator="lessThan">
      <formula>0</formula>
    </cfRule>
  </conditionalFormatting>
  <hyperlinks>
    <hyperlink ref="A8" r:id="rId1" xr:uid="{C248C71F-AAC9-4091-A8EA-B804A84370B9}"/>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7CFE-62DD-4AE0-BC89-DBA480C8650D}">
  <dimension ref="A1:AA79"/>
  <sheetViews>
    <sheetView zoomScale="80" zoomScaleNormal="80" workbookViewId="0">
      <selection activeCell="D69" sqref="D69"/>
    </sheetView>
  </sheetViews>
  <sheetFormatPr defaultRowHeight="15" x14ac:dyDescent="0.25"/>
  <cols>
    <col min="3" max="3" width="11.85546875" customWidth="1"/>
    <col min="4" max="4" width="6.140625" customWidth="1"/>
    <col min="5" max="5" width="10.42578125" customWidth="1"/>
    <col min="6" max="6" width="13.140625" customWidth="1"/>
    <col min="7" max="7" width="11.85546875" bestFit="1" customWidth="1"/>
    <col min="8" max="8" width="7" customWidth="1"/>
    <col min="9" max="9" width="11.85546875" bestFit="1" customWidth="1"/>
    <col min="10" max="10" width="13" customWidth="1"/>
    <col min="11" max="11" width="5.5703125" customWidth="1"/>
    <col min="12" max="12" width="11.140625" customWidth="1"/>
    <col min="13" max="13" width="11.42578125" customWidth="1"/>
    <col min="14" max="14" width="6.140625" customWidth="1"/>
    <col min="15" max="15" width="11.85546875" customWidth="1"/>
    <col min="16" max="16" width="12" customWidth="1"/>
    <col min="17" max="17" width="10.42578125" customWidth="1"/>
    <col min="18" max="18" width="14.7109375" customWidth="1"/>
    <col min="19" max="19" width="14.85546875" customWidth="1"/>
    <col min="20" max="20" width="12" customWidth="1"/>
    <col min="21" max="21" width="18.28515625" customWidth="1"/>
    <col min="22" max="22" width="6.7109375" customWidth="1"/>
    <col min="23" max="23" width="11.42578125" bestFit="1" customWidth="1"/>
    <col min="25" max="25" width="18.85546875" customWidth="1"/>
    <col min="27" max="28" width="19" customWidth="1"/>
  </cols>
  <sheetData>
    <row r="1" spans="1:27" x14ac:dyDescent="0.25">
      <c r="A1" s="1" t="s">
        <v>179</v>
      </c>
    </row>
    <row r="2" spans="1:27" ht="6" customHeight="1" thickBot="1" x14ac:dyDescent="0.3"/>
    <row r="3" spans="1:27" ht="19.5" thickBot="1" x14ac:dyDescent="0.35">
      <c r="A3" s="95" t="s">
        <v>175</v>
      </c>
      <c r="B3" s="96"/>
      <c r="C3" s="96"/>
      <c r="D3" s="96"/>
      <c r="E3" s="96"/>
      <c r="F3" s="96"/>
      <c r="G3" s="96"/>
      <c r="H3" s="96"/>
      <c r="I3" s="96"/>
      <c r="J3" s="96"/>
      <c r="K3" s="96"/>
      <c r="L3" s="96"/>
      <c r="M3" s="96"/>
      <c r="N3" s="96"/>
      <c r="O3" s="96"/>
      <c r="P3" s="97"/>
      <c r="R3" s="170" t="s">
        <v>44</v>
      </c>
      <c r="S3" s="171"/>
      <c r="T3" s="171"/>
      <c r="U3" s="172"/>
      <c r="W3" s="128" t="s">
        <v>44</v>
      </c>
    </row>
    <row r="4" spans="1:27" ht="15.75" thickBot="1" x14ac:dyDescent="0.3">
      <c r="A4" s="98" t="s">
        <v>1</v>
      </c>
      <c r="F4" s="155" t="str">
        <f>IF(D69&lt;&gt;"K","",Tilikartta!A25)</f>
        <v/>
      </c>
      <c r="G4" s="156"/>
      <c r="H4" s="114"/>
      <c r="I4" s="155" t="str">
        <f>IF(D69&lt;&gt;"K","",Tilikartta!A54)</f>
        <v/>
      </c>
      <c r="J4" s="156"/>
      <c r="K4" s="114"/>
      <c r="L4" s="155" t="str">
        <f>IF(D69&lt;&gt;"K","",Tilikartta!A82)</f>
        <v/>
      </c>
      <c r="M4" s="156"/>
      <c r="N4" s="114"/>
      <c r="O4" s="155" t="str">
        <f>IF(D69&lt;&gt;"K","",Tilikartta!A119)</f>
        <v/>
      </c>
      <c r="P4" s="173"/>
      <c r="Q4" s="29" t="str">
        <f>IF(D69&lt;&gt;"K","",Tilikartta!A7)</f>
        <v/>
      </c>
      <c r="R4" s="174" t="s">
        <v>87</v>
      </c>
      <c r="S4" s="175"/>
      <c r="T4" s="176" t="s">
        <v>88</v>
      </c>
      <c r="U4" s="177"/>
      <c r="W4" s="1" t="s">
        <v>1</v>
      </c>
      <c r="X4" s="38"/>
      <c r="Y4" s="38"/>
      <c r="Z4" s="38"/>
      <c r="AA4" s="38"/>
    </row>
    <row r="5" spans="1:27" ht="15.75" thickBot="1" x14ac:dyDescent="0.3">
      <c r="A5" s="99" t="s">
        <v>9</v>
      </c>
      <c r="F5" s="158" t="s">
        <v>70</v>
      </c>
      <c r="G5" s="159"/>
      <c r="H5" s="114"/>
      <c r="I5" s="161" t="s">
        <v>125</v>
      </c>
      <c r="J5" s="162"/>
      <c r="K5" s="114"/>
      <c r="L5" s="158"/>
      <c r="M5" s="159"/>
      <c r="N5" s="114"/>
      <c r="O5" s="158" t="s">
        <v>174</v>
      </c>
      <c r="P5" s="159"/>
      <c r="R5" s="44" t="str">
        <f>F5</f>
        <v>Koneet ja kalusto</v>
      </c>
      <c r="S5" s="94">
        <f>IF(G18&gt;0,G18,IF(F18&gt;0,F18*-1,0))</f>
        <v>1195.2191235059761</v>
      </c>
      <c r="T5" s="7"/>
      <c r="U5" s="38"/>
      <c r="W5" s="38" t="s">
        <v>67</v>
      </c>
      <c r="X5" s="38"/>
      <c r="Y5" s="38"/>
      <c r="Z5" s="38"/>
      <c r="AA5" s="38"/>
    </row>
    <row r="6" spans="1:27" ht="15.75" thickBot="1" x14ac:dyDescent="0.3">
      <c r="A6" s="100"/>
      <c r="E6" s="3" t="s">
        <v>10</v>
      </c>
      <c r="F6" s="4" t="s">
        <v>95</v>
      </c>
      <c r="G6" s="5" t="s">
        <v>94</v>
      </c>
      <c r="H6" s="3" t="s">
        <v>10</v>
      </c>
      <c r="I6" s="77" t="s">
        <v>95</v>
      </c>
      <c r="J6" s="5" t="s">
        <v>94</v>
      </c>
      <c r="K6" s="3" t="s">
        <v>10</v>
      </c>
      <c r="L6" s="4" t="s">
        <v>95</v>
      </c>
      <c r="M6" s="5" t="s">
        <v>94</v>
      </c>
      <c r="N6" s="3" t="s">
        <v>10</v>
      </c>
      <c r="O6" s="4" t="s">
        <v>95</v>
      </c>
      <c r="P6" s="5" t="s">
        <v>94</v>
      </c>
      <c r="R6" s="76" t="str">
        <f>I5</f>
        <v>Aine ja tarvikevarasto 1</v>
      </c>
      <c r="S6" s="42">
        <f>IF(J18&gt;0,J18,IF(I18&gt;0,I18*-1,0))</f>
        <v>200</v>
      </c>
      <c r="T6" s="7"/>
      <c r="W6" s="38" t="s">
        <v>69</v>
      </c>
      <c r="X6" s="38"/>
      <c r="Y6" s="38"/>
      <c r="Z6" s="38"/>
      <c r="AA6" s="38"/>
    </row>
    <row r="7" spans="1:27" x14ac:dyDescent="0.25">
      <c r="A7" s="100"/>
      <c r="E7" s="114">
        <v>2</v>
      </c>
      <c r="F7" s="115">
        <f>I54</f>
        <v>1593.6254980079682</v>
      </c>
      <c r="G7" s="116"/>
      <c r="H7" s="114">
        <v>9</v>
      </c>
      <c r="I7" s="115">
        <v>200</v>
      </c>
      <c r="J7" s="116"/>
      <c r="K7" s="114">
        <v>5</v>
      </c>
      <c r="L7" s="115">
        <f>F57</f>
        <v>1800</v>
      </c>
      <c r="M7" s="116"/>
      <c r="N7" s="114">
        <v>1</v>
      </c>
      <c r="O7" s="115">
        <v>3000</v>
      </c>
      <c r="P7" s="117"/>
      <c r="R7" s="76">
        <f>L5</f>
        <v>0</v>
      </c>
      <c r="S7" s="42">
        <f>IF(M18&gt;0,M18,IF(L18&gt;0,L18*-1,0))</f>
        <v>0</v>
      </c>
      <c r="T7" s="7"/>
      <c r="W7" s="38" t="s">
        <v>75</v>
      </c>
      <c r="X7" s="38"/>
      <c r="Y7" s="38"/>
      <c r="Z7" s="38"/>
      <c r="AA7" s="38"/>
    </row>
    <row r="8" spans="1:27" x14ac:dyDescent="0.25">
      <c r="A8" s="100"/>
      <c r="E8" s="114">
        <v>8</v>
      </c>
      <c r="F8" s="118"/>
      <c r="G8" s="116">
        <f>F62</f>
        <v>398.40637450199205</v>
      </c>
      <c r="H8" s="114"/>
      <c r="I8" s="118"/>
      <c r="J8" s="116"/>
      <c r="K8" s="114">
        <v>6</v>
      </c>
      <c r="L8" s="118"/>
      <c r="M8" s="116">
        <v>1800</v>
      </c>
      <c r="N8" s="114">
        <v>2</v>
      </c>
      <c r="O8" s="118"/>
      <c r="P8" s="117">
        <f>F54</f>
        <v>2000</v>
      </c>
      <c r="R8" s="76" t="str">
        <f>O5</f>
        <v>Pankkitili</v>
      </c>
      <c r="S8" s="42">
        <f>IF(P18&gt;0,P18,IF(O18&gt;0,O18*-1,0))</f>
        <v>3300</v>
      </c>
      <c r="T8" s="7"/>
      <c r="W8" s="38"/>
      <c r="X8" s="38" t="s">
        <v>70</v>
      </c>
      <c r="Y8" s="38"/>
      <c r="Z8" s="38"/>
      <c r="AA8" s="49">
        <f>S5</f>
        <v>1195.2191235059761</v>
      </c>
    </row>
    <row r="9" spans="1:27" x14ac:dyDescent="0.25">
      <c r="A9" s="100"/>
      <c r="E9" s="114"/>
      <c r="F9" s="118"/>
      <c r="G9" s="116"/>
      <c r="H9" s="114"/>
      <c r="I9" s="118"/>
      <c r="J9" s="116"/>
      <c r="K9" s="114"/>
      <c r="L9" s="118">
        <v>0</v>
      </c>
      <c r="M9" s="116"/>
      <c r="N9" s="114">
        <v>4</v>
      </c>
      <c r="O9" s="118">
        <f>F56</f>
        <v>1500</v>
      </c>
      <c r="P9" s="117"/>
      <c r="S9" s="42"/>
      <c r="T9" s="7"/>
      <c r="W9" s="38"/>
      <c r="X9" s="38"/>
      <c r="Y9" s="38"/>
      <c r="Z9" s="38"/>
      <c r="AA9" s="38"/>
    </row>
    <row r="10" spans="1:27" x14ac:dyDescent="0.25">
      <c r="A10" s="100"/>
      <c r="E10" s="114"/>
      <c r="F10" s="118"/>
      <c r="G10" s="116"/>
      <c r="H10" s="114"/>
      <c r="I10" s="118"/>
      <c r="J10" s="116"/>
      <c r="K10" s="114"/>
      <c r="L10" s="118"/>
      <c r="M10" s="116"/>
      <c r="N10" s="114">
        <v>6</v>
      </c>
      <c r="O10" s="118">
        <v>1800</v>
      </c>
      <c r="P10" s="117"/>
      <c r="S10" s="42"/>
      <c r="W10" s="38" t="s">
        <v>73</v>
      </c>
      <c r="Y10" s="38"/>
      <c r="Z10" s="38"/>
      <c r="AA10" s="38"/>
    </row>
    <row r="11" spans="1:27" x14ac:dyDescent="0.25">
      <c r="A11" s="100"/>
      <c r="E11" s="114"/>
      <c r="F11" s="118"/>
      <c r="G11" s="116"/>
      <c r="H11" s="114"/>
      <c r="I11" s="118"/>
      <c r="J11" s="116"/>
      <c r="K11" s="114"/>
      <c r="L11" s="118"/>
      <c r="M11" s="116"/>
      <c r="N11" s="114">
        <v>7</v>
      </c>
      <c r="O11" s="118"/>
      <c r="P11" s="117">
        <v>1000</v>
      </c>
      <c r="S11" s="42"/>
      <c r="T11" s="7">
        <f>IF(F33&gt;0,F33,IF(G33&gt;0,G33*-1,0))</f>
        <v>3000</v>
      </c>
      <c r="U11" t="str">
        <f>F23</f>
        <v>Oma pääoma</v>
      </c>
      <c r="W11" s="38"/>
      <c r="X11" s="38" t="s">
        <v>5</v>
      </c>
      <c r="Y11" s="38"/>
      <c r="Z11" s="38"/>
      <c r="AA11" s="49">
        <f>S6</f>
        <v>200</v>
      </c>
    </row>
    <row r="12" spans="1:27" x14ac:dyDescent="0.25">
      <c r="A12" s="100"/>
      <c r="E12" s="114"/>
      <c r="F12" s="118"/>
      <c r="G12" s="116"/>
      <c r="H12" s="119"/>
      <c r="I12" s="118"/>
      <c r="J12" s="116"/>
      <c r="K12" s="114"/>
      <c r="L12" s="118"/>
      <c r="M12" s="116"/>
      <c r="N12" s="114"/>
      <c r="O12" s="118"/>
      <c r="P12" s="117"/>
      <c r="S12" s="42"/>
      <c r="T12" s="7">
        <f>IF(I33&gt;0,I33,IF(J33&gt;0,J33*-1,0))</f>
        <v>0</v>
      </c>
      <c r="U12" t="str">
        <f>I23</f>
        <v>Ostovelat</v>
      </c>
      <c r="W12" s="38"/>
      <c r="X12" s="38" t="s">
        <v>7</v>
      </c>
      <c r="Y12" s="38"/>
      <c r="Z12" s="38"/>
      <c r="AA12" s="49">
        <f>S7</f>
        <v>0</v>
      </c>
    </row>
    <row r="13" spans="1:27" x14ac:dyDescent="0.25">
      <c r="A13" s="100"/>
      <c r="E13" s="114"/>
      <c r="F13" s="118"/>
      <c r="G13" s="116"/>
      <c r="H13" s="114"/>
      <c r="I13" s="118"/>
      <c r="J13" s="116"/>
      <c r="K13" s="114"/>
      <c r="L13" s="118"/>
      <c r="M13" s="116"/>
      <c r="N13" s="114"/>
      <c r="O13" s="118"/>
      <c r="P13" s="117"/>
      <c r="S13" s="42"/>
      <c r="T13" s="7">
        <f>IF(L33&gt;0,L33,IF(M33&gt;0,M33*-1,0))</f>
        <v>60.956175298804851</v>
      </c>
      <c r="U13" t="str">
        <f>L23</f>
        <v>Arvonlisäverot</v>
      </c>
      <c r="W13" s="38"/>
      <c r="X13" s="38" t="s">
        <v>77</v>
      </c>
      <c r="Y13" s="38"/>
      <c r="Z13" s="38"/>
      <c r="AA13" s="49">
        <f>S8</f>
        <v>3300</v>
      </c>
    </row>
    <row r="14" spans="1:27" x14ac:dyDescent="0.25">
      <c r="A14" s="100"/>
      <c r="E14" s="114"/>
      <c r="F14" s="118"/>
      <c r="G14" s="116"/>
      <c r="H14" s="114"/>
      <c r="I14" s="118"/>
      <c r="J14" s="116"/>
      <c r="K14" s="114"/>
      <c r="L14" s="118"/>
      <c r="M14" s="116"/>
      <c r="N14" s="114"/>
      <c r="O14" s="118"/>
      <c r="P14" s="117"/>
      <c r="S14" s="42"/>
      <c r="T14" s="7">
        <f>IF(O33&gt;0,O33,IF(P33&gt;0,P33*-1,0))</f>
        <v>1634.2629482071713</v>
      </c>
      <c r="U14" t="str">
        <f>O23</f>
        <v>Tilikauden voitto/tappio</v>
      </c>
      <c r="W14" s="28" t="s">
        <v>83</v>
      </c>
      <c r="X14" s="38"/>
      <c r="Y14" s="38"/>
      <c r="Z14" s="38"/>
      <c r="AA14" s="126">
        <f>SUM(AA6:AA13)</f>
        <v>4695.2191235059763</v>
      </c>
    </row>
    <row r="15" spans="1:27" ht="15" hidden="1" customHeight="1" x14ac:dyDescent="0.25">
      <c r="A15" s="100"/>
      <c r="F15" s="8"/>
      <c r="G15" s="11"/>
      <c r="I15" s="8"/>
      <c r="J15" s="11"/>
      <c r="L15" s="8"/>
      <c r="M15" s="11"/>
      <c r="O15" s="8"/>
      <c r="P15" s="101"/>
      <c r="S15" s="42"/>
      <c r="T15" s="7"/>
      <c r="W15" s="1" t="s">
        <v>13</v>
      </c>
      <c r="X15" s="38"/>
      <c r="Y15" s="38"/>
      <c r="Z15" s="38"/>
      <c r="AA15" s="38"/>
    </row>
    <row r="16" spans="1:27" ht="15" hidden="1" customHeight="1" x14ac:dyDescent="0.25">
      <c r="A16" s="100"/>
      <c r="F16" s="8"/>
      <c r="G16" s="11"/>
      <c r="I16" s="8"/>
      <c r="J16" s="11"/>
      <c r="L16" s="8"/>
      <c r="M16" s="11"/>
      <c r="O16" s="8"/>
      <c r="P16" s="101"/>
      <c r="S16" s="67">
        <f>SUM(S5:S15)</f>
        <v>4695.2191235059763</v>
      </c>
      <c r="T16" s="68">
        <f>SUM(T5:T15)</f>
        <v>4695.2191235059763</v>
      </c>
    </row>
    <row r="17" spans="1:27" ht="15.75" thickBot="1" x14ac:dyDescent="0.3">
      <c r="A17" s="100"/>
      <c r="F17" s="16">
        <f>IF($D$67&lt;&gt;"k",0,SUM(F7:F16))</f>
        <v>1593.6254980079682</v>
      </c>
      <c r="G17" s="16">
        <f>IF($D$67&lt;&gt;"K",0,SUM(G7:G16))</f>
        <v>398.40637450199205</v>
      </c>
      <c r="I17" s="16">
        <f>IF($D$67&lt;&gt;"k",0,SUM(I7:I16))</f>
        <v>200</v>
      </c>
      <c r="J17" s="16">
        <f>IF($D$67&lt;&gt;"K",0,SUM(J7:J16))</f>
        <v>0</v>
      </c>
      <c r="L17" s="16">
        <f>IF($D$67&lt;&gt;"k",0,SUM(L7:L16))</f>
        <v>1800</v>
      </c>
      <c r="M17" s="16">
        <f>IF($D$67&lt;&gt;"K",0,SUM(M7:M16))</f>
        <v>1800</v>
      </c>
      <c r="O17" s="16">
        <f>IF($D$67&lt;&gt;"k",0,SUM(O7:O16))</f>
        <v>6300</v>
      </c>
      <c r="P17" s="16">
        <f>IF($D$67&lt;&gt;"K",0,SUM(P7:P16))</f>
        <v>3000</v>
      </c>
      <c r="Q17" s="112" t="str">
        <f>IF(D69&lt;&gt;"K","",Tilikartta!A124)</f>
        <v/>
      </c>
      <c r="S17" s="65">
        <f>SUM(S5:S14)</f>
        <v>4695.2191235059763</v>
      </c>
      <c r="T17" s="65">
        <f>SUM(T5:T14)</f>
        <v>4695.2191235059763</v>
      </c>
      <c r="W17" s="38" t="s">
        <v>78</v>
      </c>
      <c r="X17" s="38"/>
      <c r="Y17" s="38"/>
      <c r="Z17" s="38"/>
      <c r="AA17" s="38"/>
    </row>
    <row r="18" spans="1:27" ht="16.5" thickTop="1" thickBot="1" x14ac:dyDescent="0.3">
      <c r="A18" s="100"/>
      <c r="F18" s="10">
        <f>IF($D$68&lt;&gt;"K",0,IF(F17&lt;G17,G17-F17,0))</f>
        <v>0</v>
      </c>
      <c r="G18" s="10">
        <f>IF($D$68&lt;&gt;"K",0,IF(G17&lt;F17,F17-G17,0))</f>
        <v>1195.2191235059761</v>
      </c>
      <c r="I18" s="10">
        <f>IF($D$68&lt;&gt;"K",0,IF(I17&lt;J17,J17-I17,0))</f>
        <v>0</v>
      </c>
      <c r="J18" s="10">
        <f>IF($D$68&lt;&gt;"K",0,IF(J17&lt;I17,I17-J17,0))</f>
        <v>200</v>
      </c>
      <c r="L18" s="10">
        <f>IF($D$68&lt;&gt;"K",0,IF(L17&lt;M17,M17-L17,0))</f>
        <v>0</v>
      </c>
      <c r="M18" s="10">
        <f>IF($D$68&lt;&gt;"K",0,IF(M17&lt;L17,L17-M17,0))</f>
        <v>0</v>
      </c>
      <c r="O18" s="10">
        <f>IF($D$68&lt;&gt;"K",0,IF(O17&lt;P17,P17-O17,0))</f>
        <v>0</v>
      </c>
      <c r="P18" s="10">
        <f>IF($D$68&lt;&gt;"K",0,IF(P17&lt;O17,O17-P17,0))</f>
        <v>3300</v>
      </c>
      <c r="S18" s="65">
        <f>IF(S17&lt;T17,T17-S17,0)</f>
        <v>0</v>
      </c>
      <c r="T18" s="66">
        <f>IF(T17&lt;S17,S17-T17,0)</f>
        <v>0</v>
      </c>
      <c r="W18" s="38"/>
      <c r="X18" t="s">
        <v>98</v>
      </c>
      <c r="Y18" s="38"/>
      <c r="Z18" s="38"/>
      <c r="AA18" s="49">
        <f>T11</f>
        <v>3000</v>
      </c>
    </row>
    <row r="19" spans="1:27" ht="15.75" thickBot="1" x14ac:dyDescent="0.3">
      <c r="A19" s="102"/>
      <c r="B19" s="103"/>
      <c r="C19" s="103"/>
      <c r="D19" s="103"/>
      <c r="E19" s="103"/>
      <c r="F19" s="103"/>
      <c r="G19" s="103"/>
      <c r="H19" s="103"/>
      <c r="I19" s="103"/>
      <c r="J19" s="103"/>
      <c r="K19" s="103"/>
      <c r="L19" s="103"/>
      <c r="M19" s="103"/>
      <c r="N19" s="103"/>
      <c r="O19" s="103"/>
      <c r="P19" s="104"/>
      <c r="S19" s="25" t="str">
        <f>IF(S18&lt;&gt;T18,"Tase ei täsmää, tarkista kirjaukset!","Ok")</f>
        <v>Ok</v>
      </c>
      <c r="W19" s="38"/>
      <c r="X19" s="38" t="s">
        <v>79</v>
      </c>
      <c r="Y19" s="38"/>
      <c r="Z19" s="38"/>
      <c r="AA19" s="49"/>
    </row>
    <row r="20" spans="1:27" ht="6.75" customHeight="1" thickBot="1" x14ac:dyDescent="0.3">
      <c r="W20" s="38"/>
      <c r="X20" s="38" t="s">
        <v>16</v>
      </c>
      <c r="Y20" s="38"/>
      <c r="Z20" s="38"/>
      <c r="AA20" s="49">
        <f>T14</f>
        <v>1634.2629482071713</v>
      </c>
    </row>
    <row r="21" spans="1:27" ht="15.75" thickBot="1" x14ac:dyDescent="0.3">
      <c r="A21" s="95" t="s">
        <v>13</v>
      </c>
      <c r="B21" s="96"/>
      <c r="C21" s="96"/>
      <c r="D21" s="96"/>
      <c r="E21" s="96"/>
      <c r="F21" s="96"/>
      <c r="G21" s="96"/>
      <c r="H21" s="96"/>
      <c r="I21" s="96"/>
      <c r="J21" s="96"/>
      <c r="K21" s="96"/>
      <c r="L21" s="96"/>
      <c r="M21" s="96"/>
      <c r="N21" s="96"/>
      <c r="O21" s="96"/>
      <c r="P21" s="97"/>
      <c r="R21" s="163" t="s">
        <v>28</v>
      </c>
      <c r="S21" s="164"/>
      <c r="T21" s="164"/>
      <c r="U21" s="165"/>
      <c r="W21" s="38" t="s">
        <v>81</v>
      </c>
      <c r="X21" s="38"/>
      <c r="Y21" s="38"/>
      <c r="Z21" s="38"/>
      <c r="AA21" s="38"/>
    </row>
    <row r="22" spans="1:27" ht="15.75" thickBot="1" x14ac:dyDescent="0.3">
      <c r="A22" s="99" t="s">
        <v>14</v>
      </c>
      <c r="F22" s="155" t="str">
        <f>IF(D69&lt;&gt;"K","",Tilikartta!A140)</f>
        <v/>
      </c>
      <c r="G22" s="156"/>
      <c r="H22" s="114"/>
      <c r="I22" s="155" t="str">
        <f>IF(D69&lt;&gt;"K","",Tilikartta!A217)</f>
        <v/>
      </c>
      <c r="J22" s="156"/>
      <c r="K22" s="114"/>
      <c r="L22" s="155" t="str">
        <f>IF(D69&lt;&gt;"K","",Tilikartta!A265)</f>
        <v/>
      </c>
      <c r="M22" s="156"/>
      <c r="N22" s="114"/>
      <c r="O22" s="155" t="str">
        <f>IF(D69&lt;&gt;"K","",Tilikartta!A183)</f>
        <v/>
      </c>
      <c r="P22" s="156"/>
      <c r="R22" s="166" t="s">
        <v>30</v>
      </c>
      <c r="S22" s="167"/>
      <c r="T22" s="168" t="s">
        <v>31</v>
      </c>
      <c r="U22" s="169"/>
      <c r="W22" s="38"/>
      <c r="X22" s="38" t="s">
        <v>82</v>
      </c>
      <c r="Y22" s="38"/>
      <c r="Z22" s="38"/>
      <c r="AA22" s="49">
        <f>L70+L71</f>
        <v>0</v>
      </c>
    </row>
    <row r="23" spans="1:27" ht="15.75" thickBot="1" x14ac:dyDescent="0.3">
      <c r="A23" s="100"/>
      <c r="F23" s="158" t="s">
        <v>98</v>
      </c>
      <c r="G23" s="159"/>
      <c r="H23" s="114"/>
      <c r="I23" s="158" t="s">
        <v>20</v>
      </c>
      <c r="J23" s="159"/>
      <c r="K23" s="114"/>
      <c r="L23" s="158" t="s">
        <v>181</v>
      </c>
      <c r="M23" s="159"/>
      <c r="N23" s="114"/>
      <c r="O23" s="158" t="s">
        <v>182</v>
      </c>
      <c r="P23" s="159"/>
      <c r="S23" s="8"/>
      <c r="T23" s="7"/>
      <c r="W23" s="38"/>
      <c r="X23" s="38" t="s">
        <v>20</v>
      </c>
      <c r="Y23" s="38"/>
      <c r="Z23" s="38"/>
      <c r="AA23" s="49">
        <f>T12</f>
        <v>0</v>
      </c>
    </row>
    <row r="24" spans="1:27" ht="15.75" thickBot="1" x14ac:dyDescent="0.3">
      <c r="A24" s="100"/>
      <c r="E24" s="3" t="s">
        <v>10</v>
      </c>
      <c r="F24" s="4" t="s">
        <v>95</v>
      </c>
      <c r="G24" s="5" t="s">
        <v>94</v>
      </c>
      <c r="H24" s="3" t="s">
        <v>10</v>
      </c>
      <c r="I24" s="4" t="s">
        <v>95</v>
      </c>
      <c r="J24" s="5" t="s">
        <v>94</v>
      </c>
      <c r="K24" s="3" t="s">
        <v>10</v>
      </c>
      <c r="L24" s="4" t="s">
        <v>95</v>
      </c>
      <c r="M24" s="5" t="s">
        <v>94</v>
      </c>
      <c r="N24" s="3" t="s">
        <v>10</v>
      </c>
      <c r="O24" s="4" t="s">
        <v>95</v>
      </c>
      <c r="P24" s="5" t="s">
        <v>94</v>
      </c>
      <c r="S24" s="8"/>
      <c r="T24" s="7">
        <f>IF(F48&gt;0,F48,IF(G48&gt;0,G48*-1,0))</f>
        <v>2629.4820717131474</v>
      </c>
      <c r="U24" t="str">
        <f>F37</f>
        <v xml:space="preserve">Myynnit </v>
      </c>
      <c r="X24" t="s">
        <v>682</v>
      </c>
      <c r="Y24" s="38"/>
      <c r="Z24" s="38"/>
      <c r="AA24" s="60">
        <f>T13</f>
        <v>60.956175298804851</v>
      </c>
    </row>
    <row r="25" spans="1:27" ht="15.75" customHeight="1" x14ac:dyDescent="0.25">
      <c r="A25" s="100"/>
      <c r="E25" s="114">
        <v>1</v>
      </c>
      <c r="F25" s="118"/>
      <c r="G25" s="116">
        <v>3000</v>
      </c>
      <c r="H25" s="120">
        <v>3</v>
      </c>
      <c r="I25" s="115"/>
      <c r="J25" s="116">
        <f>F55</f>
        <v>1000</v>
      </c>
      <c r="K25" s="120">
        <v>2</v>
      </c>
      <c r="L25" s="115">
        <f>J54</f>
        <v>406.37450199203181</v>
      </c>
      <c r="M25" s="116"/>
      <c r="N25" s="120"/>
      <c r="O25" s="115"/>
      <c r="P25" s="116"/>
      <c r="S25" s="8"/>
      <c r="T25" s="7"/>
      <c r="W25" s="28" t="s">
        <v>84</v>
      </c>
      <c r="AA25" s="126">
        <f>SUM(AA17:AA24)</f>
        <v>4695.2191235059763</v>
      </c>
    </row>
    <row r="26" spans="1:27" x14ac:dyDescent="0.25">
      <c r="A26" s="100"/>
      <c r="E26" s="114"/>
      <c r="F26" s="118"/>
      <c r="G26" s="121"/>
      <c r="H26" s="120"/>
      <c r="I26" s="116"/>
      <c r="J26" s="121"/>
      <c r="K26" s="120"/>
      <c r="L26" s="116"/>
      <c r="M26" s="121"/>
      <c r="N26" s="120"/>
      <c r="O26" s="116"/>
      <c r="P26" s="121"/>
      <c r="S26" s="8"/>
      <c r="T26" s="7"/>
      <c r="W26" s="38"/>
      <c r="X26" s="38"/>
      <c r="Y26" s="38"/>
      <c r="Z26" s="38"/>
      <c r="AA26" s="49"/>
    </row>
    <row r="27" spans="1:27" x14ac:dyDescent="0.25">
      <c r="A27" s="100"/>
      <c r="E27" s="114"/>
      <c r="F27" s="118"/>
      <c r="G27" s="116"/>
      <c r="H27" s="120">
        <v>7</v>
      </c>
      <c r="I27" s="118">
        <v>1000</v>
      </c>
      <c r="J27" s="116"/>
      <c r="K27" s="120">
        <v>3</v>
      </c>
      <c r="L27" s="118">
        <f>J55</f>
        <v>203.18725099601591</v>
      </c>
      <c r="M27" s="116"/>
      <c r="N27" s="120"/>
      <c r="O27" s="118"/>
      <c r="P27" s="116"/>
      <c r="R27" t="str">
        <f>I37</f>
        <v>Ostot, kulut</v>
      </c>
      <c r="S27" s="8">
        <f>IF(J48&gt;0,J48,IF(I48&gt;0,I48*-1,0))</f>
        <v>796.81274900398409</v>
      </c>
      <c r="T27" s="7"/>
    </row>
    <row r="28" spans="1:27" x14ac:dyDescent="0.25">
      <c r="A28" s="100"/>
      <c r="E28" s="114"/>
      <c r="F28" s="118"/>
      <c r="G28" s="116"/>
      <c r="H28" s="120"/>
      <c r="I28" s="118"/>
      <c r="J28" s="116"/>
      <c r="K28" s="120">
        <v>4</v>
      </c>
      <c r="L28" s="118"/>
      <c r="M28" s="116">
        <f>J56</f>
        <v>304.78087649402391</v>
      </c>
      <c r="N28" s="120"/>
      <c r="O28" s="118"/>
      <c r="P28" s="116"/>
      <c r="R28" t="str">
        <f>L37</f>
        <v>Poistot</v>
      </c>
      <c r="S28" s="8">
        <f>IF(M48&gt;0,M48,IF(L48&gt;0,L48*-1,0))</f>
        <v>398.40637450199205</v>
      </c>
      <c r="T28" s="7"/>
    </row>
    <row r="29" spans="1:27" ht="18.75" x14ac:dyDescent="0.3">
      <c r="A29" s="100"/>
      <c r="E29" s="114"/>
      <c r="F29" s="118"/>
      <c r="G29" s="116"/>
      <c r="H29" s="120"/>
      <c r="I29" s="118"/>
      <c r="J29" s="116"/>
      <c r="K29" s="120">
        <v>5</v>
      </c>
      <c r="L29" s="118"/>
      <c r="M29" s="116">
        <f>J57</f>
        <v>365.73705179282865</v>
      </c>
      <c r="N29" s="120"/>
      <c r="O29" s="118"/>
      <c r="P29" s="116"/>
      <c r="R29" t="str">
        <f>O37</f>
        <v>Varaston muutos</v>
      </c>
      <c r="S29" s="8">
        <f>IF(P48&gt;0,P48,IF(O48&gt;0,O48*-1,0))</f>
        <v>-200</v>
      </c>
      <c r="T29" s="7"/>
      <c r="W29" s="128" t="s">
        <v>28</v>
      </c>
      <c r="Y29" s="38"/>
      <c r="Z29" s="38"/>
      <c r="AA29" s="38"/>
    </row>
    <row r="30" spans="1:27" ht="15.75" thickBot="1" x14ac:dyDescent="0.3">
      <c r="A30" s="100"/>
      <c r="E30" s="114"/>
      <c r="F30" s="118"/>
      <c r="G30" s="116"/>
      <c r="H30" s="120"/>
      <c r="I30" s="118"/>
      <c r="J30" s="116"/>
      <c r="K30" s="120"/>
      <c r="L30" s="118"/>
      <c r="M30" s="116"/>
      <c r="N30" s="120"/>
      <c r="O30" s="118"/>
      <c r="S30" s="45">
        <f>SUM(S23:S29)</f>
        <v>995.21912350597609</v>
      </c>
      <c r="T30" s="16">
        <f>SUM(T23:T29)</f>
        <v>2629.4820717131474</v>
      </c>
      <c r="W30" s="38" t="s">
        <v>53</v>
      </c>
      <c r="X30" s="38"/>
      <c r="Y30" s="38"/>
      <c r="Z30" s="38"/>
      <c r="AA30" s="60">
        <f>T24</f>
        <v>2629.4820717131474</v>
      </c>
    </row>
    <row r="31" spans="1:27" ht="15.75" thickTop="1" x14ac:dyDescent="0.25">
      <c r="A31" s="100"/>
      <c r="E31" s="114"/>
      <c r="F31" s="118"/>
      <c r="G31" s="116"/>
      <c r="H31" s="120"/>
      <c r="I31" s="118"/>
      <c r="J31" s="116"/>
      <c r="K31" s="120"/>
      <c r="L31" s="118"/>
      <c r="M31" s="116"/>
      <c r="N31" s="120">
        <f>IF(R31&gt;0,R31,"")</f>
        <v>10</v>
      </c>
      <c r="O31" s="129">
        <f>IF(T31&gt;0,T31,0)</f>
        <v>0</v>
      </c>
      <c r="P31" s="130">
        <f>IF(S31&gt;0,S31,0)</f>
        <v>1634.2629482071713</v>
      </c>
      <c r="R31" s="113">
        <f>D64</f>
        <v>10</v>
      </c>
      <c r="S31" s="72">
        <f>IF(S30&lt;T30,T30-S30,0)</f>
        <v>1634.2629482071713</v>
      </c>
      <c r="T31" s="10">
        <f>IF(T30&lt;S30,S30-T30,0)</f>
        <v>0</v>
      </c>
      <c r="W31" s="38" t="s">
        <v>51</v>
      </c>
      <c r="X31" s="38"/>
      <c r="Y31" s="38"/>
      <c r="Z31" s="38"/>
      <c r="AA31" s="38"/>
    </row>
    <row r="32" spans="1:27" ht="23.25" customHeight="1" thickBot="1" x14ac:dyDescent="0.35">
      <c r="A32" s="100"/>
      <c r="F32" s="16">
        <f>IF($D$67&lt;&gt;"k",0,SUM(F25:F31))</f>
        <v>0</v>
      </c>
      <c r="G32" s="16">
        <f>IF($D$67&lt;&gt;"K",0,SUM(G25:G31))</f>
        <v>3000</v>
      </c>
      <c r="I32" s="16">
        <f>IF($D$67&lt;&gt;"k",0,SUM(I25:I31))</f>
        <v>1000</v>
      </c>
      <c r="J32" s="16">
        <f>IF($D$67&lt;&gt;"K",0,SUM(J25:J31))</f>
        <v>1000</v>
      </c>
      <c r="L32" s="16">
        <f>IF($D$67&lt;&gt;"k",0,SUM(L25:L31))</f>
        <v>609.56175298804772</v>
      </c>
      <c r="M32" s="16">
        <f>IF($D$67&lt;&gt;"K",0,SUM(M25:M31))</f>
        <v>670.51792828685257</v>
      </c>
      <c r="O32" s="16">
        <f>IF($D$67&lt;&gt;"k",0,SUM(O25:O31))</f>
        <v>0</v>
      </c>
      <c r="P32" s="16">
        <f>IF($D$67&lt;&gt;"K",0,SUM(P25:P31))</f>
        <v>1634.2629482071713</v>
      </c>
      <c r="R32" s="127" t="str">
        <f>"Tosite nro: ("&amp;R31&amp;")"</f>
        <v>Tosite nro: (10)</v>
      </c>
      <c r="S32" s="160" t="str">
        <f>IF(S31&gt;0,"Tulos voitollinen",IF(T31&gt;0,"Tulos tappiollinen",""))</f>
        <v>Tulos voitollinen</v>
      </c>
      <c r="T32" s="160"/>
      <c r="W32" s="38" t="s">
        <v>54</v>
      </c>
      <c r="X32" t="s">
        <v>681</v>
      </c>
      <c r="Y32" s="38"/>
      <c r="Z32" s="38"/>
      <c r="AA32" s="38"/>
    </row>
    <row r="33" spans="1:27" ht="15.75" thickTop="1" x14ac:dyDescent="0.25">
      <c r="A33" s="100"/>
      <c r="F33" s="10">
        <f>IF($D$68&lt;&gt;"K",0,IF(F32&lt;G32,G32-F32,0))</f>
        <v>3000</v>
      </c>
      <c r="G33" s="10">
        <f>IF($D$68&lt;&gt;"K",0,IF(G32&lt;F32,F32-G32,0))</f>
        <v>0</v>
      </c>
      <c r="I33" s="10">
        <f>IF($D$68&lt;&gt;"K",0,IF(I32&lt;J32,J32-I32,0))</f>
        <v>0</v>
      </c>
      <c r="J33" s="10">
        <f>IF($D$68&lt;&gt;"K",0,IF(J32&lt;I32,I32-J32,0))</f>
        <v>0</v>
      </c>
      <c r="L33" s="10">
        <f>IF($D$68&lt;&gt;"K",0,IF(L32&lt;M32,M32-L32,0))</f>
        <v>60.956175298804851</v>
      </c>
      <c r="M33" s="10">
        <f>IF($D$68&lt;&gt;"K",0,IF(M32&lt;L32,L32-M32,0))</f>
        <v>0</v>
      </c>
      <c r="O33" s="10">
        <f>IF($D$68&lt;&gt;"K",0,IF(O32&lt;P32,P32-O32,0))</f>
        <v>1634.2629482071713</v>
      </c>
      <c r="P33" s="10">
        <f>IF($D$68&lt;&gt;"K",0,IF(P32&lt;O32,O32-P32,0))</f>
        <v>0</v>
      </c>
      <c r="W33" s="38"/>
      <c r="X33" s="38"/>
      <c r="Y33" s="38" t="s">
        <v>56</v>
      </c>
      <c r="Z33" s="38"/>
      <c r="AA33" s="49">
        <f>S27</f>
        <v>796.81274900398409</v>
      </c>
    </row>
    <row r="34" spans="1:27" ht="6" customHeight="1" thickBot="1" x14ac:dyDescent="0.3">
      <c r="A34" s="102"/>
      <c r="B34" s="103"/>
      <c r="C34" s="103"/>
      <c r="D34" s="103"/>
      <c r="E34" s="103"/>
      <c r="F34" s="103"/>
      <c r="G34" s="103"/>
      <c r="H34" s="103"/>
      <c r="I34" s="103"/>
      <c r="J34" s="103"/>
      <c r="K34" s="103"/>
      <c r="L34" s="103"/>
      <c r="M34" s="103"/>
      <c r="N34" s="103"/>
      <c r="O34" s="103"/>
      <c r="P34" s="104"/>
      <c r="W34" s="38"/>
      <c r="X34" s="38"/>
      <c r="Y34" t="s">
        <v>680</v>
      </c>
      <c r="AA34" s="49">
        <f>S29</f>
        <v>-200</v>
      </c>
    </row>
    <row r="35" spans="1:27" x14ac:dyDescent="0.25">
      <c r="A35" s="95" t="s">
        <v>24</v>
      </c>
      <c r="B35" s="96"/>
      <c r="C35" s="96"/>
      <c r="D35" s="96"/>
      <c r="E35" s="96"/>
      <c r="F35" s="105" t="s">
        <v>176</v>
      </c>
      <c r="G35" s="96"/>
      <c r="H35" s="96"/>
      <c r="I35" s="154" t="s">
        <v>177</v>
      </c>
      <c r="J35" s="154"/>
      <c r="K35" s="154"/>
      <c r="L35" s="154"/>
      <c r="M35" s="154"/>
      <c r="N35" s="105"/>
      <c r="O35" s="105"/>
      <c r="P35" s="107"/>
      <c r="W35" s="38"/>
      <c r="X35" s="38" t="s">
        <v>58</v>
      </c>
      <c r="Y35" s="38"/>
      <c r="Z35" s="38"/>
      <c r="AA35" s="50"/>
    </row>
    <row r="36" spans="1:27" ht="15.75" thickBot="1" x14ac:dyDescent="0.3">
      <c r="A36" s="100"/>
      <c r="F36" s="155" t="str">
        <f>IF(D69&lt;&gt;"K","",Tilikartta!A283)</f>
        <v/>
      </c>
      <c r="G36" s="156"/>
      <c r="H36" s="114"/>
      <c r="I36" s="155" t="str">
        <f>IF(D69&lt;&gt;"K","",Tilikartta!A322)</f>
        <v/>
      </c>
      <c r="J36" s="156"/>
      <c r="K36" s="114"/>
      <c r="L36" s="155" t="str">
        <f>IF(D69&lt;&gt;"K","",Tilikartta!A386)</f>
        <v/>
      </c>
      <c r="M36" s="156"/>
      <c r="N36" s="114"/>
      <c r="O36" s="155" t="str">
        <f>IF(D69&lt;&gt;"K","",Tilikartta!A341)</f>
        <v/>
      </c>
      <c r="P36" s="156"/>
      <c r="W36" s="38" t="s">
        <v>59</v>
      </c>
      <c r="X36" s="38"/>
      <c r="Y36" s="38"/>
      <c r="Z36" s="38"/>
      <c r="AA36" s="38"/>
    </row>
    <row r="37" spans="1:27" ht="15.75" thickBot="1" x14ac:dyDescent="0.3">
      <c r="A37" s="100"/>
      <c r="F37" s="158" t="s">
        <v>92</v>
      </c>
      <c r="G37" s="159"/>
      <c r="H37" s="114"/>
      <c r="I37" s="158" t="s">
        <v>178</v>
      </c>
      <c r="J37" s="159"/>
      <c r="K37" s="114"/>
      <c r="L37" s="158" t="s">
        <v>36</v>
      </c>
      <c r="M37" s="159"/>
      <c r="N37" s="114"/>
      <c r="O37" s="158" t="s">
        <v>190</v>
      </c>
      <c r="P37" s="159"/>
      <c r="S37" s="38"/>
      <c r="T37" s="38"/>
      <c r="U37" s="38"/>
      <c r="V37" s="38"/>
      <c r="W37" s="38"/>
      <c r="X37" s="38" t="s">
        <v>60</v>
      </c>
      <c r="Y37" s="38"/>
      <c r="Z37" s="38"/>
      <c r="AA37" s="49">
        <f>S28</f>
        <v>398.40637450199205</v>
      </c>
    </row>
    <row r="38" spans="1:27" ht="15.75" thickBot="1" x14ac:dyDescent="0.3">
      <c r="A38" s="100"/>
      <c r="E38" s="3" t="s">
        <v>10</v>
      </c>
      <c r="F38" s="4" t="s">
        <v>95</v>
      </c>
      <c r="G38" s="5" t="s">
        <v>94</v>
      </c>
      <c r="H38" s="3" t="s">
        <v>10</v>
      </c>
      <c r="I38" s="4" t="s">
        <v>95</v>
      </c>
      <c r="J38" s="5" t="s">
        <v>94</v>
      </c>
      <c r="K38" s="3" t="s">
        <v>10</v>
      </c>
      <c r="L38" s="4" t="s">
        <v>95</v>
      </c>
      <c r="M38" s="5" t="s">
        <v>94</v>
      </c>
      <c r="N38" s="3" t="s">
        <v>10</v>
      </c>
      <c r="O38" s="4" t="s">
        <v>95</v>
      </c>
      <c r="P38" s="5" t="s">
        <v>94</v>
      </c>
      <c r="W38" s="38" t="s">
        <v>35</v>
      </c>
      <c r="X38" s="38"/>
      <c r="Y38" s="38"/>
      <c r="Z38" s="38"/>
      <c r="AA38" s="49"/>
    </row>
    <row r="39" spans="1:27" x14ac:dyDescent="0.25">
      <c r="A39" s="100"/>
      <c r="E39" s="114">
        <v>4</v>
      </c>
      <c r="F39" s="115"/>
      <c r="G39" s="116">
        <f>I56</f>
        <v>1195.2191235059761</v>
      </c>
      <c r="H39" s="120">
        <v>3</v>
      </c>
      <c r="I39" s="115">
        <f>I55</f>
        <v>796.81274900398409</v>
      </c>
      <c r="J39" s="116"/>
      <c r="K39" s="120">
        <v>8</v>
      </c>
      <c r="L39" s="115">
        <f>F62</f>
        <v>398.40637450199205</v>
      </c>
      <c r="M39" s="116"/>
      <c r="N39" s="120">
        <v>9</v>
      </c>
      <c r="O39" s="115"/>
      <c r="P39" s="116">
        <v>200</v>
      </c>
      <c r="W39" s="38" t="s">
        <v>61</v>
      </c>
      <c r="X39" s="38"/>
      <c r="Y39" s="38"/>
      <c r="Z39" s="38"/>
      <c r="AA39" s="60">
        <f>AA30-AA33-AA34-AA35-AA37-AA38</f>
        <v>1634.2629482071711</v>
      </c>
    </row>
    <row r="40" spans="1:27" x14ac:dyDescent="0.25">
      <c r="A40" s="100"/>
      <c r="E40" s="114">
        <v>5</v>
      </c>
      <c r="F40" s="118"/>
      <c r="G40" s="116">
        <f>I57</f>
        <v>1434.2629482071713</v>
      </c>
      <c r="H40" s="120"/>
      <c r="I40" s="118">
        <v>0</v>
      </c>
      <c r="J40" s="116"/>
      <c r="K40" s="120"/>
      <c r="L40" s="118"/>
      <c r="M40" s="116"/>
      <c r="N40" s="120"/>
      <c r="O40" s="118"/>
      <c r="P40" s="116"/>
      <c r="W40" s="38" t="s">
        <v>62</v>
      </c>
      <c r="X40" s="38"/>
      <c r="Y40" s="38"/>
      <c r="Z40" s="38"/>
      <c r="AA40" s="38"/>
    </row>
    <row r="41" spans="1:27" x14ac:dyDescent="0.25">
      <c r="A41" s="100"/>
      <c r="E41" s="114"/>
      <c r="F41" s="118"/>
      <c r="G41" s="116"/>
      <c r="H41" s="120"/>
      <c r="I41" s="118"/>
      <c r="J41" s="116"/>
      <c r="K41" s="120"/>
      <c r="L41" s="118"/>
      <c r="M41" s="116"/>
      <c r="N41" s="120"/>
      <c r="O41" s="118"/>
      <c r="P41" s="116"/>
      <c r="W41" s="38"/>
      <c r="X41" s="38" t="s">
        <v>63</v>
      </c>
      <c r="Y41" s="38"/>
      <c r="Z41" s="38"/>
      <c r="AA41" s="49"/>
    </row>
    <row r="42" spans="1:27" x14ac:dyDescent="0.25">
      <c r="A42" s="100"/>
      <c r="E42" s="114"/>
      <c r="F42" s="118">
        <v>0</v>
      </c>
      <c r="G42" s="116"/>
      <c r="H42" s="120"/>
      <c r="I42" s="118"/>
      <c r="J42" s="116"/>
      <c r="K42" s="120"/>
      <c r="L42" s="118"/>
      <c r="M42" s="116"/>
      <c r="N42" s="120"/>
      <c r="O42" s="118"/>
      <c r="P42" s="116"/>
      <c r="W42" s="38" t="s">
        <v>64</v>
      </c>
      <c r="X42" s="38"/>
      <c r="Y42" s="38"/>
      <c r="Z42" s="38"/>
      <c r="AA42" s="60">
        <f>AA39-AA41</f>
        <v>1634.2629482071711</v>
      </c>
    </row>
    <row r="43" spans="1:27" x14ac:dyDescent="0.25">
      <c r="A43" s="100"/>
      <c r="E43" s="114"/>
      <c r="F43" s="118"/>
      <c r="G43" s="116"/>
      <c r="H43" s="120"/>
      <c r="I43" s="118"/>
      <c r="J43" s="116"/>
      <c r="K43" s="120"/>
      <c r="L43" s="118"/>
      <c r="M43" s="116"/>
      <c r="N43" s="120"/>
      <c r="O43" s="118"/>
      <c r="P43" s="116"/>
      <c r="W43" s="38" t="s">
        <v>48</v>
      </c>
      <c r="X43" s="38"/>
      <c r="Y43" s="38"/>
      <c r="Z43" s="38"/>
      <c r="AA43" s="49"/>
    </row>
    <row r="44" spans="1:27" x14ac:dyDescent="0.25">
      <c r="A44" s="100"/>
      <c r="E44" s="114"/>
      <c r="F44" s="118"/>
      <c r="G44" s="116"/>
      <c r="H44" s="120"/>
      <c r="I44" s="118"/>
      <c r="J44" s="116"/>
      <c r="K44" s="120"/>
      <c r="L44" s="118"/>
      <c r="M44" s="116"/>
      <c r="N44" s="120"/>
      <c r="O44" s="118"/>
      <c r="P44" s="116"/>
      <c r="W44" s="38" t="s">
        <v>66</v>
      </c>
      <c r="X44" s="38"/>
      <c r="Y44" s="38"/>
      <c r="Z44" s="38"/>
      <c r="AA44" s="51">
        <f>AA42-AA43</f>
        <v>1634.2629482071711</v>
      </c>
    </row>
    <row r="45" spans="1:27" x14ac:dyDescent="0.25">
      <c r="A45" s="100"/>
      <c r="E45" s="114"/>
      <c r="F45" s="118"/>
      <c r="G45" s="116"/>
      <c r="H45" s="120"/>
      <c r="I45" s="118"/>
      <c r="J45" s="116"/>
      <c r="K45" s="120"/>
      <c r="L45" s="118"/>
      <c r="M45" s="116"/>
      <c r="N45" s="120"/>
      <c r="O45" s="118"/>
      <c r="P45" s="116"/>
    </row>
    <row r="46" spans="1:27" x14ac:dyDescent="0.25">
      <c r="A46" s="100"/>
      <c r="E46" s="114"/>
      <c r="F46" s="118">
        <v>0</v>
      </c>
      <c r="G46" s="116"/>
      <c r="H46" s="120"/>
      <c r="I46" s="118"/>
      <c r="J46" s="116"/>
      <c r="K46" s="120"/>
      <c r="L46" s="118"/>
      <c r="M46" s="116"/>
      <c r="N46" s="120"/>
      <c r="O46" s="118"/>
      <c r="P46" s="116"/>
      <c r="W46" s="28" t="s">
        <v>85</v>
      </c>
      <c r="X46" s="38"/>
      <c r="Z46" s="38"/>
      <c r="AA46" s="53">
        <f>AA39/AA30</f>
        <v>0.62151515151515146</v>
      </c>
    </row>
    <row r="47" spans="1:27" ht="15.75" thickBot="1" x14ac:dyDescent="0.3">
      <c r="A47" s="100"/>
      <c r="F47" s="16">
        <f>IF($D$67&lt;&gt;"k",0,SUM(F39:F46))</f>
        <v>0</v>
      </c>
      <c r="G47" s="16">
        <f>IF($D$67&lt;&gt;"K",0,SUM(G39:G46))</f>
        <v>2629.4820717131474</v>
      </c>
      <c r="I47" s="16">
        <f>IF($D$67&lt;&gt;"k",0,SUM(I39:I46))</f>
        <v>796.81274900398409</v>
      </c>
      <c r="J47" s="16">
        <f>IF($D$67&lt;&gt;"K",0,SUM(J39:J46))</f>
        <v>0</v>
      </c>
      <c r="L47" s="16">
        <f>IF($D$67&lt;&gt;"k",0,SUM(L39:L46))</f>
        <v>398.40637450199205</v>
      </c>
      <c r="M47" s="16">
        <f>IF($D$67&lt;&gt;"K",0,SUM(M39:M46))</f>
        <v>0</v>
      </c>
      <c r="O47" s="16">
        <f>IF($D$67&lt;&gt;"k",0,SUM(O39:O46))</f>
        <v>0</v>
      </c>
      <c r="P47" s="16">
        <f>IF($D$67&lt;&gt;"K",0,SUM(P39:P46))</f>
        <v>200</v>
      </c>
    </row>
    <row r="48" spans="1:27" ht="15.75" thickTop="1" x14ac:dyDescent="0.25">
      <c r="A48" s="100"/>
      <c r="F48" s="10">
        <f>IF($D$68&lt;&gt;"K",0,IF(F47&lt;G47,G47-F47,0))</f>
        <v>2629.4820717131474</v>
      </c>
      <c r="G48" s="10">
        <f>IF($D$68&lt;&gt;"K",0,IF(G47&lt;F47,F47-G47,0))</f>
        <v>0</v>
      </c>
      <c r="I48" s="10">
        <f>IF($D$68&lt;&gt;"K",0,IF(I47&lt;J47,J47-I47,0))</f>
        <v>0</v>
      </c>
      <c r="J48" s="10">
        <f>IF($D$68&lt;&gt;"K",0,IF(J47&lt;I47,I47-J47,0))</f>
        <v>796.81274900398409</v>
      </c>
      <c r="L48" s="10">
        <f>IF($D$68&lt;&gt;"K",0,IF(L47&lt;M47,M47-L47,0))</f>
        <v>0</v>
      </c>
      <c r="M48" s="10">
        <f>IF($D$68&lt;&gt;"K",0,IF(M47&lt;L47,L47-M47,0))</f>
        <v>398.40637450199205</v>
      </c>
      <c r="O48" s="10">
        <f>IF($D$68&lt;&gt;"K",0,IF(O47&lt;P47,P47-O47,0))</f>
        <v>200</v>
      </c>
      <c r="P48" s="10">
        <f>IF($D$68&lt;&gt;"K",0,IF(P47&lt;O47,O47-P47,0))</f>
        <v>0</v>
      </c>
      <c r="Q48" s="38"/>
      <c r="W48" s="60"/>
    </row>
    <row r="49" spans="1:16" ht="15.75" thickBot="1" x14ac:dyDescent="0.3">
      <c r="A49" s="102"/>
      <c r="B49" s="103"/>
      <c r="C49" s="103"/>
      <c r="D49" s="103"/>
      <c r="E49" s="103"/>
      <c r="F49" s="103"/>
      <c r="G49" s="103"/>
      <c r="H49" s="103"/>
      <c r="I49" s="103"/>
      <c r="J49" s="103"/>
      <c r="K49" s="103"/>
      <c r="L49" s="103"/>
      <c r="M49" s="103"/>
      <c r="N49" s="103"/>
      <c r="O49" s="103"/>
      <c r="P49" s="104"/>
    </row>
    <row r="51" spans="1:16" ht="54" x14ac:dyDescent="0.25">
      <c r="A51" s="157" t="s">
        <v>37</v>
      </c>
      <c r="B51" s="157"/>
      <c r="C51" s="157"/>
      <c r="D51" s="22" t="s">
        <v>38</v>
      </c>
      <c r="E51" s="23" t="s">
        <v>39</v>
      </c>
      <c r="F51" s="24" t="s">
        <v>40</v>
      </c>
      <c r="G51" s="25" t="s">
        <v>41</v>
      </c>
      <c r="I51" s="25" t="s">
        <v>42</v>
      </c>
      <c r="J51" s="22" t="s">
        <v>180</v>
      </c>
    </row>
    <row r="52" spans="1:16" x14ac:dyDescent="0.25">
      <c r="A52" s="21"/>
      <c r="D52" s="29"/>
      <c r="E52" s="23"/>
      <c r="F52" s="24"/>
      <c r="G52" s="29"/>
      <c r="I52" s="29"/>
      <c r="J52" s="29"/>
    </row>
    <row r="53" spans="1:16" ht="26.25" customHeight="1" x14ac:dyDescent="0.25">
      <c r="A53" s="145" t="s">
        <v>684</v>
      </c>
      <c r="B53" s="146"/>
      <c r="C53" s="147"/>
      <c r="D53" s="122">
        <v>1</v>
      </c>
      <c r="E53" s="125">
        <v>45658</v>
      </c>
      <c r="F53" s="123">
        <v>3000</v>
      </c>
      <c r="G53" s="124">
        <v>0</v>
      </c>
      <c r="I53" s="37">
        <f t="shared" ref="I53:I60" si="0">F53/(1+G53)</f>
        <v>3000</v>
      </c>
      <c r="J53" s="37">
        <f t="shared" ref="J53:J60" si="1">F53-I53</f>
        <v>0</v>
      </c>
    </row>
    <row r="54" spans="1:16" x14ac:dyDescent="0.25">
      <c r="A54" s="145" t="s">
        <v>183</v>
      </c>
      <c r="B54" s="146"/>
      <c r="C54" s="147"/>
      <c r="D54" s="122">
        <f>D53+1</f>
        <v>2</v>
      </c>
      <c r="E54" s="125">
        <v>45659</v>
      </c>
      <c r="F54" s="123">
        <v>2000</v>
      </c>
      <c r="G54" s="124">
        <v>0.255</v>
      </c>
      <c r="I54" s="37">
        <f t="shared" si="0"/>
        <v>1593.6254980079682</v>
      </c>
      <c r="J54" s="37">
        <f t="shared" si="1"/>
        <v>406.37450199203181</v>
      </c>
    </row>
    <row r="55" spans="1:16" x14ac:dyDescent="0.25">
      <c r="A55" s="145" t="s">
        <v>184</v>
      </c>
      <c r="B55" s="146"/>
      <c r="C55" s="147"/>
      <c r="D55" s="122">
        <f t="shared" ref="D55:D59" si="2">D54+1</f>
        <v>3</v>
      </c>
      <c r="E55" s="125">
        <v>45660</v>
      </c>
      <c r="F55" s="123">
        <v>1000</v>
      </c>
      <c r="G55" s="124">
        <f>G54</f>
        <v>0.255</v>
      </c>
      <c r="I55" s="37">
        <f t="shared" si="0"/>
        <v>796.81274900398409</v>
      </c>
      <c r="J55" s="37">
        <f t="shared" si="1"/>
        <v>203.18725099601591</v>
      </c>
    </row>
    <row r="56" spans="1:16" x14ac:dyDescent="0.25">
      <c r="A56" s="142" t="s">
        <v>685</v>
      </c>
      <c r="B56" s="143"/>
      <c r="C56" s="144"/>
      <c r="D56" s="122">
        <f t="shared" si="2"/>
        <v>4</v>
      </c>
      <c r="E56" s="125">
        <v>45661</v>
      </c>
      <c r="F56" s="123">
        <v>1500</v>
      </c>
      <c r="G56" s="124">
        <f t="shared" ref="G56:G64" si="3">G55</f>
        <v>0.255</v>
      </c>
      <c r="I56" s="37">
        <f t="shared" si="0"/>
        <v>1195.2191235059761</v>
      </c>
      <c r="J56" s="37">
        <f t="shared" si="1"/>
        <v>304.78087649402391</v>
      </c>
    </row>
    <row r="57" spans="1:16" x14ac:dyDescent="0.25">
      <c r="A57" s="142" t="s">
        <v>686</v>
      </c>
      <c r="B57" s="143"/>
      <c r="C57" s="144"/>
      <c r="D57" s="122">
        <f t="shared" si="2"/>
        <v>5</v>
      </c>
      <c r="E57" s="125">
        <v>45661</v>
      </c>
      <c r="F57" s="123">
        <v>1800</v>
      </c>
      <c r="G57" s="124">
        <f t="shared" si="3"/>
        <v>0.255</v>
      </c>
      <c r="I57" s="37">
        <f t="shared" si="0"/>
        <v>1434.2629482071713</v>
      </c>
      <c r="J57" s="37">
        <f t="shared" si="1"/>
        <v>365.73705179282865</v>
      </c>
    </row>
    <row r="58" spans="1:16" x14ac:dyDescent="0.25">
      <c r="A58" s="142" t="s">
        <v>185</v>
      </c>
      <c r="B58" s="143"/>
      <c r="C58" s="144"/>
      <c r="D58" s="122">
        <f t="shared" si="2"/>
        <v>6</v>
      </c>
      <c r="E58" s="125">
        <v>45662</v>
      </c>
      <c r="F58" s="123">
        <v>1800</v>
      </c>
      <c r="G58" s="124">
        <v>0</v>
      </c>
      <c r="I58" s="37">
        <f t="shared" si="0"/>
        <v>1800</v>
      </c>
      <c r="J58" s="37">
        <f t="shared" si="1"/>
        <v>0</v>
      </c>
    </row>
    <row r="59" spans="1:16" x14ac:dyDescent="0.25">
      <c r="A59" s="142" t="s">
        <v>186</v>
      </c>
      <c r="B59" s="143"/>
      <c r="C59" s="144"/>
      <c r="D59" s="122">
        <f t="shared" si="2"/>
        <v>7</v>
      </c>
      <c r="E59" s="125">
        <v>45662</v>
      </c>
      <c r="F59" s="123">
        <v>1000</v>
      </c>
      <c r="G59" s="124">
        <f t="shared" si="3"/>
        <v>0</v>
      </c>
      <c r="I59" s="37">
        <f t="shared" si="0"/>
        <v>1000</v>
      </c>
      <c r="J59" s="37">
        <f t="shared" si="1"/>
        <v>0</v>
      </c>
    </row>
    <row r="60" spans="1:16" x14ac:dyDescent="0.25">
      <c r="A60" s="145"/>
      <c r="B60" s="146"/>
      <c r="C60" s="147"/>
      <c r="D60" s="122"/>
      <c r="E60" s="125"/>
      <c r="F60" s="123"/>
      <c r="G60" s="124">
        <f t="shared" si="3"/>
        <v>0</v>
      </c>
      <c r="I60" s="37">
        <f t="shared" si="0"/>
        <v>0</v>
      </c>
      <c r="J60" s="37">
        <f t="shared" si="1"/>
        <v>0</v>
      </c>
    </row>
    <row r="61" spans="1:16" x14ac:dyDescent="0.25">
      <c r="A61" s="148" t="s">
        <v>45</v>
      </c>
      <c r="B61" s="149"/>
      <c r="C61" s="150"/>
      <c r="D61" s="122"/>
      <c r="E61" s="125"/>
      <c r="F61" s="123"/>
      <c r="G61" s="114"/>
    </row>
    <row r="62" spans="1:16" x14ac:dyDescent="0.25">
      <c r="A62" s="151" t="s">
        <v>187</v>
      </c>
      <c r="B62" s="152"/>
      <c r="C62" s="153"/>
      <c r="D62" s="122">
        <v>8</v>
      </c>
      <c r="E62" s="125">
        <v>46022</v>
      </c>
      <c r="F62" s="123">
        <f>25%*(SUM(F7:F14))</f>
        <v>398.40637450199205</v>
      </c>
      <c r="G62" s="124">
        <f t="shared" si="3"/>
        <v>0</v>
      </c>
    </row>
    <row r="63" spans="1:16" ht="34.5" customHeight="1" x14ac:dyDescent="0.25">
      <c r="A63" s="139" t="s">
        <v>189</v>
      </c>
      <c r="B63" s="140"/>
      <c r="C63" s="141"/>
      <c r="D63" s="122">
        <f>D62+1</f>
        <v>9</v>
      </c>
      <c r="E63" s="125">
        <v>46022</v>
      </c>
      <c r="F63" s="123">
        <v>200</v>
      </c>
      <c r="G63" s="124">
        <f t="shared" si="3"/>
        <v>0</v>
      </c>
    </row>
    <row r="64" spans="1:16" x14ac:dyDescent="0.25">
      <c r="A64" s="139" t="s">
        <v>188</v>
      </c>
      <c r="B64" s="140"/>
      <c r="C64" s="141"/>
      <c r="D64" s="122">
        <f>D63+1</f>
        <v>10</v>
      </c>
      <c r="E64" s="125"/>
      <c r="F64" s="123"/>
      <c r="G64" s="124">
        <f t="shared" si="3"/>
        <v>0</v>
      </c>
    </row>
    <row r="66" spans="1:22" x14ac:dyDescent="0.25">
      <c r="A66" s="1" t="s">
        <v>676</v>
      </c>
    </row>
    <row r="67" spans="1:22" x14ac:dyDescent="0.25">
      <c r="A67" t="s">
        <v>677</v>
      </c>
      <c r="D67" s="113" t="s">
        <v>679</v>
      </c>
    </row>
    <row r="68" spans="1:22" x14ac:dyDescent="0.25">
      <c r="A68" t="s">
        <v>678</v>
      </c>
      <c r="D68" s="113" t="s">
        <v>679</v>
      </c>
    </row>
    <row r="69" spans="1:22" x14ac:dyDescent="0.25">
      <c r="A69" t="s">
        <v>674</v>
      </c>
      <c r="D69" s="113" t="s">
        <v>683</v>
      </c>
    </row>
    <row r="79" spans="1:22" x14ac:dyDescent="0.25">
      <c r="R79" s="28"/>
      <c r="S79" s="38"/>
      <c r="T79" s="38"/>
      <c r="U79" s="38"/>
      <c r="V79" s="53"/>
    </row>
  </sheetData>
  <sheetProtection algorithmName="SHA-512" hashValue="+5KVV0LUCGcSdzzBuwkIQhR3RKgQ97gEQ+njYRThuLhMwUli1Y0j22HB7ApYFCBI/collLEvPgwj3xqw49BFEQ==" saltValue="TowehHwnQYFwhhSb2o1utA==" spinCount="100000" sheet="1" objects="1" scenarios="1" selectLockedCells="1" selectUnlockedCells="1"/>
  <mergeCells count="45">
    <mergeCell ref="A64:C64"/>
    <mergeCell ref="O36:P36"/>
    <mergeCell ref="O37:P37"/>
    <mergeCell ref="F36:G36"/>
    <mergeCell ref="F22:G22"/>
    <mergeCell ref="F23:G23"/>
    <mergeCell ref="A59:C59"/>
    <mergeCell ref="I35:M35"/>
    <mergeCell ref="A53:C53"/>
    <mergeCell ref="A54:C54"/>
    <mergeCell ref="A55:C55"/>
    <mergeCell ref="A56:C56"/>
    <mergeCell ref="A57:C57"/>
    <mergeCell ref="F37:G37"/>
    <mergeCell ref="I36:J36"/>
    <mergeCell ref="I37:J37"/>
    <mergeCell ref="S32:T32"/>
    <mergeCell ref="R22:S22"/>
    <mergeCell ref="T22:U22"/>
    <mergeCell ref="O4:P4"/>
    <mergeCell ref="O5:P5"/>
    <mergeCell ref="R3:U3"/>
    <mergeCell ref="I22:J22"/>
    <mergeCell ref="I23:J23"/>
    <mergeCell ref="L22:M22"/>
    <mergeCell ref="L23:M23"/>
    <mergeCell ref="R4:S4"/>
    <mergeCell ref="T4:U4"/>
    <mergeCell ref="R21:U21"/>
    <mergeCell ref="O22:P22"/>
    <mergeCell ref="O23:P23"/>
    <mergeCell ref="F4:G4"/>
    <mergeCell ref="I4:J4"/>
    <mergeCell ref="F5:G5"/>
    <mergeCell ref="I5:J5"/>
    <mergeCell ref="L4:M4"/>
    <mergeCell ref="L5:M5"/>
    <mergeCell ref="A61:C61"/>
    <mergeCell ref="A62:C62"/>
    <mergeCell ref="A63:C63"/>
    <mergeCell ref="L36:M36"/>
    <mergeCell ref="L37:M37"/>
    <mergeCell ref="A58:C58"/>
    <mergeCell ref="A60:C60"/>
    <mergeCell ref="A51:C51"/>
  </mergeCells>
  <conditionalFormatting sqref="S5:S6">
    <cfRule type="cellIs" dxfId="12" priority="3" operator="lessThan">
      <formula>0</formula>
    </cfRule>
  </conditionalFormatting>
  <conditionalFormatting sqref="S8">
    <cfRule type="cellIs" dxfId="11" priority="6" operator="lessThan">
      <formula>0</formula>
    </cfRule>
  </conditionalFormatting>
  <conditionalFormatting sqref="S29">
    <cfRule type="cellIs" dxfId="10" priority="1" operator="lessThan">
      <formula>0</formula>
    </cfRule>
  </conditionalFormatting>
  <conditionalFormatting sqref="T11:T14">
    <cfRule type="cellIs" dxfId="9" priority="5" operator="lessThan">
      <formula>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AF089-2429-427D-A349-479A11C9E4E8}">
  <dimension ref="A1:CJ181"/>
  <sheetViews>
    <sheetView zoomScale="80" zoomScaleNormal="80" workbookViewId="0">
      <selection activeCell="K25" sqref="K25"/>
    </sheetView>
  </sheetViews>
  <sheetFormatPr defaultColWidth="8.85546875" defaultRowHeight="15" x14ac:dyDescent="0.25"/>
  <cols>
    <col min="1" max="1" width="24.140625" customWidth="1"/>
    <col min="2" max="2" width="9.28515625" customWidth="1"/>
    <col min="3" max="3" width="11.5703125" customWidth="1"/>
    <col min="4" max="4" width="9.7109375" customWidth="1"/>
    <col min="5" max="5" width="12.5703125" customWidth="1"/>
    <col min="6" max="6" width="14.5703125" customWidth="1"/>
    <col min="7" max="7" width="5.140625" customWidth="1"/>
    <col min="8" max="8" width="13.7109375" customWidth="1"/>
    <col min="9" max="9" width="11.85546875" customWidth="1"/>
    <col min="10" max="10" width="6.140625" customWidth="1"/>
    <col min="11" max="11" width="12.85546875" bestFit="1" customWidth="1"/>
    <col min="12" max="12" width="15.42578125" customWidth="1"/>
    <col min="13" max="13" width="4.85546875" customWidth="1"/>
    <col min="14" max="14" width="13.5703125" customWidth="1"/>
    <col min="15" max="15" width="14.7109375" customWidth="1"/>
    <col min="16" max="16" width="5.28515625" customWidth="1"/>
    <col min="17" max="17" width="15.85546875" customWidth="1"/>
    <col min="18" max="18" width="16.28515625" customWidth="1"/>
    <col min="19" max="19" width="5.28515625" customWidth="1"/>
    <col min="20" max="20" width="11.85546875" bestFit="1" customWidth="1"/>
    <col min="21" max="21" width="11.85546875" customWidth="1"/>
    <col min="22" max="22" width="4.7109375" customWidth="1"/>
    <col min="23" max="23" width="12.28515625" customWidth="1"/>
    <col min="24" max="24" width="15.28515625" customWidth="1"/>
    <col min="25" max="25" width="5.85546875" customWidth="1"/>
    <col min="26" max="26" width="12" customWidth="1"/>
    <col min="27" max="27" width="12.28515625" customWidth="1"/>
    <col min="28" max="28" width="5.28515625" customWidth="1"/>
    <col min="29" max="30" width="12.28515625" customWidth="1"/>
    <col min="31" max="31" width="7.85546875" customWidth="1"/>
    <col min="32" max="32" width="3.85546875" customWidth="1"/>
    <col min="33" max="33" width="19.28515625" customWidth="1"/>
    <col min="34" max="34" width="8" customWidth="1"/>
    <col min="35" max="35" width="17.28515625" customWidth="1"/>
    <col min="36" max="36" width="21" customWidth="1"/>
    <col min="37" max="37" width="3.85546875" customWidth="1"/>
    <col min="42" max="42" width="4.28515625" customWidth="1"/>
    <col min="43" max="43" width="4.140625" customWidth="1"/>
    <col min="47" max="47" width="14.140625" customWidth="1"/>
    <col min="48" max="48" width="14.28515625" customWidth="1"/>
    <col min="49" max="49" width="14.7109375" customWidth="1"/>
  </cols>
  <sheetData>
    <row r="1" spans="1:49" x14ac:dyDescent="0.25">
      <c r="A1" t="s">
        <v>89</v>
      </c>
      <c r="B1" s="190" t="s">
        <v>687</v>
      </c>
      <c r="C1" s="190"/>
      <c r="D1" s="190"/>
      <c r="E1" s="190"/>
    </row>
    <row r="2" spans="1:49" x14ac:dyDescent="0.25">
      <c r="A2" s="1" t="s">
        <v>0</v>
      </c>
      <c r="B2" s="1"/>
    </row>
    <row r="3" spans="1:49" ht="15.75" thickBot="1" x14ac:dyDescent="0.3">
      <c r="E3" s="178"/>
      <c r="F3" s="179"/>
      <c r="H3" s="178"/>
      <c r="I3" s="179"/>
      <c r="K3" s="178"/>
      <c r="L3" s="179"/>
      <c r="N3" s="178"/>
      <c r="O3" s="179"/>
      <c r="Q3" s="178"/>
      <c r="R3" s="179"/>
      <c r="T3" s="178"/>
      <c r="U3" s="179"/>
    </row>
    <row r="4" spans="1:49" ht="15.75" thickBot="1" x14ac:dyDescent="0.3">
      <c r="A4" s="1" t="s">
        <v>1</v>
      </c>
      <c r="B4" s="1"/>
      <c r="E4" s="180" t="s">
        <v>2</v>
      </c>
      <c r="F4" s="181"/>
      <c r="H4" s="180" t="s">
        <v>3</v>
      </c>
      <c r="I4" s="181"/>
      <c r="K4" s="180" t="s">
        <v>4</v>
      </c>
      <c r="L4" s="181"/>
      <c r="N4" s="188" t="s">
        <v>125</v>
      </c>
      <c r="O4" s="189"/>
      <c r="Q4" s="180" t="s">
        <v>97</v>
      </c>
      <c r="R4" s="181"/>
      <c r="T4" s="180" t="s">
        <v>6</v>
      </c>
      <c r="U4" s="181"/>
      <c r="AB4" s="25"/>
      <c r="AC4" s="25"/>
      <c r="AD4" s="25"/>
      <c r="AE4" s="25"/>
      <c r="AG4" s="38"/>
      <c r="AH4" s="170" t="s">
        <v>44</v>
      </c>
      <c r="AI4" s="171"/>
      <c r="AJ4" s="171"/>
      <c r="AK4" s="172"/>
      <c r="AL4" s="38"/>
      <c r="AM4" s="38"/>
      <c r="AN4" s="38"/>
      <c r="AO4" s="38"/>
      <c r="AP4" s="28" t="s">
        <v>44</v>
      </c>
      <c r="AQ4" s="38"/>
      <c r="AR4" s="38"/>
      <c r="AS4" s="38"/>
      <c r="AT4" s="38"/>
      <c r="AU4" s="38"/>
      <c r="AV4" s="38"/>
      <c r="AW4" s="38"/>
    </row>
    <row r="5" spans="1:49" ht="15.75" thickBot="1" x14ac:dyDescent="0.3">
      <c r="A5" s="2" t="s">
        <v>9</v>
      </c>
      <c r="D5" s="3" t="s">
        <v>10</v>
      </c>
      <c r="E5" s="4" t="s">
        <v>95</v>
      </c>
      <c r="F5" s="5" t="s">
        <v>94</v>
      </c>
      <c r="G5" s="3" t="s">
        <v>10</v>
      </c>
      <c r="H5" s="4" t="s">
        <v>95</v>
      </c>
      <c r="I5" s="5" t="s">
        <v>94</v>
      </c>
      <c r="J5" s="3" t="s">
        <v>10</v>
      </c>
      <c r="K5" s="4" t="s">
        <v>95</v>
      </c>
      <c r="L5" s="5" t="s">
        <v>94</v>
      </c>
      <c r="M5" s="3" t="s">
        <v>10</v>
      </c>
      <c r="N5" s="77" t="s">
        <v>95</v>
      </c>
      <c r="O5" s="5" t="s">
        <v>94</v>
      </c>
      <c r="P5" s="3" t="s">
        <v>10</v>
      </c>
      <c r="Q5" s="4" t="s">
        <v>95</v>
      </c>
      <c r="R5" s="5" t="s">
        <v>94</v>
      </c>
      <c r="S5" s="3" t="s">
        <v>10</v>
      </c>
      <c r="T5" s="4" t="s">
        <v>95</v>
      </c>
      <c r="U5" s="5" t="s">
        <v>94</v>
      </c>
      <c r="AB5" s="54"/>
      <c r="AC5" s="54"/>
      <c r="AD5" s="54"/>
      <c r="AE5" s="54"/>
      <c r="AG5" s="38"/>
      <c r="AH5" s="174" t="s">
        <v>87</v>
      </c>
      <c r="AI5" s="175"/>
      <c r="AJ5" s="176" t="s">
        <v>88</v>
      </c>
      <c r="AK5" s="177"/>
      <c r="AL5" s="38"/>
      <c r="AM5" s="38"/>
      <c r="AN5" s="38"/>
      <c r="AO5" s="38"/>
      <c r="AP5" s="38" t="s">
        <v>1</v>
      </c>
      <c r="AQ5" s="38"/>
      <c r="AR5" s="38"/>
      <c r="AS5" s="38"/>
      <c r="AT5" s="38"/>
      <c r="AU5" s="38"/>
      <c r="AV5" s="38"/>
      <c r="AW5" s="38"/>
    </row>
    <row r="6" spans="1:49" x14ac:dyDescent="0.25">
      <c r="E6" s="6"/>
      <c r="F6" s="7"/>
      <c r="H6" s="6"/>
      <c r="I6" s="7"/>
      <c r="J6">
        <v>2</v>
      </c>
      <c r="K6" s="6">
        <f>I120</f>
        <v>3984.0637450199206</v>
      </c>
      <c r="L6" s="7"/>
      <c r="N6" s="6"/>
      <c r="O6" s="7"/>
      <c r="P6">
        <v>23</v>
      </c>
      <c r="Q6" s="6">
        <f>F147</f>
        <v>1750</v>
      </c>
      <c r="R6" s="7"/>
      <c r="T6" s="6"/>
      <c r="U6" s="7"/>
      <c r="AB6" s="7"/>
      <c r="AC6" s="7"/>
      <c r="AD6" s="7"/>
      <c r="AE6" s="7"/>
      <c r="AG6" s="44" t="str">
        <f>E4</f>
        <v>Maa-alueet</v>
      </c>
      <c r="AH6" s="38"/>
      <c r="AI6" s="42">
        <f>F13</f>
        <v>0</v>
      </c>
      <c r="AK6" s="38"/>
      <c r="AM6" s="38"/>
      <c r="AN6" s="38"/>
      <c r="AO6" s="38"/>
      <c r="AP6" s="38" t="s">
        <v>67</v>
      </c>
      <c r="AQ6" s="38"/>
      <c r="AR6" s="38"/>
      <c r="AS6" s="38"/>
      <c r="AT6" s="38"/>
      <c r="AU6" s="38"/>
      <c r="AV6" s="38"/>
      <c r="AW6" s="38"/>
    </row>
    <row r="7" spans="1:49" x14ac:dyDescent="0.25">
      <c r="E7" s="8"/>
      <c r="F7" s="7"/>
      <c r="H7" s="8"/>
      <c r="I7" s="7"/>
      <c r="J7">
        <v>7</v>
      </c>
      <c r="K7" s="8">
        <f>I125</f>
        <v>3585.6573705179285</v>
      </c>
      <c r="L7" s="7"/>
      <c r="M7" s="9"/>
      <c r="N7" s="8"/>
      <c r="O7" s="7"/>
      <c r="P7" s="9"/>
      <c r="Q7" s="8"/>
      <c r="R7" s="7"/>
      <c r="T7" s="8"/>
      <c r="U7" s="7"/>
      <c r="AB7" s="7"/>
      <c r="AC7" s="7"/>
      <c r="AD7" s="7"/>
      <c r="AE7" s="7"/>
      <c r="AG7" s="44" t="str">
        <f>H4</f>
        <v>Rakenukset</v>
      </c>
      <c r="AH7" s="38"/>
      <c r="AI7" s="42">
        <f>I13</f>
        <v>0</v>
      </c>
      <c r="AK7" s="38"/>
      <c r="AM7" s="38"/>
      <c r="AN7" s="38"/>
      <c r="AO7" s="38"/>
      <c r="AP7" s="38" t="s">
        <v>69</v>
      </c>
      <c r="AQ7" s="38"/>
      <c r="AR7" s="38"/>
      <c r="AS7" s="38"/>
      <c r="AT7" s="38"/>
      <c r="AU7" s="38"/>
      <c r="AV7" s="38"/>
      <c r="AW7" s="38"/>
    </row>
    <row r="8" spans="1:49" x14ac:dyDescent="0.25">
      <c r="E8" s="8"/>
      <c r="F8" s="7"/>
      <c r="H8" s="8"/>
      <c r="I8" s="7"/>
      <c r="J8">
        <v>21</v>
      </c>
      <c r="K8" s="8"/>
      <c r="L8" s="7">
        <f>I144</f>
        <v>756.972111553785</v>
      </c>
      <c r="N8" s="8"/>
      <c r="O8" s="7"/>
      <c r="Q8" s="8"/>
      <c r="R8" s="7"/>
      <c r="T8" s="8"/>
      <c r="U8" s="7"/>
      <c r="AB8" s="7"/>
      <c r="AC8" s="7"/>
      <c r="AD8" s="7"/>
      <c r="AE8" s="7"/>
      <c r="AG8" s="44" t="str">
        <f>K4</f>
        <v>Koneet ja laitteet</v>
      </c>
      <c r="AH8" s="38"/>
      <c r="AI8" s="42">
        <f>IF(L13&gt;0,L13,IF(K13&gt;0,K13*-1,0))</f>
        <v>6812.7490039840641</v>
      </c>
      <c r="AK8" s="38"/>
      <c r="AM8" s="38"/>
      <c r="AN8" s="38"/>
      <c r="AO8" s="38"/>
      <c r="AP8" s="38" t="s">
        <v>75</v>
      </c>
      <c r="AQ8" s="38"/>
      <c r="AR8" s="38"/>
      <c r="AS8" s="38"/>
      <c r="AT8" s="38"/>
      <c r="AU8" s="38"/>
      <c r="AV8" s="38"/>
      <c r="AW8" s="38"/>
    </row>
    <row r="9" spans="1:49" x14ac:dyDescent="0.25">
      <c r="E9" s="8"/>
      <c r="F9" s="7"/>
      <c r="H9" s="8"/>
      <c r="I9" s="7"/>
      <c r="K9" s="8"/>
      <c r="L9" s="7"/>
      <c r="N9" s="8"/>
      <c r="O9" s="7"/>
      <c r="Q9" s="8"/>
      <c r="R9" s="7"/>
      <c r="T9" s="8"/>
      <c r="U9" s="7"/>
      <c r="AB9" s="7"/>
      <c r="AC9" s="7"/>
      <c r="AD9" s="7"/>
      <c r="AE9" s="7"/>
      <c r="AG9" s="44" t="str">
        <f>N4</f>
        <v>Aine ja tarvikevarasto 1</v>
      </c>
      <c r="AH9" s="38"/>
      <c r="AI9" s="42">
        <f>IF(O13&gt;0,O13,IF(N13&gt;0,N13*-1,0))</f>
        <v>0</v>
      </c>
      <c r="AK9" s="38"/>
      <c r="AM9" s="38"/>
      <c r="AN9" s="38"/>
      <c r="AO9" s="38"/>
      <c r="AP9" s="38"/>
      <c r="AQ9" s="38" t="s">
        <v>71</v>
      </c>
      <c r="AR9" s="38"/>
      <c r="AS9" s="38"/>
      <c r="AT9" s="38"/>
      <c r="AU9" s="38"/>
      <c r="AV9" s="49">
        <f>AI6</f>
        <v>0</v>
      </c>
      <c r="AW9" s="38"/>
    </row>
    <row r="10" spans="1:49" x14ac:dyDescent="0.25">
      <c r="E10" s="8"/>
      <c r="F10" s="7"/>
      <c r="H10" s="8"/>
      <c r="I10" s="7"/>
      <c r="K10" s="8"/>
      <c r="L10" s="7"/>
      <c r="N10" s="8"/>
      <c r="O10" s="7"/>
      <c r="Q10" s="8"/>
      <c r="R10" s="7"/>
      <c r="T10" s="8"/>
      <c r="U10" s="7"/>
      <c r="AB10" s="7"/>
      <c r="AC10" s="7"/>
      <c r="AD10" s="7"/>
      <c r="AE10" s="7"/>
      <c r="AG10" s="44" t="str">
        <f>Q4</f>
        <v>Valmiit tuotteet varasto 2</v>
      </c>
      <c r="AH10" s="38"/>
      <c r="AI10" s="42">
        <f>IF(R13&gt;0,R13,IF(Q13&gt;0,Q13*-1,0))</f>
        <v>1750</v>
      </c>
      <c r="AK10" s="38"/>
      <c r="AM10" s="38"/>
      <c r="AN10" s="38"/>
      <c r="AO10" s="38"/>
      <c r="AP10" s="38"/>
      <c r="AQ10" s="38" t="s">
        <v>68</v>
      </c>
      <c r="AR10" s="38"/>
      <c r="AS10" s="38"/>
      <c r="AT10" s="38"/>
      <c r="AU10" s="38"/>
      <c r="AV10" s="49">
        <f>AI7</f>
        <v>0</v>
      </c>
      <c r="AW10" s="38"/>
    </row>
    <row r="11" spans="1:49" x14ac:dyDescent="0.25">
      <c r="E11" s="8"/>
      <c r="F11" s="7"/>
      <c r="H11" s="8"/>
      <c r="I11" s="7"/>
      <c r="K11" s="8"/>
      <c r="L11" s="7"/>
      <c r="N11" s="8"/>
      <c r="O11" s="7"/>
      <c r="Q11" s="8"/>
      <c r="R11" s="7"/>
      <c r="T11" s="8"/>
      <c r="U11" s="7"/>
      <c r="AB11" s="7"/>
      <c r="AC11" s="7"/>
      <c r="AD11" s="7"/>
      <c r="AE11" s="7"/>
      <c r="AG11" s="44" t="str">
        <f>T4</f>
        <v>Muut saamiset</v>
      </c>
      <c r="AH11" s="38"/>
      <c r="AI11" s="42">
        <f>U13</f>
        <v>0</v>
      </c>
      <c r="AK11" s="38"/>
      <c r="AM11" s="38"/>
      <c r="AN11" s="38"/>
      <c r="AO11" s="38"/>
      <c r="AP11" s="38"/>
      <c r="AQ11" s="38" t="s">
        <v>70</v>
      </c>
      <c r="AR11" s="38"/>
      <c r="AS11" s="38"/>
      <c r="AT11" s="38"/>
      <c r="AU11" s="38"/>
      <c r="AV11" s="49">
        <f>AI8</f>
        <v>6812.7490039840641</v>
      </c>
      <c r="AW11" s="38"/>
    </row>
    <row r="12" spans="1:49" ht="15.75" thickBot="1" x14ac:dyDescent="0.3">
      <c r="E12" s="16">
        <f>SUM(E6:E11)</f>
        <v>0</v>
      </c>
      <c r="F12" s="16">
        <f>SUM(F6:F11)</f>
        <v>0</v>
      </c>
      <c r="H12" s="16">
        <f>SUM(H6:H11)</f>
        <v>0</v>
      </c>
      <c r="I12" s="16">
        <f>SUM(I6:I11)</f>
        <v>0</v>
      </c>
      <c r="K12" s="16">
        <f>SUM(K6:K11)</f>
        <v>7569.7211155378491</v>
      </c>
      <c r="L12" s="16">
        <f>SUM(L6:L11)</f>
        <v>756.972111553785</v>
      </c>
      <c r="N12" s="16">
        <f>SUM(N6:N11)</f>
        <v>0</v>
      </c>
      <c r="O12" s="16">
        <f>SUM(O6:O11)</f>
        <v>0</v>
      </c>
      <c r="Q12" s="16">
        <f>SUM(Q6:Q11)</f>
        <v>1750</v>
      </c>
      <c r="R12" s="16">
        <f>SUM(R6:R11)</f>
        <v>0</v>
      </c>
      <c r="T12" s="16">
        <f>SUM(T6:T11)</f>
        <v>0</v>
      </c>
      <c r="U12" s="16">
        <f>SUM(U6:U11)</f>
        <v>0</v>
      </c>
      <c r="AB12" s="55"/>
      <c r="AC12" s="55"/>
      <c r="AD12" s="55"/>
      <c r="AE12" s="55"/>
      <c r="AG12" s="44" t="str">
        <f>E15</f>
        <v>Myyntisaamiset</v>
      </c>
      <c r="AH12" s="38"/>
      <c r="AI12" s="42">
        <f>F34</f>
        <v>0</v>
      </c>
      <c r="AK12" s="38"/>
      <c r="AM12" s="38"/>
      <c r="AN12" s="38"/>
      <c r="AO12" s="38"/>
      <c r="AP12" s="38"/>
      <c r="AQ12" s="38" t="s">
        <v>72</v>
      </c>
      <c r="AR12" s="38"/>
      <c r="AS12" s="38"/>
      <c r="AT12" s="38"/>
      <c r="AU12" s="38"/>
      <c r="AV12" s="52">
        <f>0</f>
        <v>0</v>
      </c>
      <c r="AW12" s="38"/>
    </row>
    <row r="13" spans="1:49" ht="15.75" thickTop="1" x14ac:dyDescent="0.25">
      <c r="E13" s="10">
        <f>IF(E12&lt;F12,F12-E12,0)</f>
        <v>0</v>
      </c>
      <c r="F13" s="10">
        <f>IF(F12&lt;E12,E12-F12,0)</f>
        <v>0</v>
      </c>
      <c r="H13" s="10">
        <f>IF(H12&lt;I12,I12-H12,0)</f>
        <v>0</v>
      </c>
      <c r="I13" s="10">
        <f>IF(I12&lt;H12,H12-I12,0)</f>
        <v>0</v>
      </c>
      <c r="K13" s="10">
        <f>IF(K12&lt;L12,L12-K12,0)</f>
        <v>0</v>
      </c>
      <c r="L13" s="10">
        <f>IF(L12&lt;K12,K12-L12,0)</f>
        <v>6812.7490039840641</v>
      </c>
      <c r="N13" s="10">
        <f>IF(N12&lt;O12,O12-N12,0)</f>
        <v>0</v>
      </c>
      <c r="O13" s="10">
        <f>IF(O12&lt;N12,N12-O12,0)</f>
        <v>0</v>
      </c>
      <c r="Q13" s="10">
        <f>IF(Q12&lt;R12,R12-Q12,0)</f>
        <v>0</v>
      </c>
      <c r="R13" s="10">
        <f>IF(R12&lt;Q12,Q12-R12,0)</f>
        <v>1750</v>
      </c>
      <c r="T13" s="10">
        <f>IF(T12&lt;U12,U12-T12,0)</f>
        <v>0</v>
      </c>
      <c r="U13" s="10">
        <f>IF(U12&lt;T12,T12-U12,0)</f>
        <v>0</v>
      </c>
      <c r="AB13" s="20"/>
      <c r="AC13" s="20"/>
      <c r="AD13" s="20"/>
      <c r="AE13" s="20"/>
      <c r="AG13" s="44" t="str">
        <f>H15</f>
        <v>Siirtosaamiset</v>
      </c>
      <c r="AH13" s="38"/>
      <c r="AI13" s="42">
        <f>I34</f>
        <v>0</v>
      </c>
      <c r="AK13" s="38"/>
      <c r="AM13" s="38"/>
      <c r="AN13" s="38"/>
      <c r="AO13" s="38"/>
      <c r="AP13" s="38" t="s">
        <v>73</v>
      </c>
      <c r="AQ13" s="38"/>
      <c r="AR13" s="38"/>
      <c r="AS13" s="38"/>
      <c r="AT13" s="38"/>
      <c r="AU13" s="38"/>
      <c r="AV13" s="38"/>
      <c r="AW13" s="38"/>
    </row>
    <row r="14" spans="1:49" ht="15.75" thickBot="1" x14ac:dyDescent="0.3">
      <c r="E14" s="178"/>
      <c r="F14" s="179"/>
      <c r="H14" s="178"/>
      <c r="I14" s="179"/>
      <c r="K14" s="178"/>
      <c r="L14" s="179"/>
      <c r="N14" s="178"/>
      <c r="O14" s="179"/>
      <c r="AG14" s="44" t="str">
        <f>K15</f>
        <v>Kassa</v>
      </c>
      <c r="AH14" s="38"/>
      <c r="AI14" s="42">
        <f>IF(L34&gt;0,L34,IF(K34&gt;0,K34*-1,0))</f>
        <v>0</v>
      </c>
      <c r="AK14" s="38"/>
      <c r="AM14" s="38"/>
      <c r="AN14" s="38"/>
      <c r="AO14" s="38"/>
      <c r="AP14" s="38"/>
      <c r="AQ14" s="38" t="s">
        <v>5</v>
      </c>
      <c r="AR14" s="38"/>
      <c r="AS14" s="38"/>
      <c r="AT14" s="38"/>
      <c r="AU14" s="38"/>
      <c r="AV14" s="49">
        <f>AI9</f>
        <v>0</v>
      </c>
      <c r="AW14" s="38"/>
    </row>
    <row r="15" spans="1:49" ht="15.75" thickBot="1" x14ac:dyDescent="0.3">
      <c r="E15" s="180" t="s">
        <v>7</v>
      </c>
      <c r="F15" s="181"/>
      <c r="H15" s="180" t="s">
        <v>8</v>
      </c>
      <c r="I15" s="181"/>
      <c r="K15" s="180" t="s">
        <v>11</v>
      </c>
      <c r="L15" s="181"/>
      <c r="N15" s="188" t="s">
        <v>191</v>
      </c>
      <c r="O15" s="189"/>
      <c r="AG15" s="44" t="str">
        <f>N15</f>
        <v>Pankkitili Nordea-1234567</v>
      </c>
      <c r="AH15" s="38"/>
      <c r="AI15" s="42">
        <f>IF(O34&gt;0,O34,IF(N34&gt;0,N34*-1,0))</f>
        <v>14095.25</v>
      </c>
      <c r="AK15" s="38"/>
      <c r="AM15" s="38"/>
      <c r="AN15" s="38"/>
      <c r="AO15" s="38"/>
      <c r="AP15" s="38"/>
      <c r="AQ15" s="38" t="s">
        <v>74</v>
      </c>
      <c r="AR15" s="38"/>
      <c r="AS15" s="38"/>
      <c r="AT15" s="38"/>
      <c r="AU15" s="38"/>
      <c r="AV15" s="49">
        <f>AI10</f>
        <v>1750</v>
      </c>
      <c r="AW15" s="38"/>
    </row>
    <row r="16" spans="1:49" ht="15.75" thickBot="1" x14ac:dyDescent="0.3">
      <c r="D16" s="3" t="s">
        <v>10</v>
      </c>
      <c r="E16" s="4" t="s">
        <v>95</v>
      </c>
      <c r="F16" s="5" t="s">
        <v>94</v>
      </c>
      <c r="G16" s="3" t="s">
        <v>10</v>
      </c>
      <c r="H16" s="4" t="s">
        <v>95</v>
      </c>
      <c r="I16" s="5" t="s">
        <v>94</v>
      </c>
      <c r="J16" s="3" t="s">
        <v>10</v>
      </c>
      <c r="K16" s="4" t="s">
        <v>95</v>
      </c>
      <c r="L16" s="5" t="s">
        <v>94</v>
      </c>
      <c r="M16" s="3" t="s">
        <v>10</v>
      </c>
      <c r="N16" s="4" t="s">
        <v>95</v>
      </c>
      <c r="O16" s="5" t="s">
        <v>94</v>
      </c>
      <c r="AG16" s="38"/>
      <c r="AH16" s="38"/>
      <c r="AI16" s="42">
        <f>O130</f>
        <v>0</v>
      </c>
      <c r="AK16" s="38"/>
      <c r="AM16" s="38"/>
      <c r="AN16" s="38"/>
      <c r="AO16" s="38"/>
      <c r="AP16" s="38"/>
      <c r="AQ16" s="38" t="s">
        <v>7</v>
      </c>
      <c r="AR16" s="38"/>
      <c r="AS16" s="38"/>
      <c r="AT16" s="38"/>
      <c r="AU16" s="38"/>
      <c r="AV16" s="49">
        <f>AI12</f>
        <v>0</v>
      </c>
      <c r="AW16" s="38"/>
    </row>
    <row r="17" spans="4:49" x14ac:dyDescent="0.25">
      <c r="D17">
        <v>6</v>
      </c>
      <c r="E17" s="6">
        <f>F124</f>
        <v>65</v>
      </c>
      <c r="F17" s="7"/>
      <c r="H17" s="6"/>
      <c r="I17" s="7"/>
      <c r="K17" s="6"/>
      <c r="L17" s="7"/>
      <c r="M17">
        <v>1</v>
      </c>
      <c r="N17" s="6">
        <v>6500</v>
      </c>
      <c r="O17" s="7"/>
      <c r="AG17" s="38"/>
      <c r="AH17" s="38"/>
      <c r="AI17" s="42">
        <f>L142</f>
        <v>0</v>
      </c>
      <c r="AK17" s="38"/>
      <c r="AM17" s="38"/>
      <c r="AN17" s="38"/>
      <c r="AO17" s="38"/>
      <c r="AP17" s="38"/>
      <c r="AQ17" s="38" t="s">
        <v>76</v>
      </c>
      <c r="AR17" s="38"/>
      <c r="AS17" s="38"/>
      <c r="AT17" s="38"/>
      <c r="AU17" s="38"/>
      <c r="AV17" s="49">
        <f>AI11</f>
        <v>0</v>
      </c>
      <c r="AW17" s="38"/>
    </row>
    <row r="18" spans="4:49" x14ac:dyDescent="0.25">
      <c r="D18">
        <v>8</v>
      </c>
      <c r="E18" s="8">
        <f>F126</f>
        <v>7000</v>
      </c>
      <c r="F18" s="7"/>
      <c r="H18" s="8"/>
      <c r="I18" s="7"/>
      <c r="K18" s="8"/>
      <c r="L18" s="7"/>
      <c r="M18">
        <v>2</v>
      </c>
      <c r="N18" s="8"/>
      <c r="O18" s="7">
        <f>F120</f>
        <v>5000</v>
      </c>
      <c r="AG18" s="38"/>
      <c r="AH18" s="38"/>
      <c r="AI18" s="42">
        <f>R130</f>
        <v>0</v>
      </c>
      <c r="AJ18" s="38"/>
      <c r="AK18" s="38"/>
      <c r="AL18" s="38"/>
      <c r="AM18" s="38"/>
      <c r="AN18" s="38"/>
      <c r="AO18" s="38"/>
      <c r="AP18" s="38"/>
      <c r="AQ18" s="38" t="s">
        <v>8</v>
      </c>
      <c r="AR18" s="38"/>
      <c r="AS18" s="38"/>
      <c r="AT18" s="38"/>
      <c r="AU18" s="38"/>
      <c r="AV18" s="49">
        <f>AI13</f>
        <v>0</v>
      </c>
      <c r="AW18" s="38"/>
    </row>
    <row r="19" spans="4:49" x14ac:dyDescent="0.25">
      <c r="D19">
        <v>9</v>
      </c>
      <c r="E19" s="8"/>
      <c r="F19" s="7">
        <v>65</v>
      </c>
      <c r="H19" s="8"/>
      <c r="I19" s="7"/>
      <c r="K19" s="11"/>
      <c r="L19" s="12"/>
      <c r="M19">
        <v>5</v>
      </c>
      <c r="N19" s="8">
        <f>F123</f>
        <v>500</v>
      </c>
      <c r="O19" s="7"/>
      <c r="AG19" s="38"/>
      <c r="AH19" s="38"/>
      <c r="AI19" s="42"/>
      <c r="AJ19" s="41">
        <f>E50</f>
        <v>0</v>
      </c>
      <c r="AK19" s="38"/>
      <c r="AL19" s="38" t="str">
        <f>E37</f>
        <v>Osakepääoma</v>
      </c>
      <c r="AM19" s="38"/>
      <c r="AN19" s="38"/>
      <c r="AO19" s="38"/>
      <c r="AP19" s="38"/>
      <c r="AQ19" s="38" t="s">
        <v>77</v>
      </c>
      <c r="AR19" s="38"/>
      <c r="AS19" s="38"/>
      <c r="AT19" s="38"/>
      <c r="AU19" s="38"/>
      <c r="AV19" s="49">
        <f>AI14+AI15</f>
        <v>14095.25</v>
      </c>
      <c r="AW19" s="38"/>
    </row>
    <row r="20" spans="4:49" x14ac:dyDescent="0.25">
      <c r="D20">
        <v>10</v>
      </c>
      <c r="E20" s="8"/>
      <c r="F20" s="7">
        <v>7000</v>
      </c>
      <c r="H20" s="8"/>
      <c r="I20" s="7"/>
      <c r="K20" s="8"/>
      <c r="M20">
        <v>9</v>
      </c>
      <c r="N20" s="8">
        <f>F127</f>
        <v>65</v>
      </c>
      <c r="O20" s="7"/>
      <c r="AG20" s="38"/>
      <c r="AH20" s="38"/>
      <c r="AI20" s="42"/>
      <c r="AJ20" s="41">
        <f>IF(H50&gt;0,H50,IF(I50&gt;0,I50*-1,0))</f>
        <v>0</v>
      </c>
      <c r="AK20" s="38"/>
      <c r="AL20" s="38" t="str">
        <f>H37</f>
        <v>Ed. tilikausien voitot/Tappiot</v>
      </c>
      <c r="AM20" s="38"/>
      <c r="AN20" s="38"/>
      <c r="AO20" s="38"/>
      <c r="AP20" s="28" t="s">
        <v>83</v>
      </c>
      <c r="AQ20" s="38"/>
      <c r="AR20" s="38"/>
      <c r="AS20" s="38"/>
      <c r="AT20" s="38"/>
      <c r="AU20" s="38"/>
      <c r="AV20" s="86">
        <f>SUM(AV9:AV19)</f>
        <v>22657.999003984063</v>
      </c>
      <c r="AW20" s="38"/>
    </row>
    <row r="21" spans="4:49" x14ac:dyDescent="0.25">
      <c r="D21">
        <v>12</v>
      </c>
      <c r="E21" s="8">
        <f>F130</f>
        <v>65</v>
      </c>
      <c r="H21" s="8"/>
      <c r="I21" s="7"/>
      <c r="K21" s="8">
        <v>0</v>
      </c>
      <c r="L21" s="7"/>
      <c r="M21">
        <v>10</v>
      </c>
      <c r="N21" s="69">
        <v>7000</v>
      </c>
      <c r="O21" s="7"/>
      <c r="AG21" s="59"/>
      <c r="AH21" s="38"/>
      <c r="AI21" s="42"/>
      <c r="AJ21" s="41">
        <f>IF(K50&gt;0,K50,IF(L50&gt;0,L50*-1,0))</f>
        <v>8196.4143426294831</v>
      </c>
      <c r="AK21" s="38"/>
      <c r="AL21" s="38" t="str">
        <f>K37&amp;" tai tappio"</f>
        <v>Tilikauden voitto tai tappio</v>
      </c>
      <c r="AM21" s="38"/>
      <c r="AN21" s="38"/>
      <c r="AO21" s="38"/>
      <c r="AP21" s="38"/>
      <c r="AQ21" s="38"/>
      <c r="AR21" s="38"/>
      <c r="AS21" s="38"/>
      <c r="AT21" s="38"/>
      <c r="AU21" s="38"/>
      <c r="AV21" s="38"/>
      <c r="AW21" s="38"/>
    </row>
    <row r="22" spans="4:49" x14ac:dyDescent="0.25">
      <c r="D22">
        <v>13</v>
      </c>
      <c r="E22" s="8"/>
      <c r="F22" s="7">
        <v>65</v>
      </c>
      <c r="H22" s="8"/>
      <c r="I22" s="7"/>
      <c r="K22" s="8"/>
      <c r="L22" s="7"/>
      <c r="M22">
        <v>11</v>
      </c>
      <c r="N22" s="8"/>
      <c r="O22" s="7">
        <v>35</v>
      </c>
      <c r="AG22" s="38"/>
      <c r="AH22" s="38"/>
      <c r="AI22" s="42"/>
      <c r="AJ22" s="41">
        <f>IF(N50&gt;0,N50,IF(O50&gt;0,O50*-1,0))</f>
        <v>1135.4581673306773</v>
      </c>
      <c r="AK22" s="38"/>
      <c r="AL22" s="38" t="str">
        <f>N37</f>
        <v>Poistoero</v>
      </c>
      <c r="AM22" s="38"/>
      <c r="AN22" s="38"/>
      <c r="AO22" s="38"/>
      <c r="AP22" s="38" t="s">
        <v>13</v>
      </c>
      <c r="AQ22" s="38"/>
      <c r="AR22" s="38"/>
      <c r="AS22" s="38"/>
      <c r="AT22" s="38"/>
      <c r="AU22" s="38"/>
      <c r="AV22" s="38"/>
      <c r="AW22" s="38"/>
    </row>
    <row r="23" spans="4:49" x14ac:dyDescent="0.25">
      <c r="D23">
        <v>14</v>
      </c>
      <c r="E23" s="8">
        <f>F134</f>
        <v>5425</v>
      </c>
      <c r="F23" s="7"/>
      <c r="H23" s="8"/>
      <c r="I23" s="7"/>
      <c r="K23" s="8"/>
      <c r="L23" s="7"/>
      <c r="M23">
        <v>13</v>
      </c>
      <c r="N23" s="8">
        <f>F131</f>
        <v>58.5</v>
      </c>
      <c r="O23" s="7"/>
      <c r="AG23" s="38"/>
      <c r="AH23" s="38"/>
      <c r="AI23" s="42"/>
      <c r="AJ23" s="41">
        <f>Q50</f>
        <v>4500</v>
      </c>
      <c r="AK23" s="38"/>
      <c r="AL23" s="38" t="str">
        <f>Q37</f>
        <v>Laina pitkäaik.</v>
      </c>
      <c r="AM23" s="38"/>
      <c r="AN23" s="38"/>
      <c r="AO23" s="38"/>
      <c r="AP23" s="38" t="s">
        <v>78</v>
      </c>
      <c r="AQ23" s="38"/>
      <c r="AR23" s="38"/>
      <c r="AS23" s="38"/>
      <c r="AT23" s="38"/>
      <c r="AU23" s="38"/>
      <c r="AV23" s="38"/>
      <c r="AW23" s="38"/>
    </row>
    <row r="24" spans="4:49" x14ac:dyDescent="0.25">
      <c r="D24">
        <v>15</v>
      </c>
      <c r="E24" s="8"/>
      <c r="F24" s="7">
        <v>5425</v>
      </c>
      <c r="H24" s="8"/>
      <c r="I24" s="7"/>
      <c r="K24" s="8"/>
      <c r="L24" s="7"/>
      <c r="M24">
        <v>15</v>
      </c>
      <c r="N24" s="8">
        <f>F135</f>
        <v>5153.75</v>
      </c>
      <c r="O24" s="7"/>
      <c r="AG24" s="38"/>
      <c r="AH24" s="38"/>
      <c r="AI24" s="42"/>
      <c r="AJ24" s="41">
        <f>T50</f>
        <v>0</v>
      </c>
      <c r="AK24" s="38"/>
      <c r="AL24" s="38" t="str">
        <f>T37</f>
        <v>Laina lyhytaik.</v>
      </c>
      <c r="AM24" s="38"/>
      <c r="AN24" s="38"/>
      <c r="AO24" s="38"/>
      <c r="AQ24" s="38" t="s">
        <v>15</v>
      </c>
      <c r="AR24" s="38"/>
      <c r="AS24" s="38"/>
      <c r="AT24" s="38"/>
      <c r="AU24" s="38"/>
      <c r="AV24" s="49">
        <f>AJ19</f>
        <v>0</v>
      </c>
      <c r="AW24" s="38"/>
    </row>
    <row r="25" spans="4:49" x14ac:dyDescent="0.25">
      <c r="E25" s="8"/>
      <c r="F25" s="7"/>
      <c r="H25" s="8"/>
      <c r="I25" s="7"/>
      <c r="K25" s="8"/>
      <c r="L25" s="7">
        <v>0</v>
      </c>
      <c r="M25">
        <v>17</v>
      </c>
      <c r="N25" s="8"/>
      <c r="O25" s="7">
        <f>F138</f>
        <v>147</v>
      </c>
      <c r="AG25" s="38"/>
      <c r="AH25" s="38"/>
      <c r="AI25" s="42"/>
      <c r="AJ25" s="41">
        <f>W50</f>
        <v>2130</v>
      </c>
      <c r="AK25" s="38"/>
      <c r="AL25" s="38" t="str">
        <f>W37</f>
        <v>Ostovelat</v>
      </c>
      <c r="AM25" s="38"/>
      <c r="AN25" s="38"/>
      <c r="AO25" s="38"/>
      <c r="AP25" s="38"/>
      <c r="AQ25" t="s">
        <v>108</v>
      </c>
      <c r="AV25" s="60">
        <f>AJ28</f>
        <v>6500</v>
      </c>
      <c r="AW25" s="38"/>
    </row>
    <row r="26" spans="4:49" x14ac:dyDescent="0.25">
      <c r="E26" s="8"/>
      <c r="F26" s="7"/>
      <c r="H26" s="8"/>
      <c r="I26" s="7"/>
      <c r="K26" s="8"/>
      <c r="L26" s="7"/>
      <c r="N26" s="8"/>
      <c r="O26" s="7"/>
      <c r="AG26" s="38"/>
      <c r="AH26" s="38"/>
      <c r="AI26" s="42"/>
      <c r="AJ26" s="41">
        <f>Z50</f>
        <v>0</v>
      </c>
      <c r="AK26" s="38"/>
      <c r="AL26" s="38" t="str">
        <f>Z37</f>
        <v>Muut velat</v>
      </c>
      <c r="AM26" s="38"/>
      <c r="AN26" s="38"/>
      <c r="AO26" s="38"/>
      <c r="AP26" s="38"/>
      <c r="AQ26" s="38" t="s">
        <v>79</v>
      </c>
      <c r="AR26" s="38"/>
      <c r="AS26" s="38"/>
      <c r="AT26" s="38"/>
      <c r="AU26" s="38"/>
      <c r="AV26" s="49">
        <f>AJ20</f>
        <v>0</v>
      </c>
      <c r="AW26" s="38"/>
    </row>
    <row r="27" spans="4:49" x14ac:dyDescent="0.25">
      <c r="E27" s="8"/>
      <c r="F27" s="7"/>
      <c r="H27" s="8"/>
      <c r="I27" s="7"/>
      <c r="K27" s="8"/>
      <c r="L27" s="7"/>
      <c r="N27" s="8"/>
      <c r="O27" s="7">
        <v>0</v>
      </c>
      <c r="AG27" s="38"/>
      <c r="AH27" s="38"/>
      <c r="AI27" s="42"/>
      <c r="AJ27" s="41">
        <f>IF(E72&gt;0,E72,0)</f>
        <v>0</v>
      </c>
      <c r="AL27" t="str">
        <f>E53</f>
        <v>Oma pääoma</v>
      </c>
      <c r="AM27" s="38"/>
      <c r="AN27" s="38"/>
      <c r="AO27" s="38"/>
      <c r="AP27" s="38"/>
      <c r="AQ27" s="38" t="s">
        <v>16</v>
      </c>
      <c r="AR27" s="38"/>
      <c r="AS27" s="38"/>
      <c r="AT27" s="38"/>
      <c r="AU27" s="38"/>
      <c r="AV27" s="49">
        <f>AJ21</f>
        <v>8196.4143426294831</v>
      </c>
      <c r="AW27" s="38"/>
    </row>
    <row r="28" spans="4:49" x14ac:dyDescent="0.25">
      <c r="E28" s="8"/>
      <c r="F28" s="7"/>
      <c r="H28" s="8"/>
      <c r="I28" s="7"/>
      <c r="K28" s="8"/>
      <c r="L28" s="7"/>
      <c r="N28" s="8"/>
      <c r="O28" s="7"/>
      <c r="AG28" s="38"/>
      <c r="AH28" s="38"/>
      <c r="AI28" s="42"/>
      <c r="AJ28" s="41">
        <f>IF(H72&gt;0,H72,IF(I72&gt;0,I72*-1,0))</f>
        <v>6500</v>
      </c>
      <c r="AL28" t="str">
        <f>H53</f>
        <v>Yksityissijoitus</v>
      </c>
      <c r="AM28" s="38"/>
      <c r="AN28" s="38"/>
      <c r="AO28" s="38"/>
      <c r="AP28" s="38" t="s">
        <v>80</v>
      </c>
      <c r="AQ28" s="38"/>
      <c r="AR28" s="38"/>
      <c r="AS28" s="38"/>
      <c r="AT28" s="38"/>
      <c r="AU28" s="38"/>
      <c r="AV28" s="38"/>
      <c r="AW28" s="38"/>
    </row>
    <row r="29" spans="4:49" x14ac:dyDescent="0.25">
      <c r="E29" s="8"/>
      <c r="F29" s="7"/>
      <c r="H29" s="8"/>
      <c r="I29" s="7"/>
      <c r="K29" s="8"/>
      <c r="L29" s="7"/>
      <c r="N29" s="8"/>
      <c r="O29" s="7"/>
      <c r="AG29" s="38"/>
      <c r="AH29" s="2" t="str">
        <f>IF(AJ29&gt;0,"Alvia maksettava valtiolle!",IF(AJ29&lt;0,"Valtio palauttaa Alvia",0))</f>
        <v>Alvia maksettava valtiolle!</v>
      </c>
      <c r="AI29" s="42"/>
      <c r="AJ29" s="41">
        <f>IF(K72&gt;0,K72,IF(L72&gt;0,L72*-1,0))</f>
        <v>196.1264940239048</v>
      </c>
      <c r="AK29" s="38"/>
      <c r="AL29" s="38" t="str">
        <f>K53</f>
        <v>Alv kk-saldokertymä</v>
      </c>
      <c r="AM29" s="38"/>
      <c r="AN29" s="38"/>
      <c r="AO29" s="38"/>
      <c r="AP29" s="38"/>
      <c r="AQ29" s="38" t="s">
        <v>17</v>
      </c>
      <c r="AR29" s="38"/>
      <c r="AS29" s="38"/>
      <c r="AT29" s="38"/>
      <c r="AU29" s="38"/>
      <c r="AV29" s="49">
        <f>AJ22</f>
        <v>1135.4581673306773</v>
      </c>
      <c r="AW29" s="38"/>
    </row>
    <row r="30" spans="4:49" x14ac:dyDescent="0.25">
      <c r="E30" s="8"/>
      <c r="F30" s="7"/>
      <c r="H30" s="8"/>
      <c r="I30" s="7"/>
      <c r="K30" s="8"/>
      <c r="L30" s="7"/>
      <c r="N30" s="8"/>
      <c r="O30" s="7"/>
      <c r="AG30" s="38"/>
      <c r="AH30" s="38"/>
      <c r="AI30" s="42"/>
      <c r="AJ30" s="41">
        <f>IF(N72&gt;0,N72,IF(O72&gt;0,O72*-1,0))</f>
        <v>0</v>
      </c>
      <c r="AK30" s="38"/>
      <c r="AL30" s="38" t="str">
        <f>N53</f>
        <v>Alv- velka ed.kk (kumulat.)</v>
      </c>
      <c r="AM30" s="38"/>
      <c r="AN30" s="38"/>
      <c r="AO30" s="38"/>
      <c r="AP30" s="38" t="s">
        <v>81</v>
      </c>
      <c r="AQ30" s="38"/>
      <c r="AR30" s="38"/>
      <c r="AS30" s="38"/>
      <c r="AT30" s="38"/>
      <c r="AU30" s="38"/>
      <c r="AV30" s="38"/>
      <c r="AW30" s="38"/>
    </row>
    <row r="31" spans="4:49" x14ac:dyDescent="0.25">
      <c r="E31" s="8"/>
      <c r="F31" s="7"/>
      <c r="H31" s="8"/>
      <c r="I31" s="7"/>
      <c r="K31" s="8"/>
      <c r="L31" s="7"/>
      <c r="N31" s="8"/>
      <c r="O31" s="7"/>
      <c r="AG31" s="38"/>
      <c r="AH31" s="38"/>
      <c r="AI31" s="42"/>
      <c r="AJ31" s="41">
        <f>IF(Q72&gt;0,Q72,IF(R72&gt;0,R72*-1,0))</f>
        <v>0</v>
      </c>
      <c r="AK31" s="38"/>
      <c r="AL31" s="38" t="str">
        <f>Q53</f>
        <v>Siirtovelat</v>
      </c>
      <c r="AM31" s="38"/>
      <c r="AN31" s="38"/>
      <c r="AO31" s="38"/>
      <c r="AP31" s="38"/>
      <c r="AQ31" s="38" t="s">
        <v>82</v>
      </c>
      <c r="AR31" s="38"/>
      <c r="AS31" s="38"/>
      <c r="AT31" s="38"/>
      <c r="AU31" s="38"/>
      <c r="AV31" s="49">
        <f>AJ23+AJ24</f>
        <v>4500</v>
      </c>
      <c r="AW31" s="38"/>
    </row>
    <row r="32" spans="4:49" x14ac:dyDescent="0.25">
      <c r="E32" s="8"/>
      <c r="F32" s="7"/>
      <c r="H32" s="8"/>
      <c r="I32" s="7"/>
      <c r="K32" s="8"/>
      <c r="L32" s="7"/>
      <c r="N32" s="8"/>
      <c r="O32" s="7"/>
      <c r="AG32" s="38"/>
      <c r="AI32" s="42"/>
      <c r="AJ32" s="41">
        <f>IF(T72&gt;0,T72,IF(U72&gt;0,U72*-1,0))</f>
        <v>0</v>
      </c>
      <c r="AL32" t="str">
        <f>T53</f>
        <v>xxx</v>
      </c>
      <c r="AM32" s="38"/>
      <c r="AN32" s="38"/>
      <c r="AO32" s="38"/>
      <c r="AP32" s="38"/>
      <c r="AQ32" s="38" t="s">
        <v>20</v>
      </c>
      <c r="AR32" s="38"/>
      <c r="AS32" s="38"/>
      <c r="AT32" s="38"/>
      <c r="AU32" s="38"/>
      <c r="AV32" s="49">
        <f>AJ25</f>
        <v>2130</v>
      </c>
      <c r="AW32" s="38"/>
    </row>
    <row r="33" spans="1:88" ht="15.75" thickBot="1" x14ac:dyDescent="0.3">
      <c r="A33" t="s">
        <v>12</v>
      </c>
      <c r="E33" s="16">
        <f>SUM(E17:E32)</f>
        <v>12555</v>
      </c>
      <c r="F33" s="16">
        <f>SUM(F17:F32)</f>
        <v>12555</v>
      </c>
      <c r="H33" s="16">
        <f>SUM(H17:H32)</f>
        <v>0</v>
      </c>
      <c r="I33" s="16">
        <f>SUM(I17:I32)</f>
        <v>0</v>
      </c>
      <c r="K33" s="16">
        <f>SUM(K17:K32)</f>
        <v>0</v>
      </c>
      <c r="L33" s="16">
        <f>SUM(L17:L32)</f>
        <v>0</v>
      </c>
      <c r="N33" s="16">
        <f>SUM(N17:N32)</f>
        <v>19277.25</v>
      </c>
      <c r="O33" s="16">
        <f>SUM(O17:O32)</f>
        <v>5182</v>
      </c>
      <c r="AG33" s="38"/>
      <c r="AH33" s="38"/>
      <c r="AI33" s="42"/>
      <c r="AJ33" s="41">
        <f>IF(W72&gt;0,W72,IF(X72&gt;0,X72*-1,0))</f>
        <v>0</v>
      </c>
      <c r="AL33" t="str">
        <f>W53</f>
        <v>xxx2</v>
      </c>
      <c r="AM33" s="38"/>
      <c r="AN33" s="38"/>
      <c r="AO33" s="38"/>
      <c r="AP33" s="38"/>
      <c r="AQ33" s="38" t="s">
        <v>21</v>
      </c>
      <c r="AR33" s="38"/>
      <c r="AS33" s="38"/>
      <c r="AT33" s="38"/>
      <c r="AU33" s="38"/>
      <c r="AV33" s="49">
        <f>AJ26+AJ30+AJ29</f>
        <v>196.1264940239048</v>
      </c>
      <c r="AW33" s="38"/>
    </row>
    <row r="34" spans="1:88" ht="16.5" thickTop="1" thickBot="1" x14ac:dyDescent="0.3">
      <c r="A34" s="13">
        <f>SUM(E13:AA13,E34:O34)</f>
        <v>22657.999003984063</v>
      </c>
      <c r="B34" s="13"/>
      <c r="E34" s="10">
        <f>IF(E33&lt;F33,F33-E33,0)</f>
        <v>0</v>
      </c>
      <c r="F34" s="10">
        <f>IF(F33&lt;E33,E33-F33,0)</f>
        <v>0</v>
      </c>
      <c r="H34" s="10">
        <f>IF(H33&lt;I33,I33-H33,0)</f>
        <v>0</v>
      </c>
      <c r="I34" s="10">
        <f>IF(I33&lt;H33,H33-I33,0)</f>
        <v>0</v>
      </c>
      <c r="K34" s="10">
        <f>IF(K33&lt;L33,L33-K33,0)</f>
        <v>0</v>
      </c>
      <c r="L34" s="10">
        <f>IF(L33&lt;K33,K33-L33,0)</f>
        <v>0</v>
      </c>
      <c r="N34" s="10">
        <f>IF(N33&lt;O33,O33-N33,0)</f>
        <v>0</v>
      </c>
      <c r="O34" s="10">
        <f>IF(O33&lt;N33,N33-O33,0)</f>
        <v>14095.25</v>
      </c>
      <c r="AG34" s="38"/>
      <c r="AI34" s="42"/>
      <c r="AJ34" s="41">
        <f>IF(Z72&gt;0,Z72,IF(AA72&gt;0,AA72,0))</f>
        <v>0</v>
      </c>
      <c r="AK34" s="38"/>
      <c r="AL34" s="38" t="str">
        <f>Z53</f>
        <v>varatili</v>
      </c>
      <c r="AM34" s="38"/>
      <c r="AO34" s="38"/>
      <c r="AP34" s="38"/>
      <c r="AQ34" s="38" t="s">
        <v>22</v>
      </c>
      <c r="AR34" s="38"/>
      <c r="AS34" s="38"/>
      <c r="AT34" s="38"/>
      <c r="AU34" s="38"/>
      <c r="AV34" s="49">
        <f>AJ31</f>
        <v>0</v>
      </c>
      <c r="AW34" s="38"/>
    </row>
    <row r="35" spans="1:88" x14ac:dyDescent="0.25">
      <c r="Y35" s="38"/>
      <c r="Z35" s="38"/>
      <c r="AA35" s="38"/>
      <c r="AB35" s="38"/>
      <c r="AC35" s="38"/>
      <c r="AD35" s="38"/>
      <c r="AE35" s="38"/>
      <c r="AF35" s="38"/>
      <c r="AG35" s="38"/>
      <c r="AH35" s="38"/>
      <c r="AI35" s="67">
        <f>SUM(AI6:AI18)</f>
        <v>22657.999003984063</v>
      </c>
      <c r="AJ35" s="68">
        <f>SUM(AJ19:AJ34)</f>
        <v>22657.999003984063</v>
      </c>
      <c r="AM35" s="38"/>
      <c r="AN35" s="38"/>
      <c r="AO35" s="38"/>
      <c r="AP35" s="28" t="s">
        <v>84</v>
      </c>
      <c r="AQ35" s="38"/>
      <c r="AR35" s="38"/>
      <c r="AS35" s="38"/>
      <c r="AT35" s="38"/>
      <c r="AU35" s="38"/>
      <c r="AV35" s="86">
        <f>SUM(AV24:AV34)</f>
        <v>22657.999003984063</v>
      </c>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row>
    <row r="36" spans="1:88" ht="15.75" thickBot="1" x14ac:dyDescent="0.3">
      <c r="A36" s="1" t="s">
        <v>13</v>
      </c>
      <c r="B36" s="1"/>
      <c r="E36" s="178"/>
      <c r="F36" s="179"/>
      <c r="H36" s="178"/>
      <c r="I36" s="179"/>
      <c r="K36" s="178"/>
      <c r="L36" s="179"/>
      <c r="N36" s="178"/>
      <c r="O36" s="179"/>
      <c r="Q36" s="178"/>
      <c r="R36" s="179"/>
      <c r="T36" s="178"/>
      <c r="U36" s="179"/>
      <c r="W36" s="178"/>
      <c r="X36" s="179"/>
      <c r="Y36" s="38"/>
      <c r="Z36" s="178"/>
      <c r="AA36" s="179"/>
      <c r="AB36" s="38"/>
      <c r="AC36" s="38"/>
      <c r="AD36" s="38"/>
      <c r="AE36" s="38"/>
      <c r="AF36" s="38"/>
      <c r="AG36" s="38"/>
      <c r="AH36" s="38"/>
      <c r="AI36" s="65">
        <f>IF(AI35&lt;AJ35,AJ35-AI35,0)</f>
        <v>0</v>
      </c>
      <c r="AJ36" s="66">
        <f>IF(AJ35&lt;AI35,AI35-AJ35,0)</f>
        <v>0</v>
      </c>
      <c r="AM36" s="38"/>
      <c r="AN36" s="38"/>
      <c r="AO36" s="38"/>
      <c r="AP36" s="28" t="s">
        <v>85</v>
      </c>
      <c r="AQ36" s="38"/>
      <c r="AS36" s="38"/>
      <c r="AT36" s="38"/>
      <c r="AU36" s="38"/>
      <c r="AV36" s="53">
        <f>AV54/AV41</f>
        <v>0.72885867483722722</v>
      </c>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row>
    <row r="37" spans="1:88" ht="15.75" thickBot="1" x14ac:dyDescent="0.3">
      <c r="A37" s="2" t="s">
        <v>14</v>
      </c>
      <c r="E37" s="180" t="s">
        <v>15</v>
      </c>
      <c r="F37" s="181"/>
      <c r="H37" s="180" t="s">
        <v>105</v>
      </c>
      <c r="I37" s="181"/>
      <c r="K37" s="180" t="s">
        <v>16</v>
      </c>
      <c r="L37" s="181"/>
      <c r="N37" s="180" t="s">
        <v>17</v>
      </c>
      <c r="O37" s="181"/>
      <c r="Q37" s="180" t="s">
        <v>18</v>
      </c>
      <c r="R37" s="181"/>
      <c r="T37" s="180" t="s">
        <v>19</v>
      </c>
      <c r="U37" s="181"/>
      <c r="W37" s="180" t="s">
        <v>20</v>
      </c>
      <c r="X37" s="181"/>
      <c r="Y37" s="38"/>
      <c r="Z37" s="170" t="s">
        <v>21</v>
      </c>
      <c r="AA37" s="172"/>
      <c r="AB37" s="56"/>
      <c r="AC37" s="56"/>
      <c r="AD37" s="56"/>
      <c r="AE37" s="56"/>
      <c r="AF37" s="38"/>
      <c r="AG37" s="38"/>
      <c r="AH37" s="38"/>
      <c r="AI37" s="25" t="str">
        <f>IF(AI36&lt;&gt;AJ36,"Tase ei täsmää, tarkista kirjaukset!","Ok")</f>
        <v>Ok</v>
      </c>
      <c r="AJ37" s="38"/>
      <c r="AK37" s="38"/>
      <c r="AL37" s="38"/>
      <c r="AM37" s="38"/>
      <c r="AN37" s="38"/>
      <c r="AO37" s="38"/>
      <c r="AP37" s="28" t="s">
        <v>86</v>
      </c>
      <c r="AQ37" s="38"/>
      <c r="AR37" s="38"/>
      <c r="AS37" s="38"/>
      <c r="AT37" s="38"/>
      <c r="AU37" s="38"/>
      <c r="AV37" s="53">
        <f>(AV24+AV26+AV27)/AV35</f>
        <v>0.36174484521727929</v>
      </c>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row>
    <row r="38" spans="1:88" ht="15.75" thickBot="1" x14ac:dyDescent="0.3">
      <c r="D38" s="3" t="s">
        <v>10</v>
      </c>
      <c r="E38" s="4" t="s">
        <v>95</v>
      </c>
      <c r="F38" s="5" t="s">
        <v>94</v>
      </c>
      <c r="G38" s="14" t="s">
        <v>10</v>
      </c>
      <c r="H38" s="4" t="s">
        <v>95</v>
      </c>
      <c r="I38" s="5" t="s">
        <v>94</v>
      </c>
      <c r="J38" s="14" t="s">
        <v>10</v>
      </c>
      <c r="K38" s="4" t="s">
        <v>95</v>
      </c>
      <c r="L38" s="5" t="s">
        <v>94</v>
      </c>
      <c r="M38" s="14" t="s">
        <v>10</v>
      </c>
      <c r="N38" s="4" t="s">
        <v>95</v>
      </c>
      <c r="O38" s="5" t="s">
        <v>94</v>
      </c>
      <c r="P38" s="14" t="s">
        <v>10</v>
      </c>
      <c r="Q38" s="4" t="s">
        <v>95</v>
      </c>
      <c r="R38" s="5" t="s">
        <v>94</v>
      </c>
      <c r="S38" s="14" t="s">
        <v>10</v>
      </c>
      <c r="T38" s="4" t="s">
        <v>95</v>
      </c>
      <c r="U38" s="5" t="s">
        <v>94</v>
      </c>
      <c r="V38" s="14" t="s">
        <v>10</v>
      </c>
      <c r="W38" s="4" t="s">
        <v>95</v>
      </c>
      <c r="X38" s="5" t="s">
        <v>94</v>
      </c>
      <c r="Y38" s="39" t="s">
        <v>10</v>
      </c>
      <c r="Z38" s="4" t="s">
        <v>95</v>
      </c>
      <c r="AA38" s="5" t="s">
        <v>94</v>
      </c>
      <c r="AB38" s="54"/>
      <c r="AC38" s="54"/>
      <c r="AD38" s="54"/>
      <c r="AE38" s="54"/>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row>
    <row r="39" spans="1:88" ht="15.75" thickBot="1" x14ac:dyDescent="0.3">
      <c r="E39" s="6"/>
      <c r="F39" s="7"/>
      <c r="H39" s="6">
        <v>0</v>
      </c>
      <c r="I39" s="7"/>
      <c r="K39" s="6"/>
      <c r="L39" s="7"/>
      <c r="M39">
        <v>22</v>
      </c>
      <c r="N39" s="6"/>
      <c r="O39" s="7">
        <f>F146</f>
        <v>1135.4581673306773</v>
      </c>
      <c r="P39">
        <v>7</v>
      </c>
      <c r="Q39" s="6"/>
      <c r="R39" s="7">
        <f>F125</f>
        <v>4500</v>
      </c>
      <c r="T39" s="6"/>
      <c r="U39" s="7"/>
      <c r="V39">
        <v>3</v>
      </c>
      <c r="W39" s="6"/>
      <c r="X39" s="7">
        <f>F121</f>
        <v>130</v>
      </c>
      <c r="Y39" s="38"/>
      <c r="Z39" s="40"/>
      <c r="AA39" s="41"/>
      <c r="AB39" s="41"/>
      <c r="AC39" s="41"/>
      <c r="AD39" s="41"/>
      <c r="AE39" s="41"/>
      <c r="AF39" s="38"/>
      <c r="AG39" s="38"/>
      <c r="AH39" s="193" t="s">
        <v>28</v>
      </c>
      <c r="AI39" s="194"/>
      <c r="AJ39" s="194"/>
      <c r="AK39" s="195"/>
      <c r="AL39" s="38"/>
      <c r="AM39" s="38"/>
      <c r="AN39" s="38"/>
      <c r="AO39" s="38"/>
      <c r="AP39" s="28" t="s">
        <v>50</v>
      </c>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row>
    <row r="40" spans="1:88" ht="15.75" thickBot="1" x14ac:dyDescent="0.3">
      <c r="E40" s="8"/>
      <c r="F40" s="7"/>
      <c r="H40" s="8"/>
      <c r="I40" s="7"/>
      <c r="K40" s="8"/>
      <c r="L40" s="7"/>
      <c r="N40" s="8"/>
      <c r="O40" s="7"/>
      <c r="P40" s="9"/>
      <c r="Q40" s="8"/>
      <c r="R40" s="7"/>
      <c r="T40" s="8"/>
      <c r="U40" s="7"/>
      <c r="V40">
        <v>4</v>
      </c>
      <c r="W40" s="8"/>
      <c r="X40" s="7">
        <f>F122</f>
        <v>2000</v>
      </c>
      <c r="Y40" s="38"/>
      <c r="Z40" s="42"/>
      <c r="AA40" s="41"/>
      <c r="AB40" s="41"/>
      <c r="AC40" s="41"/>
      <c r="AD40" s="41"/>
      <c r="AE40" s="41"/>
      <c r="AF40" s="38"/>
      <c r="AG40" s="38"/>
      <c r="AH40" s="174" t="s">
        <v>30</v>
      </c>
      <c r="AI40" s="175"/>
      <c r="AJ40" s="176" t="s">
        <v>31</v>
      </c>
      <c r="AK40" s="177"/>
      <c r="AL40" s="38"/>
      <c r="AM40" s="38"/>
      <c r="AN40" s="38"/>
      <c r="AO40" s="38"/>
      <c r="AP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row>
    <row r="41" spans="1:88" x14ac:dyDescent="0.25">
      <c r="E41" s="8"/>
      <c r="F41" s="7"/>
      <c r="H41" s="8"/>
      <c r="I41" s="7"/>
      <c r="K41" s="8"/>
      <c r="L41" s="7"/>
      <c r="N41" s="8"/>
      <c r="O41" s="7"/>
      <c r="Q41" s="8"/>
      <c r="R41" s="7"/>
      <c r="T41" s="8"/>
      <c r="U41" s="7"/>
      <c r="V41">
        <v>16</v>
      </c>
      <c r="W41" s="8"/>
      <c r="X41" s="7">
        <f>F137</f>
        <v>150</v>
      </c>
      <c r="Y41" s="38"/>
      <c r="Z41" s="42"/>
      <c r="AA41" s="41"/>
      <c r="AB41" s="41"/>
      <c r="AC41" s="41"/>
      <c r="AD41" s="41"/>
      <c r="AE41" s="41"/>
      <c r="AF41" s="38"/>
      <c r="AG41" s="38"/>
      <c r="AH41" s="84"/>
      <c r="AI41" s="42"/>
      <c r="AJ41" s="41">
        <f>IF(E90&gt;0,E90,IF(F90&gt;0,F90*-1,0))</f>
        <v>10402.390438247014</v>
      </c>
      <c r="AK41" s="38"/>
      <c r="AL41" s="78" t="str">
        <f>E78</f>
        <v xml:space="preserve">Myynnit </v>
      </c>
      <c r="AM41" s="38"/>
      <c r="AN41" s="38"/>
      <c r="AO41" s="38"/>
      <c r="AP41" s="38" t="s">
        <v>53</v>
      </c>
      <c r="AQ41" s="38"/>
      <c r="AR41" s="38"/>
      <c r="AS41" s="38"/>
      <c r="AT41" s="38"/>
      <c r="AU41" s="38"/>
      <c r="AV41" s="51">
        <f>SUM(AJ41:AJ43)</f>
        <v>10402.390438247014</v>
      </c>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row>
    <row r="42" spans="1:88" x14ac:dyDescent="0.25">
      <c r="E42" s="8"/>
      <c r="F42" s="7"/>
      <c r="H42" s="8"/>
      <c r="I42" s="7"/>
      <c r="K42" s="8"/>
      <c r="L42" s="7"/>
      <c r="N42" s="8"/>
      <c r="O42" s="7"/>
      <c r="Q42" s="8"/>
      <c r="R42" s="7"/>
      <c r="T42" s="8"/>
      <c r="U42" s="7"/>
      <c r="V42">
        <v>17</v>
      </c>
      <c r="W42" s="8">
        <v>150</v>
      </c>
      <c r="X42" s="7"/>
      <c r="Y42" s="38"/>
      <c r="Z42" s="42"/>
      <c r="AA42" s="41"/>
      <c r="AB42" s="41"/>
      <c r="AC42" s="41"/>
      <c r="AD42" s="41"/>
      <c r="AE42" s="41"/>
      <c r="AF42" s="38"/>
      <c r="AH42" s="38"/>
      <c r="AI42" s="42"/>
      <c r="AJ42" s="41">
        <f>IF(E102&gt;0,E102,IF(F102&gt;0,F102*-1,0))</f>
        <v>0</v>
      </c>
      <c r="AK42" s="38"/>
      <c r="AL42" s="78" t="str">
        <f>E93</f>
        <v>Myynnit 2</v>
      </c>
      <c r="AM42" s="38"/>
      <c r="AN42" s="38"/>
      <c r="AO42" s="38"/>
      <c r="AP42" t="str">
        <f>AG45</f>
        <v xml:space="preserve">Annetut alennukset </v>
      </c>
      <c r="AV42" s="60">
        <f>AI45</f>
        <v>221.31474103585657</v>
      </c>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row>
    <row r="43" spans="1:88" x14ac:dyDescent="0.25">
      <c r="E43" s="8"/>
      <c r="F43" s="7"/>
      <c r="H43" s="8"/>
      <c r="I43" s="7"/>
      <c r="K43" s="8"/>
      <c r="L43" s="7"/>
      <c r="N43" s="8"/>
      <c r="O43" s="7"/>
      <c r="Q43" s="8"/>
      <c r="R43" s="7"/>
      <c r="T43" s="8"/>
      <c r="U43" s="7"/>
      <c r="W43" s="8"/>
      <c r="X43" s="7"/>
      <c r="Y43" s="38"/>
      <c r="Z43" s="42"/>
      <c r="AA43" s="41"/>
      <c r="AB43" s="41"/>
      <c r="AC43" s="41"/>
      <c r="AD43" s="41"/>
      <c r="AE43" s="41"/>
      <c r="AF43" s="38"/>
      <c r="AH43" s="38"/>
      <c r="AI43" s="42"/>
      <c r="AJ43" s="41">
        <f>IF(E114&gt;0,E114,IF(F114&gt;0,F114*-1,0))</f>
        <v>0</v>
      </c>
      <c r="AK43" s="38"/>
      <c r="AL43" s="78" t="str">
        <f>E105</f>
        <v>Myynnit 3</v>
      </c>
      <c r="AM43" s="38"/>
      <c r="AN43" s="38"/>
      <c r="AO43" s="38"/>
      <c r="AP43" s="38" t="s">
        <v>52</v>
      </c>
      <c r="AQ43" s="38"/>
      <c r="AR43" s="38"/>
      <c r="AS43" s="38"/>
      <c r="AT43" s="38"/>
      <c r="AU43" s="38"/>
      <c r="AV43" s="49">
        <f>AI68-O7</f>
        <v>0</v>
      </c>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row>
    <row r="44" spans="1:88" x14ac:dyDescent="0.25">
      <c r="E44" s="8"/>
      <c r="F44" s="7"/>
      <c r="H44" s="8"/>
      <c r="I44" s="7"/>
      <c r="K44" s="8"/>
      <c r="L44" s="7"/>
      <c r="N44" s="8"/>
      <c r="O44" s="7"/>
      <c r="Q44" s="8"/>
      <c r="R44" s="7"/>
      <c r="T44" s="8"/>
      <c r="U44" s="7"/>
      <c r="W44" s="11"/>
      <c r="X44" s="12"/>
      <c r="Y44" s="38"/>
      <c r="Z44" s="42"/>
      <c r="AA44" s="41"/>
      <c r="AB44" s="41"/>
      <c r="AC44" s="41"/>
      <c r="AD44" s="41"/>
      <c r="AE44" s="41"/>
      <c r="AF44" s="38"/>
      <c r="AI44" s="69"/>
      <c r="AJ44" s="41">
        <f>IF(H114&gt;0,H114,IF(I114&gt;0,I114*-1,0))</f>
        <v>2.3904382470119523</v>
      </c>
      <c r="AL44" t="str">
        <f>H105</f>
        <v>Saadut käteisalennukset</v>
      </c>
      <c r="AM44" s="38"/>
      <c r="AN44" s="38"/>
      <c r="AO44" s="38"/>
      <c r="AP44" s="38" t="s">
        <v>51</v>
      </c>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row>
    <row r="45" spans="1:88" x14ac:dyDescent="0.25">
      <c r="E45" s="8"/>
      <c r="F45" s="7"/>
      <c r="H45" s="8"/>
      <c r="I45" s="7"/>
      <c r="K45" s="8"/>
      <c r="L45" s="7"/>
      <c r="N45" s="8"/>
      <c r="O45" s="7"/>
      <c r="Q45" s="8"/>
      <c r="R45" s="7"/>
      <c r="T45" s="8"/>
      <c r="U45" s="7"/>
      <c r="W45" s="8"/>
      <c r="X45" s="7"/>
      <c r="Y45" s="38"/>
      <c r="Z45" s="42"/>
      <c r="AA45" s="41"/>
      <c r="AB45" s="41"/>
      <c r="AC45" s="41"/>
      <c r="AD45" s="41"/>
      <c r="AE45" s="41"/>
      <c r="AF45" s="38"/>
      <c r="AG45" s="44" t="str">
        <f>H78</f>
        <v xml:space="preserve">Annetut alennukset </v>
      </c>
      <c r="AI45" s="42">
        <f>IF(I90&gt;0,I90,IF(H90&gt;0,H90*-1,0))</f>
        <v>221.31474103585657</v>
      </c>
      <c r="AJ45" s="41"/>
      <c r="AK45" s="38"/>
      <c r="AL45" s="38"/>
      <c r="AM45" s="38"/>
      <c r="AN45" s="38"/>
      <c r="AO45" s="38"/>
      <c r="AP45" s="38" t="s">
        <v>54</v>
      </c>
      <c r="AQ45" s="38" t="s">
        <v>55</v>
      </c>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row>
    <row r="46" spans="1:88" x14ac:dyDescent="0.25">
      <c r="E46" s="8"/>
      <c r="F46" s="7"/>
      <c r="H46" s="8"/>
      <c r="I46" s="7"/>
      <c r="K46" s="8"/>
      <c r="L46" s="7"/>
      <c r="N46" s="8"/>
      <c r="O46" s="7"/>
      <c r="Q46" s="8"/>
      <c r="R46" s="7"/>
      <c r="T46" s="8"/>
      <c r="U46" s="7"/>
      <c r="W46" s="8"/>
      <c r="X46" s="7"/>
      <c r="Y46" s="38"/>
      <c r="Z46" s="42"/>
      <c r="AA46" s="41"/>
      <c r="AB46" s="41"/>
      <c r="AC46" s="41"/>
      <c r="AD46" s="41"/>
      <c r="AE46" s="41"/>
      <c r="AF46" s="38"/>
      <c r="AG46" s="44" t="str">
        <f>K78</f>
        <v>Ostot</v>
      </c>
      <c r="AH46" s="38"/>
      <c r="AI46" s="42">
        <f>IF(L90&gt;0,L90,IF(K90&gt;0,K90*-1,0))</f>
        <v>1816.7330677290838</v>
      </c>
      <c r="AJ46" s="41"/>
      <c r="AK46" s="38"/>
      <c r="AL46" s="38"/>
      <c r="AM46" s="38"/>
      <c r="AN46" s="38"/>
      <c r="AO46" s="38"/>
      <c r="AP46" s="38"/>
      <c r="AQ46" s="38"/>
      <c r="AR46" s="38" t="s">
        <v>56</v>
      </c>
      <c r="AS46" s="38"/>
      <c r="AT46" s="38"/>
      <c r="AU46" s="38"/>
      <c r="AV46" s="49">
        <f>AI46</f>
        <v>1816.7330677290838</v>
      </c>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row>
    <row r="47" spans="1:88" x14ac:dyDescent="0.25">
      <c r="E47" s="8"/>
      <c r="F47" s="7"/>
      <c r="H47" s="8"/>
      <c r="I47" s="7"/>
      <c r="K47" s="8"/>
      <c r="L47" s="7"/>
      <c r="N47" s="8">
        <v>0</v>
      </c>
      <c r="O47" s="7">
        <v>0</v>
      </c>
      <c r="Q47" s="8"/>
      <c r="R47" s="7"/>
      <c r="T47" s="8"/>
      <c r="U47" s="7"/>
      <c r="W47" s="8"/>
      <c r="X47" s="7"/>
      <c r="Y47" s="38"/>
      <c r="Z47" s="42"/>
      <c r="AA47" s="41"/>
      <c r="AB47" s="41"/>
      <c r="AC47" s="41"/>
      <c r="AD47" s="41"/>
      <c r="AE47" s="41"/>
      <c r="AF47" s="38"/>
      <c r="AG47" s="44" t="str">
        <f>N78</f>
        <v>Palovakuutukset</v>
      </c>
      <c r="AH47" s="38"/>
      <c r="AI47" s="42">
        <f>IF(O90&gt;0,O90,IF(N90&gt;0,N90*-1,0))</f>
        <v>0</v>
      </c>
      <c r="AJ47" s="41"/>
      <c r="AK47" s="38"/>
      <c r="AL47" s="38"/>
      <c r="AM47" s="38"/>
      <c r="AN47" s="38"/>
      <c r="AO47" s="38"/>
      <c r="AP47" s="38"/>
      <c r="AQ47" s="38"/>
      <c r="AR47" s="38" t="s">
        <v>57</v>
      </c>
      <c r="AS47" s="38"/>
      <c r="AT47" s="38"/>
      <c r="AU47" s="38"/>
      <c r="AV47" s="49">
        <f>W107</f>
        <v>0</v>
      </c>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row>
    <row r="48" spans="1:88" x14ac:dyDescent="0.25">
      <c r="E48" s="8"/>
      <c r="F48" s="7"/>
      <c r="H48" s="8"/>
      <c r="I48" s="7"/>
      <c r="J48" s="82">
        <f>IF(AH76&lt;&gt;"",AH76,"")</f>
        <v>24</v>
      </c>
      <c r="K48" s="70">
        <f>IF(AJ76&gt;0,AJ76,0)</f>
        <v>0</v>
      </c>
      <c r="L48" s="71">
        <f>IF(AI76&gt;0,AI76,0)</f>
        <v>8196.4143426294831</v>
      </c>
      <c r="N48" s="8"/>
      <c r="O48" s="7"/>
      <c r="Q48" s="8"/>
      <c r="R48" s="7"/>
      <c r="T48" s="8"/>
      <c r="U48" s="7"/>
      <c r="W48" s="8"/>
      <c r="X48" s="7"/>
      <c r="Y48" s="38"/>
      <c r="Z48" s="42"/>
      <c r="AA48" s="41"/>
      <c r="AB48" s="41"/>
      <c r="AC48" s="41"/>
      <c r="AD48" s="41"/>
      <c r="AE48" s="41"/>
      <c r="AF48" s="38"/>
      <c r="AG48" s="44" t="str">
        <f>Q78</f>
        <v>Vahinkovakuutukset</v>
      </c>
      <c r="AH48" s="38"/>
      <c r="AI48" s="42">
        <f>IF(R90&gt;0,R90,IF(Q90&gt;0,Q90*-1,0))</f>
        <v>0</v>
      </c>
      <c r="AJ48" s="41"/>
      <c r="AL48" s="38"/>
      <c r="AM48" s="38"/>
      <c r="AN48" s="38"/>
      <c r="AO48" s="38"/>
      <c r="AR48" t="str">
        <f>AL44</f>
        <v>Saadut käteisalennukset</v>
      </c>
      <c r="AV48" s="60">
        <f>AJ44</f>
        <v>2.3904382470119523</v>
      </c>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row>
    <row r="49" spans="4:88" ht="15.75" thickBot="1" x14ac:dyDescent="0.3">
      <c r="E49" s="16">
        <f>SUM(E39:E48)</f>
        <v>0</v>
      </c>
      <c r="F49" s="16">
        <f>SUM(F39:F48)</f>
        <v>0</v>
      </c>
      <c r="H49" s="16">
        <f>SUM(H39:H48)</f>
        <v>0</v>
      </c>
      <c r="I49" s="16">
        <f>SUM(I39:I48)</f>
        <v>0</v>
      </c>
      <c r="K49" s="16">
        <f>SUM(K39:K48)</f>
        <v>0</v>
      </c>
      <c r="L49" s="16">
        <f>SUM(L39:L48)</f>
        <v>8196.4143426294831</v>
      </c>
      <c r="N49" s="16">
        <f>SUM(N39:N48)</f>
        <v>0</v>
      </c>
      <c r="O49" s="16">
        <f>SUM(O39:O48)</f>
        <v>1135.4581673306773</v>
      </c>
      <c r="Q49" s="16">
        <f>SUM(Q39:Q48)</f>
        <v>0</v>
      </c>
      <c r="R49" s="16">
        <f>SUM(R39:R48)</f>
        <v>4500</v>
      </c>
      <c r="T49" s="16">
        <f>SUM(T39:T48)</f>
        <v>0</v>
      </c>
      <c r="U49" s="16">
        <f>SUM(U39:U48)</f>
        <v>0</v>
      </c>
      <c r="W49" s="16">
        <f>SUM(W39:W48)</f>
        <v>150</v>
      </c>
      <c r="X49" s="16">
        <f>SUM(X39:X48)</f>
        <v>2280</v>
      </c>
      <c r="Y49" s="38"/>
      <c r="Z49" s="16">
        <f>SUM(Z39:Z48)</f>
        <v>0</v>
      </c>
      <c r="AA49" s="16">
        <f>SUM(AA39:AA48)</f>
        <v>0</v>
      </c>
      <c r="AB49" s="57"/>
      <c r="AC49" s="57"/>
      <c r="AD49" s="57"/>
      <c r="AE49" s="57"/>
      <c r="AF49" s="38"/>
      <c r="AG49" s="44" t="str">
        <f>T78</f>
        <v>Sähkömenot</v>
      </c>
      <c r="AH49" s="38"/>
      <c r="AI49" s="42">
        <f>IF(U90&gt;0,U90,IF(T90&gt;0,T90*-1,0))</f>
        <v>0</v>
      </c>
      <c r="AJ49" s="41"/>
      <c r="AL49" s="38"/>
      <c r="AM49" s="38"/>
      <c r="AN49" s="38"/>
      <c r="AO49" s="38"/>
      <c r="AP49" s="38"/>
      <c r="AQ49" s="38" t="s">
        <v>58</v>
      </c>
      <c r="AR49" s="38"/>
      <c r="AS49" s="38"/>
      <c r="AT49" s="38"/>
      <c r="AU49" s="38"/>
      <c r="AV49" s="50">
        <f>AI47+AI48+AI49+AI50+AI51+AI53+AI54+SUM(AI55:AI61)</f>
        <v>27.888446215139446</v>
      </c>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row>
    <row r="50" spans="4:88" ht="15.75" thickTop="1" x14ac:dyDescent="0.25">
      <c r="E50" s="10">
        <f>IF(E49&lt;F49,F49-E49,0)</f>
        <v>0</v>
      </c>
      <c r="F50" s="10">
        <f>IF(F49&lt;E49,E49-F49,0)</f>
        <v>0</v>
      </c>
      <c r="H50" s="10">
        <f>IF(H49&lt;I49,I49-H49,0)</f>
        <v>0</v>
      </c>
      <c r="I50" s="10">
        <f>IF(I49&lt;H49,H49-I49,0)</f>
        <v>0</v>
      </c>
      <c r="K50" s="10">
        <f>IF(K49&lt;L49,L49-K49,0)</f>
        <v>8196.4143426294831</v>
      </c>
      <c r="L50" s="10">
        <f>IF(L49&lt;K49,K49-L49,0)</f>
        <v>0</v>
      </c>
      <c r="N50" s="10">
        <f>IF(N49&lt;O49,O49-N49,0)</f>
        <v>1135.4581673306773</v>
      </c>
      <c r="O50" s="10">
        <f>IF(O49&lt;N49,N49-O49,0)</f>
        <v>0</v>
      </c>
      <c r="Q50" s="10">
        <f>IF(Q49&lt;R49,R49-Q49,0)</f>
        <v>4500</v>
      </c>
      <c r="R50" s="10">
        <f>IF(R49&lt;Q49,Q49-R49,0)</f>
        <v>0</v>
      </c>
      <c r="T50" s="10">
        <f>IF(T49&lt;U49,U49-T49,0)</f>
        <v>0</v>
      </c>
      <c r="U50" s="10">
        <f>IF(U49&lt;T49,T49-U49,0)</f>
        <v>0</v>
      </c>
      <c r="W50" s="10">
        <f>IF(W49&lt;X49,X49-W49,0)</f>
        <v>2130</v>
      </c>
      <c r="X50" s="10">
        <f>IF(X49&lt;W49,W49-X49,0)</f>
        <v>0</v>
      </c>
      <c r="Y50" s="38"/>
      <c r="Z50" s="10">
        <f>IF(Z49&lt;AA49,AA49-Z49,0)</f>
        <v>0</v>
      </c>
      <c r="AA50" s="10">
        <f>IF(AA49&lt;Z49,Z49-AA49,0)</f>
        <v>0</v>
      </c>
      <c r="AB50" s="47"/>
      <c r="AC50" s="47"/>
      <c r="AD50" s="47"/>
      <c r="AE50" s="47"/>
      <c r="AF50" s="38"/>
      <c r="AG50" s="44" t="str">
        <f>W78</f>
        <v xml:space="preserve">Pienhankinnat </v>
      </c>
      <c r="AH50" s="38"/>
      <c r="AI50" s="42">
        <f>IF(X90&gt;0,X90,IF(W90&gt;0,W90*-1,0))</f>
        <v>0</v>
      </c>
      <c r="AJ50" s="41"/>
      <c r="AL50" s="38"/>
      <c r="AM50" s="38"/>
      <c r="AN50" s="38"/>
      <c r="AO50" s="38"/>
      <c r="AP50" s="38" t="s">
        <v>59</v>
      </c>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row>
    <row r="51" spans="4:88" x14ac:dyDescent="0.25">
      <c r="Y51" s="38"/>
      <c r="Z51" s="38"/>
      <c r="AA51" s="38"/>
      <c r="AB51" s="38"/>
      <c r="AC51" s="38"/>
      <c r="AD51" s="38"/>
      <c r="AE51" s="38"/>
      <c r="AF51" s="38"/>
      <c r="AG51" s="44" t="str">
        <f>Z78</f>
        <v>Vuokramenot</v>
      </c>
      <c r="AH51" s="38"/>
      <c r="AI51" s="42">
        <f>IF(AA90&gt;0,AA90,IF(Z90&gt;0,Z90*-1,0))</f>
        <v>0</v>
      </c>
      <c r="AJ51" s="41"/>
      <c r="AL51" s="38"/>
      <c r="AM51" s="38"/>
      <c r="AN51" s="38"/>
      <c r="AO51" s="38"/>
      <c r="AP51" s="38"/>
      <c r="AQ51" s="38" t="s">
        <v>60</v>
      </c>
      <c r="AR51" s="38"/>
      <c r="AS51" s="38"/>
      <c r="AT51" s="38"/>
      <c r="AU51" s="38"/>
      <c r="AV51" s="49">
        <f>R114</f>
        <v>756.972111553785</v>
      </c>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row>
    <row r="52" spans="4:88" ht="15.75" thickBot="1" x14ac:dyDescent="0.3">
      <c r="E52" s="178"/>
      <c r="F52" s="179"/>
      <c r="H52" s="178"/>
      <c r="I52" s="179"/>
      <c r="K52" s="178"/>
      <c r="L52" s="179"/>
      <c r="N52" s="178"/>
      <c r="O52" s="179"/>
      <c r="Q52" s="178"/>
      <c r="R52" s="179"/>
      <c r="T52" s="178"/>
      <c r="U52" s="179"/>
      <c r="W52" s="178"/>
      <c r="X52" s="179"/>
      <c r="Y52" s="38"/>
      <c r="Z52" s="178"/>
      <c r="AA52" s="179"/>
      <c r="AB52" s="38"/>
      <c r="AC52" s="38"/>
      <c r="AD52" s="38"/>
      <c r="AE52" s="38"/>
      <c r="AF52" s="38"/>
      <c r="AG52" s="44"/>
      <c r="AH52" s="38"/>
      <c r="AI52" s="42"/>
      <c r="AJ52" s="41"/>
      <c r="AL52" s="38"/>
      <c r="AM52" s="38"/>
      <c r="AN52" s="38"/>
      <c r="AO52" s="38"/>
      <c r="AP52" s="38"/>
      <c r="AQ52" s="38"/>
      <c r="AR52" s="38"/>
      <c r="AS52" s="38"/>
      <c r="AT52" s="38"/>
      <c r="AU52" s="38"/>
      <c r="AV52" s="49"/>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row>
    <row r="53" spans="4:88" ht="15.75" thickBot="1" x14ac:dyDescent="0.3">
      <c r="E53" s="180" t="s">
        <v>98</v>
      </c>
      <c r="F53" s="181"/>
      <c r="H53" s="180" t="s">
        <v>99</v>
      </c>
      <c r="I53" s="181"/>
      <c r="K53" s="180" t="s">
        <v>110</v>
      </c>
      <c r="L53" s="181"/>
      <c r="N53" s="180" t="s">
        <v>109</v>
      </c>
      <c r="O53" s="181"/>
      <c r="Q53" s="180" t="s">
        <v>22</v>
      </c>
      <c r="R53" s="181"/>
      <c r="T53" s="180" t="s">
        <v>100</v>
      </c>
      <c r="U53" s="181"/>
      <c r="W53" s="180" t="s">
        <v>101</v>
      </c>
      <c r="X53" s="181"/>
      <c r="Z53" s="180" t="s">
        <v>49</v>
      </c>
      <c r="AA53" s="181"/>
      <c r="AB53" s="38"/>
      <c r="AC53" s="38"/>
      <c r="AD53" s="38"/>
      <c r="AE53" s="38"/>
      <c r="AF53" s="38"/>
      <c r="AG53" s="44" t="str">
        <f>AC78</f>
        <v>Markkinointimenot</v>
      </c>
      <c r="AH53" s="38"/>
      <c r="AI53" s="42">
        <f>IF(AD90&gt;0,AD90,IF(AC90&gt;0,AC90*-1,0))</f>
        <v>0</v>
      </c>
      <c r="AJ53" s="41"/>
      <c r="AK53" s="38"/>
      <c r="AL53" s="38"/>
      <c r="AM53" s="38"/>
      <c r="AN53" s="38"/>
      <c r="AO53" s="38"/>
      <c r="AP53" s="38" t="s">
        <v>35</v>
      </c>
      <c r="AQ53" s="38"/>
      <c r="AR53" s="38"/>
      <c r="AS53" s="38"/>
      <c r="AT53" s="38"/>
      <c r="AU53" s="38"/>
      <c r="AV53" s="49">
        <f>AI62</f>
        <v>0</v>
      </c>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row>
    <row r="54" spans="4:88" ht="15.75" thickBot="1" x14ac:dyDescent="0.3">
      <c r="D54" s="3" t="s">
        <v>10</v>
      </c>
      <c r="E54" s="4" t="s">
        <v>95</v>
      </c>
      <c r="F54" s="5" t="s">
        <v>94</v>
      </c>
      <c r="G54" s="14" t="s">
        <v>10</v>
      </c>
      <c r="H54" s="4" t="s">
        <v>95</v>
      </c>
      <c r="I54" s="5" t="s">
        <v>94</v>
      </c>
      <c r="J54" s="14" t="s">
        <v>10</v>
      </c>
      <c r="K54" s="4" t="s">
        <v>95</v>
      </c>
      <c r="L54" s="5" t="s">
        <v>94</v>
      </c>
      <c r="M54" s="15" t="s">
        <v>10</v>
      </c>
      <c r="N54" s="4" t="s">
        <v>95</v>
      </c>
      <c r="O54" s="5" t="s">
        <v>94</v>
      </c>
      <c r="P54" s="3" t="s">
        <v>10</v>
      </c>
      <c r="Q54" s="4" t="s">
        <v>95</v>
      </c>
      <c r="R54" s="5" t="s">
        <v>94</v>
      </c>
      <c r="S54" s="3" t="s">
        <v>10</v>
      </c>
      <c r="T54" s="4" t="s">
        <v>95</v>
      </c>
      <c r="U54" s="5" t="s">
        <v>94</v>
      </c>
      <c r="V54" s="14" t="s">
        <v>10</v>
      </c>
      <c r="W54" s="4" t="s">
        <v>95</v>
      </c>
      <c r="X54" s="5" t="s">
        <v>94</v>
      </c>
      <c r="Y54" s="14" t="s">
        <v>10</v>
      </c>
      <c r="Z54" s="4" t="s">
        <v>95</v>
      </c>
      <c r="AA54" s="5" t="s">
        <v>94</v>
      </c>
      <c r="AB54" s="38"/>
      <c r="AC54" s="38"/>
      <c r="AD54" s="38"/>
      <c r="AE54" s="38"/>
      <c r="AF54" s="38"/>
      <c r="AG54" s="44" t="str">
        <f>H93</f>
        <v>Puhelinmenot</v>
      </c>
      <c r="AH54" s="38"/>
      <c r="AI54" s="42">
        <f>IF(I102&gt;0,I102,IF(H102&gt;0,H102*-1,0))</f>
        <v>27.888446215139446</v>
      </c>
      <c r="AJ54" s="38"/>
      <c r="AK54" s="38"/>
      <c r="AL54" s="38"/>
      <c r="AM54" s="38"/>
      <c r="AN54" s="38"/>
      <c r="AO54" s="38"/>
      <c r="AP54" s="38" t="s">
        <v>61</v>
      </c>
      <c r="AQ54" s="38"/>
      <c r="AR54" s="38"/>
      <c r="AS54" s="38"/>
      <c r="AT54" s="38"/>
      <c r="AU54" s="38"/>
      <c r="AV54" s="51">
        <f>AV41-AV42-AV46-AV47-AV49-AV51-AV53-AV43+AV48</f>
        <v>7581.8725099601616</v>
      </c>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row>
    <row r="55" spans="4:88" x14ac:dyDescent="0.25">
      <c r="E55" s="6"/>
      <c r="F55" s="7"/>
      <c r="G55">
        <v>1</v>
      </c>
      <c r="H55" s="6"/>
      <c r="I55" s="7">
        <v>6500</v>
      </c>
      <c r="J55">
        <v>2</v>
      </c>
      <c r="K55" s="6">
        <f>K120</f>
        <v>1015.9362549800794</v>
      </c>
      <c r="L55" s="7"/>
      <c r="N55" s="6"/>
      <c r="O55" s="7"/>
      <c r="Q55" s="6"/>
      <c r="R55" s="7"/>
      <c r="T55" s="6"/>
      <c r="U55" s="7"/>
      <c r="W55" s="6"/>
      <c r="X55" s="7"/>
      <c r="Z55" s="6"/>
      <c r="AA55" s="7"/>
      <c r="AB55" s="38"/>
      <c r="AC55" s="38"/>
      <c r="AD55" s="38"/>
      <c r="AE55" s="38"/>
      <c r="AF55" s="38"/>
      <c r="AG55" s="76" t="str">
        <f>K93</f>
        <v>x1</v>
      </c>
      <c r="AI55" s="42">
        <f>IF(L102&gt;0,L102,IF(K102&gt;0,K102*-1,0))</f>
        <v>0</v>
      </c>
      <c r="AK55" s="38"/>
      <c r="AL55" s="38"/>
      <c r="AM55" s="38"/>
      <c r="AN55" s="38"/>
      <c r="AO55" s="38"/>
      <c r="AP55" s="38" t="s">
        <v>62</v>
      </c>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row>
    <row r="56" spans="4:88" x14ac:dyDescent="0.25">
      <c r="E56" s="8"/>
      <c r="F56" s="7"/>
      <c r="H56" s="8"/>
      <c r="J56">
        <v>3</v>
      </c>
      <c r="K56" s="8">
        <f>K121</f>
        <v>26.414342629482064</v>
      </c>
      <c r="N56" s="8"/>
      <c r="O56" s="7"/>
      <c r="Q56" s="8"/>
      <c r="R56" s="7"/>
      <c r="T56" s="8"/>
      <c r="U56" s="7"/>
      <c r="W56" s="8"/>
      <c r="X56" s="7"/>
      <c r="Z56" s="8"/>
      <c r="AA56" s="7"/>
      <c r="AB56" s="38"/>
      <c r="AC56" s="38"/>
      <c r="AD56" s="38"/>
      <c r="AE56" s="38"/>
      <c r="AF56" s="38"/>
      <c r="AG56" s="76" t="str">
        <f>N93</f>
        <v>x2</v>
      </c>
      <c r="AI56" s="42">
        <f>IF(O102&gt;0,O102,IF(N102&gt;0,N102*-1,0))</f>
        <v>0</v>
      </c>
      <c r="AK56" s="38"/>
      <c r="AL56" s="38"/>
      <c r="AM56" s="38"/>
      <c r="AN56" s="38"/>
      <c r="AO56" s="38"/>
      <c r="AP56" s="38"/>
      <c r="AQ56" s="38" t="s">
        <v>63</v>
      </c>
      <c r="AR56" s="38"/>
      <c r="AS56" s="38"/>
      <c r="AT56" s="38"/>
      <c r="AU56" s="38"/>
      <c r="AV56" s="49">
        <f>AI63</f>
        <v>0</v>
      </c>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row>
    <row r="57" spans="4:88" x14ac:dyDescent="0.25">
      <c r="E57" s="8"/>
      <c r="F57" s="7"/>
      <c r="H57" s="8">
        <v>0</v>
      </c>
      <c r="I57" s="7"/>
      <c r="J57">
        <v>4</v>
      </c>
      <c r="K57" s="8">
        <f>K122</f>
        <v>406.37450199203181</v>
      </c>
      <c r="L57" s="7"/>
      <c r="N57" s="8"/>
      <c r="O57" s="7"/>
      <c r="Q57" s="8"/>
      <c r="R57" s="7"/>
      <c r="T57" s="8"/>
      <c r="U57" s="7"/>
      <c r="W57" s="8"/>
      <c r="X57" s="7"/>
      <c r="Z57" s="8"/>
      <c r="AA57" s="7"/>
      <c r="AB57" s="38"/>
      <c r="AC57" s="38"/>
      <c r="AD57" s="38"/>
      <c r="AE57" s="38"/>
      <c r="AF57" s="38"/>
      <c r="AG57" s="76" t="str">
        <f>Q93</f>
        <v>x3</v>
      </c>
      <c r="AI57" s="42">
        <f>IF(R102&gt;0,R102,IF(Q102&gt;0,Q102*-1,0))</f>
        <v>0</v>
      </c>
      <c r="AK57" s="38"/>
      <c r="AL57" s="38"/>
      <c r="AM57" s="38"/>
      <c r="AN57" s="38"/>
      <c r="AO57" s="38"/>
      <c r="AP57" s="38" t="s">
        <v>64</v>
      </c>
      <c r="AQ57" s="38"/>
      <c r="AR57" s="38"/>
      <c r="AS57" s="38"/>
      <c r="AT57" s="38"/>
      <c r="AU57" s="38"/>
      <c r="AV57" s="51">
        <f>AV54-AV56</f>
        <v>7581.8725099601616</v>
      </c>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row>
    <row r="58" spans="4:88" x14ac:dyDescent="0.25">
      <c r="E58" s="8"/>
      <c r="F58" s="7"/>
      <c r="H58" s="8"/>
      <c r="I58" s="7"/>
      <c r="J58">
        <v>5</v>
      </c>
      <c r="K58" s="8"/>
      <c r="L58" s="7">
        <f>K123</f>
        <v>101.59362549800795</v>
      </c>
      <c r="N58" s="8"/>
      <c r="O58" s="7"/>
      <c r="Q58" s="8"/>
      <c r="R58" s="7"/>
      <c r="T58" s="8"/>
      <c r="U58" s="7"/>
      <c r="W58" s="8"/>
      <c r="X58" s="7"/>
      <c r="Z58" s="8"/>
      <c r="AA58" s="7"/>
      <c r="AB58" s="38"/>
      <c r="AC58" s="38"/>
      <c r="AD58" s="38"/>
      <c r="AE58" s="38"/>
      <c r="AF58" s="38"/>
      <c r="AG58" s="76" t="str">
        <f>T93</f>
        <v>x4</v>
      </c>
      <c r="AI58" s="42">
        <f>IF(U102&gt;0,U102,IF(T102&gt;0,T102*-1,0))</f>
        <v>0</v>
      </c>
      <c r="AK58" s="38"/>
      <c r="AL58" s="38"/>
      <c r="AM58" s="38"/>
      <c r="AN58" s="38"/>
      <c r="AO58" s="38"/>
      <c r="AP58" s="38" t="s">
        <v>46</v>
      </c>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row>
    <row r="59" spans="4:88" x14ac:dyDescent="0.25">
      <c r="E59" s="8"/>
      <c r="F59" s="7"/>
      <c r="H59" s="8"/>
      <c r="I59" s="7"/>
      <c r="J59">
        <v>6</v>
      </c>
      <c r="K59" s="8"/>
      <c r="L59" s="7">
        <f>K124</f>
        <v>13.207171314741032</v>
      </c>
      <c r="N59" s="8"/>
      <c r="O59" s="7"/>
      <c r="Q59" s="8"/>
      <c r="R59" s="7"/>
      <c r="T59" s="8"/>
      <c r="U59" s="7"/>
      <c r="W59" s="8"/>
      <c r="X59" s="7"/>
      <c r="Z59" s="8"/>
      <c r="AA59" s="7"/>
      <c r="AB59" s="38"/>
      <c r="AC59" s="38"/>
      <c r="AD59" s="38"/>
      <c r="AE59" s="38"/>
      <c r="AF59" s="38"/>
      <c r="AG59" s="76" t="str">
        <f>W93</f>
        <v>x5</v>
      </c>
      <c r="AI59" s="42">
        <f>IF(X102&gt;0,X102,IF(W102&gt;0,W102*-1,0))</f>
        <v>0</v>
      </c>
      <c r="AK59" s="38"/>
      <c r="AL59" s="38"/>
      <c r="AM59" s="38"/>
      <c r="AN59" s="38"/>
      <c r="AO59" s="38"/>
      <c r="AP59" s="38"/>
      <c r="AQ59" s="38" t="s">
        <v>65</v>
      </c>
      <c r="AR59" s="38"/>
      <c r="AS59" s="38"/>
      <c r="AT59" s="38"/>
      <c r="AU59" s="38"/>
      <c r="AV59" s="49">
        <f>AI66</f>
        <v>1135.4581673306773</v>
      </c>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row r="60" spans="4:88" x14ac:dyDescent="0.25">
      <c r="E60" s="8"/>
      <c r="F60" s="7"/>
      <c r="H60" s="8"/>
      <c r="I60" s="7"/>
      <c r="J60">
        <v>7</v>
      </c>
      <c r="K60" s="8">
        <f>K125</f>
        <v>914.34262948207152</v>
      </c>
      <c r="L60" s="7"/>
      <c r="N60" s="8"/>
      <c r="O60" s="7"/>
      <c r="Q60" s="8"/>
      <c r="R60" s="7"/>
      <c r="T60" s="8"/>
      <c r="U60" s="7"/>
      <c r="W60" s="8"/>
      <c r="X60" s="7"/>
      <c r="Z60" s="8"/>
      <c r="AA60" s="7"/>
      <c r="AB60" s="38"/>
      <c r="AC60" s="38"/>
      <c r="AD60" s="38"/>
      <c r="AE60" s="38"/>
      <c r="AF60" s="38"/>
      <c r="AG60" s="76" t="str">
        <f>Z93</f>
        <v>x6</v>
      </c>
      <c r="AI60" s="42">
        <f>IF(AA102&gt;0,AA102,IF(Z102&gt;0,Z102*-1,0))</f>
        <v>0</v>
      </c>
      <c r="AK60" s="38"/>
      <c r="AL60" s="38"/>
      <c r="AM60" s="38"/>
      <c r="AN60" s="38"/>
      <c r="AO60" s="38"/>
      <c r="AP60" s="38" t="s">
        <v>48</v>
      </c>
      <c r="AQ60" s="38"/>
      <c r="AR60" s="38"/>
      <c r="AS60" s="38"/>
      <c r="AT60" s="38"/>
      <c r="AU60" s="38"/>
      <c r="AV60" s="49">
        <f>AI72</f>
        <v>0</v>
      </c>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row>
    <row r="61" spans="4:88" x14ac:dyDescent="0.25">
      <c r="E61" s="8"/>
      <c r="F61" s="7"/>
      <c r="H61" s="8"/>
      <c r="I61" s="7"/>
      <c r="J61">
        <v>8</v>
      </c>
      <c r="K61" s="8"/>
      <c r="L61" s="7">
        <f>K126</f>
        <v>1422.3107569721114</v>
      </c>
      <c r="N61" s="8"/>
      <c r="O61" s="7"/>
      <c r="Q61" s="8"/>
      <c r="R61" s="7"/>
      <c r="T61" s="8"/>
      <c r="U61" s="7"/>
      <c r="W61" s="8"/>
      <c r="X61" s="7"/>
      <c r="Z61" s="8"/>
      <c r="AA61" s="7"/>
      <c r="AB61" s="38"/>
      <c r="AC61" s="38"/>
      <c r="AD61" s="38"/>
      <c r="AE61" s="38"/>
      <c r="AF61" s="38"/>
      <c r="AG61" s="76" t="str">
        <f>AC93</f>
        <v>x7</v>
      </c>
      <c r="AI61" s="42">
        <f>IF(AD102&gt;0,AD102,IF(AC102&gt;0,AC102*-1,0))</f>
        <v>0</v>
      </c>
      <c r="AK61" s="38"/>
      <c r="AL61" s="38"/>
      <c r="AM61" s="38"/>
      <c r="AN61" s="38"/>
      <c r="AO61" s="38"/>
      <c r="AP61" s="38" t="s">
        <v>66</v>
      </c>
      <c r="AQ61" s="38"/>
      <c r="AR61" s="38"/>
      <c r="AS61" s="38"/>
      <c r="AT61" s="38"/>
      <c r="AU61" s="38"/>
      <c r="AV61" s="51">
        <f>AV57-AV59-AV60</f>
        <v>6446.4143426294841</v>
      </c>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row>
    <row r="62" spans="4:88" x14ac:dyDescent="0.25">
      <c r="E62" s="8"/>
      <c r="F62" s="7"/>
      <c r="H62" s="8"/>
      <c r="I62" s="7"/>
      <c r="J62">
        <v>11</v>
      </c>
      <c r="K62" s="8">
        <f>K129</f>
        <v>7.1115537848605541</v>
      </c>
      <c r="L62" s="7">
        <v>0</v>
      </c>
      <c r="N62" s="8"/>
      <c r="O62" s="7"/>
      <c r="Q62" s="8"/>
      <c r="R62" s="7"/>
      <c r="T62" s="8"/>
      <c r="U62" s="7"/>
      <c r="W62" s="8"/>
      <c r="X62" s="7"/>
      <c r="Z62" s="8"/>
      <c r="AA62" s="7"/>
      <c r="AB62" s="38"/>
      <c r="AC62" s="38"/>
      <c r="AD62" s="38"/>
      <c r="AE62" s="38"/>
      <c r="AF62" s="38"/>
      <c r="AG62" s="46" t="str">
        <f>N105</f>
        <v>Liiketoiminnan muut kulut</v>
      </c>
      <c r="AH62" s="38"/>
      <c r="AI62" s="42">
        <f>IF(O114&gt;0,O114,IF(N114&gt;0,N114*-1,0))</f>
        <v>0</v>
      </c>
      <c r="AJ62" s="38"/>
      <c r="AK62" s="38"/>
      <c r="AL62" s="38"/>
      <c r="AM62" s="38"/>
      <c r="AN62" s="38"/>
      <c r="AO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row>
    <row r="63" spans="4:88" x14ac:dyDescent="0.25">
      <c r="E63" s="8"/>
      <c r="F63" s="7"/>
      <c r="H63" s="8"/>
      <c r="I63" s="7"/>
      <c r="J63">
        <v>12</v>
      </c>
      <c r="K63" s="8"/>
      <c r="L63" s="7">
        <f>K130</f>
        <v>13.207171314741032</v>
      </c>
      <c r="N63" s="8"/>
      <c r="O63" s="7"/>
      <c r="Q63" s="8"/>
      <c r="R63" s="7"/>
      <c r="T63" s="8"/>
      <c r="U63" s="7"/>
      <c r="W63" s="8"/>
      <c r="X63" s="7"/>
      <c r="Z63" s="8"/>
      <c r="AA63" s="7"/>
      <c r="AB63" s="38"/>
      <c r="AC63" s="38"/>
      <c r="AD63" s="38"/>
      <c r="AE63" s="38"/>
      <c r="AF63" s="38"/>
      <c r="AG63" s="44" t="str">
        <f>K105</f>
        <v>Korkomenot</v>
      </c>
      <c r="AH63" s="38"/>
      <c r="AI63" s="42">
        <f>L114</f>
        <v>0</v>
      </c>
      <c r="AJ63" s="38"/>
      <c r="AK63" s="38"/>
      <c r="AL63" s="38"/>
      <c r="AM63" s="38"/>
      <c r="AN63" s="38"/>
      <c r="AO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row>
    <row r="64" spans="4:88" x14ac:dyDescent="0.25">
      <c r="E64" s="8"/>
      <c r="F64" s="7"/>
      <c r="H64" s="8"/>
      <c r="I64" s="7"/>
      <c r="J64">
        <v>13</v>
      </c>
      <c r="K64" s="8">
        <f>K132</f>
        <v>1.3207171314741029</v>
      </c>
      <c r="L64" s="7"/>
      <c r="N64" s="8"/>
      <c r="O64" s="7"/>
      <c r="Q64" s="8"/>
      <c r="R64" s="7"/>
      <c r="T64" s="8"/>
      <c r="U64" s="7"/>
      <c r="W64" s="8"/>
      <c r="X64" s="7"/>
      <c r="Z64" s="8"/>
      <c r="AA64" s="7"/>
      <c r="AB64" s="38"/>
      <c r="AC64" s="38"/>
      <c r="AD64" s="38"/>
      <c r="AE64" s="38"/>
      <c r="AF64" s="38"/>
      <c r="AG64" s="44" t="str">
        <f>Q105</f>
        <v>Poistot</v>
      </c>
      <c r="AH64" s="38"/>
      <c r="AI64" s="42">
        <f>IF(R114&gt;0,R114,IF(Q114&gt;0,Q114*-1,0))</f>
        <v>756.972111553785</v>
      </c>
      <c r="AJ64" s="38"/>
      <c r="AK64" s="38"/>
      <c r="AL64" s="38"/>
      <c r="AM64" s="38"/>
      <c r="AN64" s="38"/>
      <c r="AO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row>
    <row r="65" spans="1:88" x14ac:dyDescent="0.25">
      <c r="E65" s="8"/>
      <c r="F65" s="7"/>
      <c r="H65" s="8"/>
      <c r="I65" s="7"/>
      <c r="J65">
        <v>14</v>
      </c>
      <c r="K65" s="8"/>
      <c r="L65" s="7">
        <f>K134</f>
        <v>1102.2908366533857</v>
      </c>
      <c r="N65" s="8"/>
      <c r="O65" s="7"/>
      <c r="Q65" s="8"/>
      <c r="R65" s="7"/>
      <c r="T65" s="8"/>
      <c r="U65" s="7"/>
      <c r="W65" s="8"/>
      <c r="X65" s="7"/>
      <c r="Z65" s="8"/>
      <c r="AA65" s="7"/>
      <c r="AB65" s="38"/>
      <c r="AC65" s="38"/>
      <c r="AD65" s="38"/>
      <c r="AE65" s="38"/>
      <c r="AF65" s="38"/>
      <c r="AG65" s="44"/>
      <c r="AH65" s="38"/>
      <c r="AI65" s="42"/>
      <c r="AJ65" s="38"/>
      <c r="AK65" s="38"/>
      <c r="AL65" s="38"/>
      <c r="AM65" s="38"/>
      <c r="AN65" s="38"/>
      <c r="AO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row>
    <row r="66" spans="1:88" x14ac:dyDescent="0.25">
      <c r="E66" s="8"/>
      <c r="F66" s="7"/>
      <c r="H66" s="8"/>
      <c r="I66" s="7"/>
      <c r="J66">
        <v>15</v>
      </c>
      <c r="K66" s="8">
        <f>K136</f>
        <v>55.114541832669318</v>
      </c>
      <c r="L66" s="7"/>
      <c r="N66" s="8"/>
      <c r="O66" s="7"/>
      <c r="Q66" s="8"/>
      <c r="R66" s="7"/>
      <c r="T66" s="8"/>
      <c r="U66" s="7"/>
      <c r="W66" s="8"/>
      <c r="X66" s="7"/>
      <c r="Z66" s="8"/>
      <c r="AA66" s="7"/>
      <c r="AB66" s="38"/>
      <c r="AC66" s="38"/>
      <c r="AD66" s="38"/>
      <c r="AE66" s="38"/>
      <c r="AF66" s="38"/>
      <c r="AG66" s="79" t="str">
        <f>T105</f>
        <v>Tilinpäätössiirrot</v>
      </c>
      <c r="AH66" s="38"/>
      <c r="AI66" s="42">
        <f>IF(U114&gt;0,U114,IF(T114&gt;0,T114*-1,0))</f>
        <v>1135.4581673306773</v>
      </c>
      <c r="AJ66" s="38"/>
      <c r="AK66" s="38"/>
      <c r="AL66" s="38"/>
      <c r="AM66" s="38"/>
      <c r="AN66" s="38"/>
      <c r="AO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row>
    <row r="67" spans="1:88" x14ac:dyDescent="0.25">
      <c r="E67" s="8"/>
      <c r="F67" s="7"/>
      <c r="H67" s="8"/>
      <c r="I67" s="7"/>
      <c r="J67">
        <v>16</v>
      </c>
      <c r="K67" s="8">
        <f>K137</f>
        <v>30.478087649402383</v>
      </c>
      <c r="L67" s="7"/>
      <c r="N67" s="8"/>
      <c r="O67" s="7"/>
      <c r="Q67" s="8"/>
      <c r="R67" s="7"/>
      <c r="T67" s="8"/>
      <c r="U67" s="7"/>
      <c r="W67" s="8"/>
      <c r="X67" s="7"/>
      <c r="Z67" s="8"/>
      <c r="AA67" s="7"/>
      <c r="AB67" s="38"/>
      <c r="AC67" s="38"/>
      <c r="AD67" s="38"/>
      <c r="AE67" s="38"/>
      <c r="AF67" s="38"/>
      <c r="AG67" s="44"/>
      <c r="AH67" s="38"/>
      <c r="AI67" s="42"/>
      <c r="AJ67" s="38"/>
      <c r="AK67" s="38"/>
      <c r="AL67" s="38"/>
      <c r="AM67" s="38"/>
      <c r="AN67" s="38"/>
      <c r="AO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row>
    <row r="68" spans="1:88" x14ac:dyDescent="0.25">
      <c r="E68" s="8"/>
      <c r="F68" s="7"/>
      <c r="H68" s="8"/>
      <c r="I68" s="7"/>
      <c r="J68">
        <v>17</v>
      </c>
      <c r="K68" s="60"/>
      <c r="L68" s="7">
        <f>K139</f>
        <v>0.60956175298804771</v>
      </c>
      <c r="N68" s="8"/>
      <c r="O68" s="7"/>
      <c r="Q68" s="8"/>
      <c r="R68" s="7"/>
      <c r="T68" s="8"/>
      <c r="U68" s="7"/>
      <c r="W68" s="8"/>
      <c r="X68" s="7"/>
      <c r="Z68" s="8"/>
      <c r="AA68" s="7"/>
      <c r="AB68" s="38"/>
      <c r="AC68" s="38"/>
      <c r="AD68" s="38"/>
      <c r="AE68" s="38"/>
      <c r="AF68" s="38"/>
      <c r="AG68" s="44" t="str">
        <f>W105</f>
        <v>Aine ja tarvikevarasto 1 muutos</v>
      </c>
      <c r="AH68" s="38"/>
      <c r="AI68" s="42">
        <f>IF(X114&gt;0,X114,IF(W114&gt;0,W114*-1,0))</f>
        <v>0</v>
      </c>
      <c r="AJ68" s="38"/>
      <c r="AK68" s="38"/>
      <c r="AL68" s="38"/>
      <c r="AM68" s="38"/>
      <c r="AN68" s="38"/>
      <c r="AO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row>
    <row r="69" spans="1:88" x14ac:dyDescent="0.25">
      <c r="E69" s="8"/>
      <c r="F69" s="7"/>
      <c r="H69" s="8"/>
      <c r="I69" s="7"/>
      <c r="K69" s="60"/>
      <c r="L69" s="7"/>
      <c r="N69" s="8"/>
      <c r="O69" s="7"/>
      <c r="Q69" s="8"/>
      <c r="R69" s="7"/>
      <c r="T69" s="8"/>
      <c r="U69" s="7"/>
      <c r="W69" s="8"/>
      <c r="X69" s="7"/>
      <c r="Z69" s="8"/>
      <c r="AA69" s="7"/>
      <c r="AB69" s="38"/>
      <c r="AC69" s="38"/>
      <c r="AD69" s="38"/>
      <c r="AE69" s="2" t="str">
        <f>IF(AI68&lt;0,"Varasto kasvoi, pienentää kuluja: "&amp;TEXT(W105,"€ #,##0"),IF(AI68&gt;0,"Varasto väheni, kasvattaa kuluja: "&amp;TEXT(W105,"€ #,##0"),""))</f>
        <v/>
      </c>
      <c r="AF69" s="38"/>
      <c r="AG69" s="44"/>
      <c r="AH69" s="38"/>
      <c r="AI69" s="42"/>
      <c r="AJ69" s="38"/>
      <c r="AK69" s="38"/>
      <c r="AL69" s="38"/>
      <c r="AM69" s="38"/>
      <c r="AN69" s="38"/>
      <c r="AO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row>
    <row r="70" spans="1:88" x14ac:dyDescent="0.25">
      <c r="E70" s="8"/>
      <c r="F70" s="7"/>
      <c r="H70" s="8"/>
      <c r="I70" s="7"/>
      <c r="K70" s="60"/>
      <c r="L70" s="7"/>
      <c r="N70" s="8"/>
      <c r="O70" s="7"/>
      <c r="Q70" s="8"/>
      <c r="R70" s="7"/>
      <c r="T70" s="8"/>
      <c r="U70" s="7"/>
      <c r="W70" s="8"/>
      <c r="X70" s="7"/>
      <c r="Z70" s="8"/>
      <c r="AA70" s="7"/>
      <c r="AB70" s="38"/>
      <c r="AC70" s="38"/>
      <c r="AD70" s="38"/>
      <c r="AE70" s="38"/>
      <c r="AF70" s="38"/>
      <c r="AG70" s="76" t="str">
        <f>Z105</f>
        <v>Valmiit tuotteet varasto 2 muutos</v>
      </c>
      <c r="AI70" s="42">
        <f>IF(AA114&gt;0,AA114,IF(Z114&gt;0,Z114*-1,0))</f>
        <v>-1750</v>
      </c>
      <c r="AJ70" s="38"/>
      <c r="AK70" s="38"/>
      <c r="AL70" s="38"/>
      <c r="AM70" s="38"/>
      <c r="AN70" s="38"/>
      <c r="AO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row>
    <row r="71" spans="1:88" ht="15.75" thickBot="1" x14ac:dyDescent="0.3">
      <c r="A71" t="s">
        <v>12</v>
      </c>
      <c r="E71" s="16">
        <f>SUM(E55:E70)</f>
        <v>0</v>
      </c>
      <c r="F71" s="16">
        <f>SUM(F55:F70)</f>
        <v>0</v>
      </c>
      <c r="H71" s="16">
        <f>SUM(H55:H70)</f>
        <v>0</v>
      </c>
      <c r="I71" s="16">
        <f>SUM(I55:I70)</f>
        <v>6500</v>
      </c>
      <c r="K71" s="16">
        <f>SUM(K55:K70)</f>
        <v>2457.0926294820706</v>
      </c>
      <c r="L71" s="16">
        <f>SUM(L55:L70)</f>
        <v>2653.2191235059754</v>
      </c>
      <c r="N71" s="16">
        <f>SUM(N55:N70)</f>
        <v>0</v>
      </c>
      <c r="O71" s="16">
        <f>SUM(O55:O70)</f>
        <v>0</v>
      </c>
      <c r="Q71" s="16">
        <f>SUM(Q55:Q70)</f>
        <v>0</v>
      </c>
      <c r="R71" s="16">
        <f>SUM(R55:R70)</f>
        <v>0</v>
      </c>
      <c r="T71" s="16">
        <f>SUM(T55:T70)</f>
        <v>0</v>
      </c>
      <c r="U71" s="16">
        <f>SUM(U55:U70)</f>
        <v>0</v>
      </c>
      <c r="W71" s="16">
        <f>SUM(W55:W70)</f>
        <v>0</v>
      </c>
      <c r="X71" s="16">
        <f>SUM(X55:X70)</f>
        <v>0</v>
      </c>
      <c r="Z71" s="16">
        <f>SUM(Z55:Z70)</f>
        <v>0</v>
      </c>
      <c r="AA71" s="16">
        <f>SUM(AA55:AA70)</f>
        <v>0</v>
      </c>
      <c r="AB71" s="38"/>
      <c r="AC71" s="38"/>
      <c r="AD71" s="38"/>
      <c r="AE71" s="2" t="str">
        <f>IF(AI70&lt;0,"Varasto kasvoi, pienentää kuluja: "&amp;TEXT(AI70,"€ #,##0"),IF(AI70&gt;0,"Varasto väheni, kasvattaa kuluja: "&amp;TEXT(AI70,"€ #,##0"),""))</f>
        <v>Varasto kasvoi, pienentää kuluja: -€ 1750,0</v>
      </c>
      <c r="AF71" s="38"/>
      <c r="AI71" s="69"/>
      <c r="AJ71" s="38"/>
      <c r="AK71" s="38"/>
      <c r="AL71" s="38"/>
      <c r="AM71" s="38"/>
      <c r="AN71" s="38"/>
      <c r="AO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row>
    <row r="72" spans="1:88" ht="15.75" thickTop="1" x14ac:dyDescent="0.25">
      <c r="A72" s="13">
        <f>SUM(E50:AA50,E72:AA72)</f>
        <v>22657.999003984063</v>
      </c>
      <c r="B72" s="13"/>
      <c r="E72" s="10">
        <f>IF(E71&lt;F71,F71-E71,0)</f>
        <v>0</v>
      </c>
      <c r="F72" s="10">
        <f>IF(F71&lt;E71,E71-F71,0)</f>
        <v>0</v>
      </c>
      <c r="H72" s="10">
        <f>IF(H71&lt;I71,I71-H71,0)</f>
        <v>6500</v>
      </c>
      <c r="I72" s="10">
        <f>IF(I71&lt;H71,H71-I71,0)</f>
        <v>0</v>
      </c>
      <c r="K72" s="10">
        <f>IF(K71&lt;L71,L71-K71,0)</f>
        <v>196.1264940239048</v>
      </c>
      <c r="L72" s="10">
        <f>IF(L71&lt;K71,K71-L71,0)</f>
        <v>0</v>
      </c>
      <c r="N72" s="10">
        <f>IF(N71&lt;O71,O71-N71,0)</f>
        <v>0</v>
      </c>
      <c r="O72" s="10">
        <f>IF(O71&lt;N71,N71-O71,0)</f>
        <v>0</v>
      </c>
      <c r="Q72" s="10">
        <f>IF(Q71&lt;R71,R71-Q71,0)</f>
        <v>0</v>
      </c>
      <c r="R72" s="10">
        <f>IF(R71&lt;Q71,Q71-R71,0)</f>
        <v>0</v>
      </c>
      <c r="T72" s="10">
        <f>IF(T71&lt;U71,U71-T71,0)</f>
        <v>0</v>
      </c>
      <c r="U72" s="10">
        <f>IF(U71&lt;T71,T71-U71,0)</f>
        <v>0</v>
      </c>
      <c r="W72" s="10">
        <f>IF(W71&lt;X71,X71-W71,0)</f>
        <v>0</v>
      </c>
      <c r="X72" s="10">
        <f>IF(X71&lt;W71,W71-X71,0)</f>
        <v>0</v>
      </c>
      <c r="Z72" s="10">
        <f>IF(Z71&lt;AA71,AA71-Z71,0)</f>
        <v>0</v>
      </c>
      <c r="AA72" s="10">
        <f>IF(AA71&lt;Z71,Z71-AA71,0)</f>
        <v>0</v>
      </c>
      <c r="AB72" s="38"/>
      <c r="AC72" s="38"/>
      <c r="AD72" s="38"/>
      <c r="AE72" s="38"/>
      <c r="AF72" s="38"/>
      <c r="AG72" s="44" t="str">
        <f>AC105</f>
        <v>Tuloverot</v>
      </c>
      <c r="AH72" s="38"/>
      <c r="AI72" s="42">
        <f>IF(AD114&gt;0,AD114,IF(AC114&gt;0,AC114*-1,0))</f>
        <v>0</v>
      </c>
      <c r="AJ72" s="38"/>
      <c r="AK72" s="38"/>
      <c r="AL72" s="38"/>
      <c r="AM72" s="38"/>
      <c r="AN72" s="38"/>
      <c r="AO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row>
    <row r="73" spans="1:88" x14ac:dyDescent="0.25">
      <c r="A73" t="s">
        <v>23</v>
      </c>
      <c r="C73" s="17">
        <f>A34-A72</f>
        <v>0</v>
      </c>
      <c r="D73" s="13"/>
      <c r="Y73" s="38"/>
      <c r="Z73" s="38"/>
      <c r="AA73" s="38"/>
      <c r="AB73" s="38"/>
      <c r="AC73" s="38"/>
      <c r="AD73" s="38"/>
      <c r="AE73" s="38"/>
      <c r="AF73" s="38"/>
      <c r="AG73" s="38"/>
      <c r="AH73" s="38"/>
      <c r="AI73" s="42"/>
      <c r="AJ73" s="38"/>
      <c r="AK73" s="38"/>
      <c r="AL73" s="38"/>
      <c r="AM73" s="38"/>
      <c r="AN73" s="38"/>
      <c r="AO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row>
    <row r="74" spans="1:88" x14ac:dyDescent="0.25">
      <c r="Y74" s="38"/>
      <c r="Z74" s="38"/>
      <c r="AA74" s="38"/>
      <c r="AB74" s="38"/>
      <c r="AC74" s="38"/>
      <c r="AD74" s="38"/>
      <c r="AE74" s="38"/>
      <c r="AF74" s="38"/>
      <c r="AG74" s="38"/>
      <c r="AH74" s="38"/>
      <c r="AI74" s="42"/>
      <c r="AJ74" s="38"/>
      <c r="AK74" s="38"/>
      <c r="AL74" s="38"/>
      <c r="AM74" s="38"/>
      <c r="AN74" s="38"/>
      <c r="AO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row>
    <row r="75" spans="1:88" ht="24.75" thickBot="1" x14ac:dyDescent="0.3">
      <c r="Y75" s="38"/>
      <c r="Z75" s="38"/>
      <c r="AA75" s="38"/>
      <c r="AB75" s="38"/>
      <c r="AC75" s="38"/>
      <c r="AD75" s="38"/>
      <c r="AE75" s="38"/>
      <c r="AF75" s="38"/>
      <c r="AG75" s="38"/>
      <c r="AH75" s="63" t="s">
        <v>90</v>
      </c>
      <c r="AI75" s="45">
        <f>SUM(AI41:AI74)</f>
        <v>2208.3665338645424</v>
      </c>
      <c r="AJ75" s="48">
        <f>SUM(AJ41:AJ74)</f>
        <v>10404.780876494026</v>
      </c>
      <c r="AK75" s="38"/>
      <c r="AL75" s="38"/>
      <c r="AM75" s="38"/>
      <c r="AN75" s="38"/>
      <c r="AO75" s="38"/>
      <c r="AP75" s="38"/>
      <c r="AQ75" s="38"/>
      <c r="AR75" s="38"/>
      <c r="AS75" s="38"/>
      <c r="AT75" s="38"/>
      <c r="AU75" s="38"/>
      <c r="AV75" s="49"/>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row>
    <row r="76" spans="1:88" ht="19.5" thickTop="1" x14ac:dyDescent="0.3">
      <c r="A76" s="1" t="s">
        <v>24</v>
      </c>
      <c r="B76" s="1"/>
      <c r="Y76" s="38"/>
      <c r="Z76" s="38"/>
      <c r="AA76" s="38"/>
      <c r="AB76" s="38"/>
      <c r="AC76" s="38"/>
      <c r="AD76" s="38"/>
      <c r="AE76" s="38"/>
      <c r="AF76" s="38"/>
      <c r="AG76" s="87" t="s">
        <v>47</v>
      </c>
      <c r="AH76" s="88">
        <v>24</v>
      </c>
      <c r="AI76" s="131">
        <f>IF(AI75&lt;AJ75,AJ75-AI75,0)</f>
        <v>8196.4143426294831</v>
      </c>
      <c r="AJ76" s="132">
        <f>IF(AJ75&lt;AI75,AI75-AJ75,0)</f>
        <v>0</v>
      </c>
      <c r="AK76" s="38"/>
      <c r="AL76" s="38"/>
      <c r="AM76" s="38"/>
      <c r="AN76" s="38"/>
      <c r="AO76" s="38"/>
      <c r="AP76" s="2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row>
    <row r="77" spans="1:88" ht="19.5" thickBot="1" x14ac:dyDescent="0.35">
      <c r="E77" s="178"/>
      <c r="F77" s="179"/>
      <c r="H77" s="178"/>
      <c r="I77" s="179"/>
      <c r="K77" s="178"/>
      <c r="L77" s="179"/>
      <c r="N77" s="178"/>
      <c r="O77" s="179"/>
      <c r="Q77" s="178"/>
      <c r="R77" s="179"/>
      <c r="T77" s="178"/>
      <c r="U77" s="179"/>
      <c r="W77" s="178"/>
      <c r="X77" s="179"/>
      <c r="Y77" s="38"/>
      <c r="Z77" s="178"/>
      <c r="AA77" s="179"/>
      <c r="AB77" s="38"/>
      <c r="AC77" s="178"/>
      <c r="AD77" s="179"/>
      <c r="AE77" s="38"/>
      <c r="AF77" s="38"/>
      <c r="AI77" s="160" t="str">
        <f>IF(AI76&gt;0,"Tulos voitollinen",IF(AJ76&gt;0,"Tulos tappiollinen",""))</f>
        <v>Tulos voitollinen</v>
      </c>
      <c r="AJ77" s="160"/>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row>
    <row r="78" spans="1:88" ht="15.75" thickBot="1" x14ac:dyDescent="0.3">
      <c r="E78" s="180" t="s">
        <v>92</v>
      </c>
      <c r="F78" s="181"/>
      <c r="H78" s="180" t="s">
        <v>112</v>
      </c>
      <c r="I78" s="181"/>
      <c r="K78" s="180" t="s">
        <v>93</v>
      </c>
      <c r="L78" s="181"/>
      <c r="N78" s="180" t="s">
        <v>25</v>
      </c>
      <c r="O78" s="181"/>
      <c r="Q78" s="180" t="s">
        <v>26</v>
      </c>
      <c r="R78" s="181"/>
      <c r="T78" s="180" t="s">
        <v>27</v>
      </c>
      <c r="U78" s="181"/>
      <c r="W78" s="180" t="s">
        <v>123</v>
      </c>
      <c r="X78" s="181"/>
      <c r="Z78" s="180" t="s">
        <v>96</v>
      </c>
      <c r="AA78" s="181"/>
      <c r="AB78" s="38"/>
      <c r="AC78" s="180" t="s">
        <v>124</v>
      </c>
      <c r="AD78" s="172"/>
      <c r="AE78" s="56"/>
      <c r="AF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row>
    <row r="79" spans="1:88" ht="15.75" thickBot="1" x14ac:dyDescent="0.3">
      <c r="A79" s="18"/>
      <c r="D79" s="3" t="s">
        <v>10</v>
      </c>
      <c r="E79" s="4" t="s">
        <v>95</v>
      </c>
      <c r="F79" s="5" t="s">
        <v>94</v>
      </c>
      <c r="G79" s="3" t="s">
        <v>10</v>
      </c>
      <c r="H79" s="4" t="s">
        <v>95</v>
      </c>
      <c r="I79" s="5" t="s">
        <v>94</v>
      </c>
      <c r="J79" s="14" t="s">
        <v>10</v>
      </c>
      <c r="K79" s="4" t="s">
        <v>95</v>
      </c>
      <c r="L79" s="5" t="s">
        <v>94</v>
      </c>
      <c r="M79" s="14" t="s">
        <v>10</v>
      </c>
      <c r="N79" s="4" t="s">
        <v>95</v>
      </c>
      <c r="O79" s="5" t="s">
        <v>94</v>
      </c>
      <c r="P79" s="14" t="s">
        <v>10</v>
      </c>
      <c r="Q79" s="4" t="s">
        <v>95</v>
      </c>
      <c r="R79" s="5" t="s">
        <v>94</v>
      </c>
      <c r="S79" s="14" t="s">
        <v>10</v>
      </c>
      <c r="T79" s="4" t="s">
        <v>95</v>
      </c>
      <c r="U79" s="5" t="s">
        <v>94</v>
      </c>
      <c r="V79" s="14" t="s">
        <v>10</v>
      </c>
      <c r="W79" s="4" t="s">
        <v>95</v>
      </c>
      <c r="X79" s="5" t="s">
        <v>94</v>
      </c>
      <c r="Y79" s="14" t="s">
        <v>10</v>
      </c>
      <c r="Z79" s="4" t="s">
        <v>95</v>
      </c>
      <c r="AA79" s="5" t="s">
        <v>94</v>
      </c>
      <c r="AB79" s="39" t="s">
        <v>10</v>
      </c>
      <c r="AC79" s="4" t="s">
        <v>95</v>
      </c>
      <c r="AD79" s="5" t="s">
        <v>94</v>
      </c>
      <c r="AE79" s="54"/>
      <c r="AF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row>
    <row r="80" spans="1:88" x14ac:dyDescent="0.25">
      <c r="D80" s="33">
        <v>5</v>
      </c>
      <c r="E80" s="6"/>
      <c r="F80" s="7">
        <f>I123</f>
        <v>398.40637450199205</v>
      </c>
      <c r="G80" s="33"/>
      <c r="H80" s="6"/>
      <c r="I80" s="7"/>
      <c r="J80">
        <v>3</v>
      </c>
      <c r="K80" s="6">
        <f>I121</f>
        <v>103.58565737051794</v>
      </c>
      <c r="L80" s="7"/>
      <c r="M80" s="19"/>
      <c r="N80" s="6"/>
      <c r="O80" s="7"/>
      <c r="P80" s="9"/>
      <c r="Q80" s="6"/>
      <c r="R80" s="7"/>
      <c r="S80" s="19"/>
      <c r="T80" s="6"/>
      <c r="U80" s="7"/>
      <c r="W80" s="6"/>
      <c r="X80" s="7"/>
      <c r="Y80" s="19"/>
      <c r="Z80" s="6"/>
      <c r="AA80" s="7"/>
      <c r="AB80" s="43"/>
      <c r="AC80" s="40"/>
      <c r="AD80" s="41"/>
      <c r="AE80" s="41"/>
      <c r="AF80" s="38"/>
      <c r="AW80" s="83" t="s">
        <v>153</v>
      </c>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row>
    <row r="81" spans="4:88" x14ac:dyDescent="0.25">
      <c r="D81" s="33">
        <v>6</v>
      </c>
      <c r="E81" s="8"/>
      <c r="F81" s="7">
        <f>I124</f>
        <v>51.792828685258968</v>
      </c>
      <c r="G81" s="33"/>
      <c r="H81" s="8"/>
      <c r="I81" s="7"/>
      <c r="J81">
        <v>4</v>
      </c>
      <c r="K81" s="8">
        <f>I122</f>
        <v>1593.6254980079682</v>
      </c>
      <c r="L81" s="7"/>
      <c r="N81" s="8"/>
      <c r="O81" s="7"/>
      <c r="Q81" s="7"/>
      <c r="R81" s="12"/>
      <c r="T81" s="8"/>
      <c r="U81" s="7"/>
      <c r="W81" s="8"/>
      <c r="X81" s="7"/>
      <c r="Z81" s="8"/>
      <c r="AA81" s="7"/>
      <c r="AB81" s="38"/>
      <c r="AC81" s="42"/>
      <c r="AD81" s="41"/>
      <c r="AE81" s="41"/>
      <c r="AF81" s="38"/>
      <c r="AW81" s="83" t="s">
        <v>154</v>
      </c>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row>
    <row r="82" spans="4:88" x14ac:dyDescent="0.25">
      <c r="D82" s="33">
        <v>8</v>
      </c>
      <c r="E82" s="8"/>
      <c r="F82" s="7">
        <f>I126</f>
        <v>5577.6892430278886</v>
      </c>
      <c r="G82" s="33"/>
      <c r="H82" s="8"/>
      <c r="I82" s="7"/>
      <c r="J82">
        <v>16</v>
      </c>
      <c r="K82" s="8">
        <f>I137</f>
        <v>119.52191235059762</v>
      </c>
      <c r="L82" s="7"/>
      <c r="N82" s="8"/>
      <c r="O82" s="7"/>
      <c r="Q82" s="7"/>
      <c r="R82" s="12"/>
      <c r="T82" s="8"/>
      <c r="U82" s="7"/>
      <c r="W82" s="8"/>
      <c r="X82" s="7"/>
      <c r="Z82" s="8"/>
      <c r="AA82" s="7"/>
      <c r="AB82" s="38"/>
      <c r="AC82" s="42"/>
      <c r="AD82" s="41"/>
      <c r="AE82" s="41"/>
      <c r="AF82" s="38"/>
      <c r="AW82" s="83" t="s">
        <v>155</v>
      </c>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row>
    <row r="83" spans="4:88" x14ac:dyDescent="0.25">
      <c r="D83" s="33">
        <v>12</v>
      </c>
      <c r="E83" s="8"/>
      <c r="F83" s="7">
        <f>I130</f>
        <v>51.792828685258968</v>
      </c>
      <c r="G83" s="33"/>
      <c r="H83" s="8"/>
      <c r="I83" s="7"/>
      <c r="K83" s="8">
        <v>0</v>
      </c>
      <c r="L83" s="7"/>
      <c r="N83" s="8"/>
      <c r="O83" s="7"/>
      <c r="Q83" s="8"/>
      <c r="R83" s="7"/>
      <c r="T83" s="8"/>
      <c r="U83" s="7"/>
      <c r="W83" s="8"/>
      <c r="X83" s="7"/>
      <c r="Z83" s="8"/>
      <c r="AA83" s="7"/>
      <c r="AB83" s="38"/>
      <c r="AC83" s="42"/>
      <c r="AD83" s="41"/>
      <c r="AE83" s="41"/>
      <c r="AF83" s="38"/>
      <c r="AW83" s="85"/>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row>
    <row r="84" spans="4:88" x14ac:dyDescent="0.25">
      <c r="D84" s="33">
        <v>13</v>
      </c>
      <c r="E84" s="8"/>
      <c r="F84" s="7"/>
      <c r="G84" s="33">
        <v>13</v>
      </c>
      <c r="H84" s="8">
        <f>I132</f>
        <v>5.1792828685258971</v>
      </c>
      <c r="I84" s="7"/>
      <c r="K84" s="8"/>
      <c r="L84" s="7"/>
      <c r="N84" s="8"/>
      <c r="O84" s="7"/>
      <c r="Q84" s="8"/>
      <c r="R84" s="7"/>
      <c r="T84" s="8"/>
      <c r="U84" s="7"/>
      <c r="W84" s="8"/>
      <c r="X84" s="7"/>
      <c r="Z84" s="8"/>
      <c r="AA84" s="7"/>
      <c r="AB84" s="38"/>
      <c r="AC84" s="42"/>
      <c r="AD84" s="41"/>
      <c r="AE84" s="41"/>
      <c r="AF84" s="38"/>
      <c r="AW84" s="85"/>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row>
    <row r="85" spans="4:88" x14ac:dyDescent="0.25">
      <c r="D85" s="33">
        <v>14</v>
      </c>
      <c r="E85" s="8"/>
      <c r="F85" s="7">
        <f>I134</f>
        <v>4322.7091633466143</v>
      </c>
      <c r="G85" s="33"/>
      <c r="H85" s="8"/>
      <c r="I85" s="7"/>
      <c r="K85" s="8"/>
      <c r="L85" s="7"/>
      <c r="N85" s="8"/>
      <c r="O85" s="7"/>
      <c r="Q85" s="8"/>
      <c r="R85" s="7"/>
      <c r="T85" s="8"/>
      <c r="U85" s="7"/>
      <c r="W85" s="8"/>
      <c r="X85" s="7"/>
      <c r="Z85" s="8"/>
      <c r="AA85" s="7"/>
      <c r="AB85" s="38"/>
      <c r="AC85" s="42"/>
      <c r="AD85" s="41"/>
      <c r="AE85" s="41"/>
      <c r="AF85" s="38"/>
      <c r="AW85" s="83" t="s">
        <v>154</v>
      </c>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row>
    <row r="86" spans="4:88" x14ac:dyDescent="0.25">
      <c r="D86" s="33"/>
      <c r="E86" s="8"/>
      <c r="F86" s="7"/>
      <c r="G86" s="33">
        <v>15</v>
      </c>
      <c r="H86" s="8">
        <f>I136</f>
        <v>216.13545816733068</v>
      </c>
      <c r="I86" s="7"/>
      <c r="K86" s="8"/>
      <c r="L86" s="7"/>
      <c r="N86" s="8"/>
      <c r="O86" s="7"/>
      <c r="Q86" s="8"/>
      <c r="R86" s="7"/>
      <c r="T86" s="8"/>
      <c r="U86" s="7"/>
      <c r="W86" s="8"/>
      <c r="X86" s="7"/>
      <c r="Z86" s="8"/>
      <c r="AA86" s="7"/>
      <c r="AB86" s="38"/>
      <c r="AC86" s="42"/>
      <c r="AD86" s="41"/>
      <c r="AE86" s="41"/>
      <c r="AF86" s="38"/>
      <c r="AW86" s="83" t="s">
        <v>155</v>
      </c>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row>
    <row r="87" spans="4:88" x14ac:dyDescent="0.25">
      <c r="D87" s="33"/>
      <c r="E87" s="8"/>
      <c r="F87" s="7"/>
      <c r="G87" s="33"/>
      <c r="H87" s="8"/>
      <c r="I87" s="7"/>
      <c r="K87" s="8"/>
      <c r="L87" s="7"/>
      <c r="N87" s="8"/>
      <c r="O87" s="7"/>
      <c r="Q87" s="8"/>
      <c r="R87" s="7"/>
      <c r="T87" s="8"/>
      <c r="U87" s="7"/>
      <c r="W87" s="8"/>
      <c r="X87" s="7"/>
      <c r="Z87" s="8"/>
      <c r="AA87" s="7"/>
      <c r="AB87" s="38"/>
      <c r="AC87" s="42"/>
      <c r="AD87" s="41"/>
      <c r="AE87" s="41"/>
      <c r="AF87" s="38"/>
      <c r="AW87" s="83" t="s">
        <v>156</v>
      </c>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row>
    <row r="88" spans="4:88" x14ac:dyDescent="0.25">
      <c r="D88" s="33"/>
      <c r="E88" s="8">
        <v>0</v>
      </c>
      <c r="F88" s="7"/>
      <c r="G88" s="33"/>
      <c r="H88" s="8">
        <v>0</v>
      </c>
      <c r="I88" s="7"/>
      <c r="K88" s="8"/>
      <c r="L88" s="7"/>
      <c r="N88" s="8"/>
      <c r="O88" s="7"/>
      <c r="Q88" s="8"/>
      <c r="R88" s="7"/>
      <c r="T88" s="8"/>
      <c r="U88" s="7"/>
      <c r="W88" s="8"/>
      <c r="X88" s="7"/>
      <c r="Z88" s="8"/>
      <c r="AA88" s="7"/>
      <c r="AB88" s="38"/>
      <c r="AC88" s="42"/>
      <c r="AD88" s="41"/>
      <c r="AE88" s="41"/>
      <c r="AF88" s="38"/>
      <c r="AW88" s="83" t="s">
        <v>154</v>
      </c>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row>
    <row r="89" spans="4:88" ht="15.75" thickBot="1" x14ac:dyDescent="0.3">
      <c r="D89" s="29"/>
      <c r="E89" s="16">
        <f>SUM(E80:E88)</f>
        <v>0</v>
      </c>
      <c r="F89" s="16">
        <f>SUM(F80:F88)</f>
        <v>10402.390438247014</v>
      </c>
      <c r="G89" s="29"/>
      <c r="H89" s="16">
        <f>SUM(H80:H88)</f>
        <v>221.31474103585657</v>
      </c>
      <c r="I89" s="16">
        <f>SUM(I80:I88)</f>
        <v>0</v>
      </c>
      <c r="K89" s="16">
        <f>SUM(K80:K88)</f>
        <v>1816.7330677290838</v>
      </c>
      <c r="L89" s="16">
        <f>SUM(L80:L88)</f>
        <v>0</v>
      </c>
      <c r="N89" s="16">
        <f>SUM(N80:N88)</f>
        <v>0</v>
      </c>
      <c r="O89" s="16">
        <f>SUM(O80:O88)</f>
        <v>0</v>
      </c>
      <c r="Q89" s="16">
        <f>SUM(Q80:Q88)</f>
        <v>0</v>
      </c>
      <c r="R89" s="16">
        <f>SUM(R80:R88)</f>
        <v>0</v>
      </c>
      <c r="T89" s="16">
        <f>SUM(T80:T88)</f>
        <v>0</v>
      </c>
      <c r="U89" s="16">
        <f>SUM(U80:U88)</f>
        <v>0</v>
      </c>
      <c r="W89" s="16">
        <f>SUM(W80:W88)</f>
        <v>0</v>
      </c>
      <c r="X89" s="16">
        <f>SUM(X80:X88)</f>
        <v>0</v>
      </c>
      <c r="Z89" s="16">
        <f>SUM(Z80:Z88)</f>
        <v>0</v>
      </c>
      <c r="AA89" s="16">
        <f>SUM(AA80:AA88)</f>
        <v>0</v>
      </c>
      <c r="AB89" s="38"/>
      <c r="AC89" s="16">
        <f>SUM(AC80:AC88)</f>
        <v>0</v>
      </c>
      <c r="AD89" s="16">
        <f>SUM(AD80:AD88)</f>
        <v>0</v>
      </c>
      <c r="AE89" s="57"/>
      <c r="AF89" s="38"/>
      <c r="AW89" s="85"/>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row>
    <row r="90" spans="4:88" ht="15.75" thickTop="1" x14ac:dyDescent="0.25">
      <c r="D90" s="29"/>
      <c r="E90" s="10">
        <f>IF(E89&lt;F89,F89-E89,0)</f>
        <v>10402.390438247014</v>
      </c>
      <c r="F90" s="10">
        <f>IF(F89&lt;E89,E89-F89,0)</f>
        <v>0</v>
      </c>
      <c r="G90" s="29"/>
      <c r="H90" s="10">
        <f>IF(H89&lt;I89,I89-H89,0)</f>
        <v>0</v>
      </c>
      <c r="I90" s="10">
        <f>IF(I89&lt;H89,H89-I89,0)</f>
        <v>221.31474103585657</v>
      </c>
      <c r="K90" s="10">
        <f>IF(K89&lt;L89,L89-K89,0)</f>
        <v>0</v>
      </c>
      <c r="L90" s="10">
        <f>IF(L89&lt;K89,K89-L89,0)</f>
        <v>1816.7330677290838</v>
      </c>
      <c r="N90" s="10">
        <f>IF(N89&lt;O89,O89-N89,0)</f>
        <v>0</v>
      </c>
      <c r="O90" s="10">
        <f>IF(O89&lt;N89,N89-O89,0)</f>
        <v>0</v>
      </c>
      <c r="Q90" s="10">
        <f>IF(Q89&lt;R89,R89-Q89,0)</f>
        <v>0</v>
      </c>
      <c r="R90" s="10">
        <f>IF(R89&lt;Q89,Q89-R89,0)</f>
        <v>0</v>
      </c>
      <c r="T90" s="10">
        <f>IF(T89&lt;U89,U89-T89,0)</f>
        <v>0</v>
      </c>
      <c r="U90" s="10">
        <f>IF(U89&lt;T89,T89-U89,0)</f>
        <v>0</v>
      </c>
      <c r="W90" s="10">
        <f>IF(W89&lt;X89,X89-W89,0)</f>
        <v>0</v>
      </c>
      <c r="X90" s="10">
        <f>IF(X89&lt;W89,W89-X89,0)</f>
        <v>0</v>
      </c>
      <c r="Z90" s="10">
        <f>IF(Z89&lt;AA89,AA89-Z89,0)</f>
        <v>0</v>
      </c>
      <c r="AA90" s="10">
        <f>IF(AA89&lt;Z89,Z89-AA89,0)</f>
        <v>0</v>
      </c>
      <c r="AB90" s="38"/>
      <c r="AC90" s="10">
        <f>IF(AC89&lt;AD89,AD89-AC89,0)</f>
        <v>0</v>
      </c>
      <c r="AD90" s="10">
        <f>IF(AD89&lt;AC89,AC89-AD89,0)</f>
        <v>0</v>
      </c>
      <c r="AE90" s="47"/>
      <c r="AF90" s="38"/>
      <c r="AW90" s="83" t="s">
        <v>154</v>
      </c>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row>
    <row r="91" spans="4:88" x14ac:dyDescent="0.25">
      <c r="D91" s="29"/>
      <c r="E91" s="20"/>
      <c r="F91" s="20"/>
      <c r="H91" s="20"/>
      <c r="I91" s="20"/>
      <c r="K91" s="20"/>
      <c r="L91" s="20"/>
      <c r="N91" s="20"/>
      <c r="O91" s="20"/>
      <c r="Q91" s="20"/>
      <c r="R91" s="20"/>
      <c r="T91" s="20"/>
      <c r="U91" s="20"/>
      <c r="W91" s="20"/>
      <c r="X91" s="20"/>
      <c r="Y91" s="38"/>
      <c r="Z91" s="47"/>
      <c r="AA91" s="47"/>
      <c r="AB91" s="47"/>
      <c r="AC91" s="47"/>
      <c r="AD91" s="47"/>
      <c r="AE91" s="47"/>
      <c r="AF91" s="38"/>
      <c r="AW91" s="83" t="s">
        <v>154</v>
      </c>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row>
    <row r="92" spans="4:88" ht="15.75" thickBot="1" x14ac:dyDescent="0.3">
      <c r="D92" s="29"/>
      <c r="E92" s="178"/>
      <c r="F92" s="179"/>
      <c r="H92" s="178"/>
      <c r="I92" s="179"/>
      <c r="K92" s="178"/>
      <c r="L92" s="179"/>
      <c r="N92" s="178"/>
      <c r="O92" s="179"/>
      <c r="Q92" s="178"/>
      <c r="R92" s="179"/>
      <c r="T92" s="178"/>
      <c r="U92" s="179"/>
      <c r="W92" s="178"/>
      <c r="X92" s="179"/>
      <c r="Y92" s="38"/>
      <c r="Z92" s="178"/>
      <c r="AA92" s="179"/>
      <c r="AB92" s="38"/>
      <c r="AC92" s="178"/>
      <c r="AD92" s="179"/>
      <c r="AE92" s="38"/>
      <c r="AF92" s="38"/>
      <c r="AW92" s="85"/>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row>
    <row r="93" spans="4:88" ht="15.75" thickBot="1" x14ac:dyDescent="0.3">
      <c r="E93" s="180" t="s">
        <v>32</v>
      </c>
      <c r="F93" s="181"/>
      <c r="H93" s="180" t="s">
        <v>33</v>
      </c>
      <c r="I93" s="181"/>
      <c r="K93" s="180" t="s">
        <v>116</v>
      </c>
      <c r="L93" s="181"/>
      <c r="N93" s="188" t="s">
        <v>117</v>
      </c>
      <c r="O93" s="189"/>
      <c r="Q93" s="188" t="s">
        <v>118</v>
      </c>
      <c r="R93" s="189"/>
      <c r="T93" s="188" t="s">
        <v>119</v>
      </c>
      <c r="U93" s="189"/>
      <c r="W93" s="188" t="s">
        <v>120</v>
      </c>
      <c r="X93" s="189"/>
      <c r="Z93" s="191" t="s">
        <v>121</v>
      </c>
      <c r="AA93" s="192"/>
      <c r="AB93" s="58"/>
      <c r="AC93" s="188" t="s">
        <v>122</v>
      </c>
      <c r="AD93" s="189"/>
      <c r="AE93" s="58"/>
      <c r="AF93" s="38"/>
      <c r="AW93" s="85"/>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row>
    <row r="94" spans="4:88" ht="15.75" thickBot="1" x14ac:dyDescent="0.3">
      <c r="D94" s="3" t="s">
        <v>10</v>
      </c>
      <c r="E94" s="4" t="s">
        <v>95</v>
      </c>
      <c r="F94" s="5" t="s">
        <v>94</v>
      </c>
      <c r="G94" s="14" t="s">
        <v>10</v>
      </c>
      <c r="H94" s="4" t="s">
        <v>95</v>
      </c>
      <c r="I94" s="5" t="s">
        <v>94</v>
      </c>
      <c r="J94" s="14" t="s">
        <v>10</v>
      </c>
      <c r="K94" s="4" t="s">
        <v>95</v>
      </c>
      <c r="L94" s="5" t="s">
        <v>94</v>
      </c>
      <c r="M94" s="14" t="s">
        <v>10</v>
      </c>
      <c r="N94" s="4" t="s">
        <v>95</v>
      </c>
      <c r="O94" s="5" t="s">
        <v>94</v>
      </c>
      <c r="P94" s="14" t="s">
        <v>10</v>
      </c>
      <c r="Q94" s="4" t="s">
        <v>95</v>
      </c>
      <c r="R94" s="5" t="s">
        <v>94</v>
      </c>
      <c r="S94" s="14" t="s">
        <v>10</v>
      </c>
      <c r="T94" s="4" t="s">
        <v>95</v>
      </c>
      <c r="U94" s="5" t="s">
        <v>94</v>
      </c>
      <c r="V94" s="14" t="s">
        <v>10</v>
      </c>
      <c r="W94" s="4" t="s">
        <v>95</v>
      </c>
      <c r="X94" s="5" t="s">
        <v>94</v>
      </c>
      <c r="Y94" s="14" t="s">
        <v>10</v>
      </c>
      <c r="Z94" s="4" t="s">
        <v>95</v>
      </c>
      <c r="AA94" s="5" t="s">
        <v>94</v>
      </c>
      <c r="AB94" s="14" t="s">
        <v>10</v>
      </c>
      <c r="AC94" s="4" t="s">
        <v>95</v>
      </c>
      <c r="AD94" s="5" t="s">
        <v>94</v>
      </c>
      <c r="AE94" s="54"/>
      <c r="AF94" s="38"/>
      <c r="AW94" s="83" t="s">
        <v>154</v>
      </c>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row>
    <row r="95" spans="4:88" x14ac:dyDescent="0.25">
      <c r="E95" s="6"/>
      <c r="F95" s="7"/>
      <c r="G95">
        <v>11</v>
      </c>
      <c r="H95" s="6">
        <f>I129</f>
        <v>27.888446215139446</v>
      </c>
      <c r="I95" s="7"/>
      <c r="K95" s="6"/>
      <c r="L95" s="7"/>
      <c r="M95" s="19"/>
      <c r="N95" s="6"/>
      <c r="O95" s="7"/>
      <c r="P95" s="9"/>
      <c r="Q95" s="6"/>
      <c r="R95" s="7"/>
      <c r="S95" s="9"/>
      <c r="T95" s="6"/>
      <c r="U95" s="7"/>
      <c r="V95" s="9"/>
      <c r="W95" s="6"/>
      <c r="X95" s="7"/>
      <c r="Y95" s="9"/>
      <c r="Z95" s="6"/>
      <c r="AA95" s="7"/>
      <c r="AB95" s="61"/>
      <c r="AC95" s="6"/>
      <c r="AD95" s="7"/>
      <c r="AE95" s="7"/>
      <c r="AF95" s="38"/>
      <c r="AW95" s="85"/>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row>
    <row r="96" spans="4:88" x14ac:dyDescent="0.25">
      <c r="E96" s="8"/>
      <c r="F96" s="7"/>
      <c r="H96" s="8"/>
      <c r="I96" s="7">
        <v>0</v>
      </c>
      <c r="K96" s="8"/>
      <c r="L96" s="7"/>
      <c r="N96" s="8"/>
      <c r="O96" s="7"/>
      <c r="Q96" s="8"/>
      <c r="R96" s="7"/>
      <c r="T96" s="8"/>
      <c r="U96" s="7"/>
      <c r="W96" s="8"/>
      <c r="X96" s="7"/>
      <c r="Z96" s="8"/>
      <c r="AA96" s="7"/>
      <c r="AB96" s="61"/>
      <c r="AC96" s="8"/>
      <c r="AD96" s="7"/>
      <c r="AE96" s="7"/>
      <c r="AF96" s="38"/>
      <c r="AW96" s="85"/>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row>
    <row r="97" spans="4:88" x14ac:dyDescent="0.25">
      <c r="E97" s="8"/>
      <c r="F97" s="7"/>
      <c r="H97" s="8"/>
      <c r="I97" s="7"/>
      <c r="K97" s="8"/>
      <c r="L97" s="7"/>
      <c r="N97" s="8"/>
      <c r="O97" s="7"/>
      <c r="Q97" s="8"/>
      <c r="R97" s="7"/>
      <c r="T97" s="8"/>
      <c r="U97" s="7"/>
      <c r="W97" s="8"/>
      <c r="X97" s="7"/>
      <c r="Z97" s="8"/>
      <c r="AA97" s="7"/>
      <c r="AB97" s="61"/>
      <c r="AC97" s="8"/>
      <c r="AD97" s="7"/>
      <c r="AE97" s="7"/>
      <c r="AF97" s="38"/>
      <c r="AW97" s="83" t="s">
        <v>154</v>
      </c>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row>
    <row r="98" spans="4:88" x14ac:dyDescent="0.25">
      <c r="E98" s="8"/>
      <c r="F98" s="7"/>
      <c r="H98" s="8"/>
      <c r="I98" s="7"/>
      <c r="K98" s="8"/>
      <c r="L98" s="7"/>
      <c r="N98" s="8"/>
      <c r="O98" s="7"/>
      <c r="Q98" s="8"/>
      <c r="R98" s="7"/>
      <c r="T98" s="8"/>
      <c r="U98" s="7"/>
      <c r="W98" s="8"/>
      <c r="X98" s="7"/>
      <c r="Z98" s="8"/>
      <c r="AA98" s="7"/>
      <c r="AB98" s="61"/>
      <c r="AC98" s="8"/>
      <c r="AD98" s="7"/>
      <c r="AE98" s="7"/>
      <c r="AF98" s="38"/>
      <c r="AW98" s="83" t="s">
        <v>154</v>
      </c>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row>
    <row r="99" spans="4:88" x14ac:dyDescent="0.25">
      <c r="E99" s="8"/>
      <c r="F99" s="7"/>
      <c r="H99" s="8"/>
      <c r="I99" s="7"/>
      <c r="K99" s="8"/>
      <c r="L99" s="7"/>
      <c r="N99" s="8"/>
      <c r="O99" s="7"/>
      <c r="Q99" s="8"/>
      <c r="R99" s="7"/>
      <c r="T99" s="8"/>
      <c r="U99" s="7"/>
      <c r="W99" s="8"/>
      <c r="X99" s="7"/>
      <c r="Z99" s="8"/>
      <c r="AA99" s="7"/>
      <c r="AB99" s="61"/>
      <c r="AC99" s="8"/>
      <c r="AD99" s="7"/>
      <c r="AE99" s="7"/>
      <c r="AF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row>
    <row r="100" spans="4:88" x14ac:dyDescent="0.25">
      <c r="E100" s="8"/>
      <c r="F100" s="7"/>
      <c r="H100" s="8"/>
      <c r="I100" s="7"/>
      <c r="K100" s="8"/>
      <c r="L100" s="7"/>
      <c r="N100" s="8"/>
      <c r="O100" s="7"/>
      <c r="Q100" s="8"/>
      <c r="R100" s="7"/>
      <c r="T100" s="8"/>
      <c r="U100" s="7"/>
      <c r="W100" s="8"/>
      <c r="X100" s="7"/>
      <c r="Z100" s="8"/>
      <c r="AA100" s="7"/>
      <c r="AB100" s="61"/>
      <c r="AC100" s="8"/>
      <c r="AD100" s="7"/>
      <c r="AE100" s="7"/>
      <c r="AF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row>
    <row r="101" spans="4:88" ht="15.75" thickBot="1" x14ac:dyDescent="0.3">
      <c r="E101" s="16">
        <f>SUM(E95:E100)</f>
        <v>0</v>
      </c>
      <c r="F101" s="16">
        <f>SUM(F95:F100)</f>
        <v>0</v>
      </c>
      <c r="H101" s="16">
        <f>SUM(H95:H100)</f>
        <v>27.888446215139446</v>
      </c>
      <c r="I101" s="16">
        <f>SUM(I95:I100)</f>
        <v>0</v>
      </c>
      <c r="K101" s="16">
        <f>SUM(K95:K100)</f>
        <v>0</v>
      </c>
      <c r="L101" s="16">
        <f>SUM(L95:L100)</f>
        <v>0</v>
      </c>
      <c r="N101" s="16">
        <f>SUM(N95:N100)</f>
        <v>0</v>
      </c>
      <c r="O101" s="16">
        <f>SUM(O95:O100)</f>
        <v>0</v>
      </c>
      <c r="Q101" s="16">
        <f>SUM(Q95:Q100)</f>
        <v>0</v>
      </c>
      <c r="R101" s="16">
        <f>SUM(R95:R100)</f>
        <v>0</v>
      </c>
      <c r="T101" s="16">
        <f>SUM(T95:T100)</f>
        <v>0</v>
      </c>
      <c r="U101" s="16">
        <f>SUM(U95:U100)</f>
        <v>0</v>
      </c>
      <c r="W101" s="16">
        <f>SUM(W95:W100)</f>
        <v>0</v>
      </c>
      <c r="X101" s="16">
        <f>SUM(X95:X100)</f>
        <v>0</v>
      </c>
      <c r="Z101" s="16">
        <f>SUM(Z95:Z100)</f>
        <v>0</v>
      </c>
      <c r="AA101" s="16">
        <f>SUM(AA95:AA100)</f>
        <v>0</v>
      </c>
      <c r="AB101" s="11"/>
      <c r="AC101" s="16">
        <f>SUM(AC95:AC100)</f>
        <v>0</v>
      </c>
      <c r="AD101" s="16">
        <f>SUM(AD95:AD100)</f>
        <v>0</v>
      </c>
      <c r="AE101" s="11"/>
      <c r="AF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row>
    <row r="102" spans="4:88" ht="15.75" thickTop="1" x14ac:dyDescent="0.25">
      <c r="E102" s="10">
        <f>IF(E101&lt;F101,F101-E101,0)</f>
        <v>0</v>
      </c>
      <c r="F102" s="10">
        <f>IF(F101&lt;E101,E101-F101,0)</f>
        <v>0</v>
      </c>
      <c r="H102" s="10">
        <f>IF(H101&lt;I101,I101-H101,0)</f>
        <v>0</v>
      </c>
      <c r="I102" s="10">
        <f>IF(I101&lt;H101,H101-I101,0)</f>
        <v>27.888446215139446</v>
      </c>
      <c r="K102" s="10">
        <f>IF(K101&lt;L101,L101-K101,0)</f>
        <v>0</v>
      </c>
      <c r="L102" s="10">
        <f>IF(L101&lt;K101,K101-L101,0)</f>
        <v>0</v>
      </c>
      <c r="N102" s="10">
        <f>IF(N101&lt;O101,O101-N101,0)</f>
        <v>0</v>
      </c>
      <c r="O102" s="10">
        <f>IF(O101&lt;N101,N101-O101,0)</f>
        <v>0</v>
      </c>
      <c r="Q102" s="10">
        <f>IF(Q101&lt;R101,R101-Q101,0)</f>
        <v>0</v>
      </c>
      <c r="R102" s="10">
        <f>IF(R101&lt;Q101,Q101-R101,0)</f>
        <v>0</v>
      </c>
      <c r="T102" s="10">
        <f>IF(T101&lt;U101,U101-T101,0)</f>
        <v>0</v>
      </c>
      <c r="U102" s="10">
        <f>IF(U101&lt;T101,T101-U101,0)</f>
        <v>0</v>
      </c>
      <c r="W102" s="10">
        <f>IF(W101&lt;X101,X101-W101,0)</f>
        <v>0</v>
      </c>
      <c r="X102" s="10">
        <f>IF(X101&lt;W101,W101-X101,0)</f>
        <v>0</v>
      </c>
      <c r="Z102" s="10">
        <f>IF(Z101&lt;AA101,AA101-Z101,0)</f>
        <v>0</v>
      </c>
      <c r="AA102" s="10">
        <f>IF(AA101&lt;Z101,Z101-AA101,0)</f>
        <v>0</v>
      </c>
      <c r="AB102" s="20"/>
      <c r="AC102" s="10">
        <f>IF(AC101&lt;AD101,AD101-AC101,0)</f>
        <v>0</v>
      </c>
      <c r="AD102" s="10">
        <f>IF(AD101&lt;AC101,AC101-AD101,0)</f>
        <v>0</v>
      </c>
      <c r="AE102" s="20"/>
      <c r="AF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row>
    <row r="104" spans="4:88" ht="15.75" thickBot="1" x14ac:dyDescent="0.3">
      <c r="E104" s="178"/>
      <c r="F104" s="179"/>
      <c r="H104" s="178"/>
      <c r="I104" s="179"/>
      <c r="K104" s="178"/>
      <c r="L104" s="179"/>
      <c r="N104" s="178"/>
      <c r="O104" s="179"/>
      <c r="Q104" s="178"/>
      <c r="R104" s="179"/>
      <c r="T104" s="178"/>
      <c r="U104" s="179"/>
      <c r="W104" s="178"/>
      <c r="X104" s="179"/>
      <c r="Z104" s="178"/>
      <c r="AA104" s="179"/>
      <c r="AB104" s="20"/>
      <c r="AC104" s="178"/>
      <c r="AD104" s="179"/>
      <c r="AE104" s="20"/>
      <c r="AF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row>
    <row r="105" spans="4:88" ht="26.25" customHeight="1" thickBot="1" x14ac:dyDescent="0.3">
      <c r="E105" s="180" t="s">
        <v>114</v>
      </c>
      <c r="F105" s="181"/>
      <c r="H105" s="180" t="s">
        <v>115</v>
      </c>
      <c r="I105" s="181"/>
      <c r="K105" s="180" t="s">
        <v>34</v>
      </c>
      <c r="L105" s="181"/>
      <c r="N105" s="188" t="s">
        <v>35</v>
      </c>
      <c r="O105" s="189"/>
      <c r="Q105" s="188" t="s">
        <v>36</v>
      </c>
      <c r="R105" s="189"/>
      <c r="T105" s="188" t="s">
        <v>46</v>
      </c>
      <c r="U105" s="189"/>
      <c r="W105" s="188" t="str">
        <f>N4&amp;" muutos"</f>
        <v>Aine ja tarvikevarasto 1 muutos</v>
      </c>
      <c r="X105" s="189"/>
      <c r="Z105" s="205" t="str">
        <f>Q4&amp;" muutos"</f>
        <v>Valmiit tuotteet varasto 2 muutos</v>
      </c>
      <c r="AA105" s="206"/>
      <c r="AB105" s="58"/>
      <c r="AC105" s="188" t="s">
        <v>48</v>
      </c>
      <c r="AD105" s="189"/>
      <c r="AE105" s="38"/>
      <c r="AF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row>
    <row r="106" spans="4:88" ht="15.75" thickBot="1" x14ac:dyDescent="0.3">
      <c r="D106" s="3" t="s">
        <v>10</v>
      </c>
      <c r="E106" s="4" t="s">
        <v>95</v>
      </c>
      <c r="F106" s="5" t="s">
        <v>94</v>
      </c>
      <c r="H106" s="4" t="s">
        <v>95</v>
      </c>
      <c r="I106" s="5" t="s">
        <v>94</v>
      </c>
      <c r="J106" s="14" t="s">
        <v>10</v>
      </c>
      <c r="K106" s="4" t="s">
        <v>95</v>
      </c>
      <c r="L106" s="5" t="s">
        <v>94</v>
      </c>
      <c r="M106" s="14" t="s">
        <v>10</v>
      </c>
      <c r="N106" s="4" t="s">
        <v>95</v>
      </c>
      <c r="O106" s="5" t="s">
        <v>94</v>
      </c>
      <c r="P106" s="14" t="s">
        <v>10</v>
      </c>
      <c r="Q106" s="4" t="s">
        <v>95</v>
      </c>
      <c r="R106" s="5" t="s">
        <v>94</v>
      </c>
      <c r="S106" s="14" t="s">
        <v>10</v>
      </c>
      <c r="T106" s="4" t="s">
        <v>95</v>
      </c>
      <c r="U106" s="5" t="s">
        <v>94</v>
      </c>
      <c r="V106" s="14" t="s">
        <v>10</v>
      </c>
      <c r="W106" s="4" t="s">
        <v>95</v>
      </c>
      <c r="X106" s="5" t="s">
        <v>94</v>
      </c>
      <c r="Y106" s="14" t="s">
        <v>10</v>
      </c>
      <c r="Z106" s="4" t="s">
        <v>95</v>
      </c>
      <c r="AA106" s="5" t="s">
        <v>94</v>
      </c>
      <c r="AB106" s="14" t="s">
        <v>10</v>
      </c>
      <c r="AC106" s="4" t="s">
        <v>95</v>
      </c>
      <c r="AD106" s="5" t="s">
        <v>94</v>
      </c>
      <c r="AE106" s="38"/>
      <c r="AF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row>
    <row r="107" spans="4:88" x14ac:dyDescent="0.25">
      <c r="E107" s="6"/>
      <c r="F107" s="7"/>
      <c r="G107">
        <v>16</v>
      </c>
      <c r="H107" s="6"/>
      <c r="I107" s="7">
        <f>I139</f>
        <v>2.3904382470119523</v>
      </c>
      <c r="K107" s="6"/>
      <c r="L107" s="7"/>
      <c r="M107" s="19"/>
      <c r="N107" s="6"/>
      <c r="O107" s="7"/>
      <c r="P107" s="9">
        <v>21</v>
      </c>
      <c r="Q107" s="6">
        <f>F144</f>
        <v>756.972111553785</v>
      </c>
      <c r="R107" s="7"/>
      <c r="S107" s="9">
        <v>22</v>
      </c>
      <c r="T107" s="6">
        <f>F146</f>
        <v>1135.4581673306773</v>
      </c>
      <c r="U107" s="7"/>
      <c r="V107" s="9"/>
      <c r="W107" s="6"/>
      <c r="X107" s="7"/>
      <c r="Y107" s="9">
        <v>23</v>
      </c>
      <c r="Z107" s="6"/>
      <c r="AA107" s="7">
        <f>I147</f>
        <v>1750</v>
      </c>
      <c r="AB107" s="61"/>
      <c r="AC107" s="6"/>
      <c r="AD107" s="7"/>
      <c r="AE107" s="38"/>
      <c r="AF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row>
    <row r="108" spans="4:88" x14ac:dyDescent="0.25">
      <c r="E108" s="8"/>
      <c r="F108" s="7"/>
      <c r="H108" s="8"/>
      <c r="I108" s="7"/>
      <c r="K108" s="8"/>
      <c r="L108" s="7"/>
      <c r="N108" s="8"/>
      <c r="O108" s="7"/>
      <c r="Q108" s="8"/>
      <c r="R108" s="7"/>
      <c r="T108" s="8"/>
      <c r="U108" s="7"/>
      <c r="W108" s="8"/>
      <c r="X108" s="7"/>
      <c r="Z108" s="8"/>
      <c r="AA108" s="7"/>
      <c r="AB108" s="61"/>
      <c r="AC108" s="8"/>
      <c r="AD108" s="7"/>
      <c r="AE108" s="38"/>
      <c r="AF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row>
    <row r="109" spans="4:88" x14ac:dyDescent="0.25">
      <c r="E109" s="8"/>
      <c r="F109" s="7"/>
      <c r="H109" s="8"/>
      <c r="I109" s="7"/>
      <c r="K109" s="8"/>
      <c r="L109" s="7"/>
      <c r="N109" s="8"/>
      <c r="O109" s="7"/>
      <c r="Q109" s="8"/>
      <c r="R109" s="7"/>
      <c r="T109" s="8"/>
      <c r="U109" s="7"/>
      <c r="W109" s="8"/>
      <c r="X109" s="7"/>
      <c r="Z109" s="8"/>
      <c r="AA109" s="7"/>
      <c r="AB109" s="61"/>
      <c r="AC109" s="8"/>
      <c r="AD109" s="7"/>
      <c r="AE109" s="38"/>
      <c r="AF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row>
    <row r="110" spans="4:88" x14ac:dyDescent="0.25">
      <c r="E110" s="8"/>
      <c r="F110" s="7"/>
      <c r="H110" s="8"/>
      <c r="I110" s="7"/>
      <c r="K110" s="8"/>
      <c r="L110" s="7"/>
      <c r="N110" s="8"/>
      <c r="O110" s="7"/>
      <c r="Q110" s="8"/>
      <c r="R110" s="7"/>
      <c r="T110" s="8"/>
      <c r="U110" s="7"/>
      <c r="W110" s="8">
        <v>0</v>
      </c>
      <c r="X110" s="7"/>
      <c r="Z110" s="8"/>
      <c r="AA110" s="7"/>
      <c r="AB110" s="61"/>
      <c r="AC110" s="8"/>
      <c r="AD110" s="7"/>
      <c r="AE110" s="38"/>
      <c r="AF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row>
    <row r="111" spans="4:88" x14ac:dyDescent="0.25">
      <c r="E111" s="8"/>
      <c r="F111" s="7"/>
      <c r="H111" s="8"/>
      <c r="I111" s="7"/>
      <c r="K111" s="8"/>
      <c r="L111" s="7"/>
      <c r="N111" s="8"/>
      <c r="O111" s="7"/>
      <c r="Q111" s="8"/>
      <c r="R111" s="7"/>
      <c r="T111" s="8"/>
      <c r="U111" s="7"/>
      <c r="W111" s="8"/>
      <c r="X111" s="7"/>
      <c r="Z111" s="8"/>
      <c r="AA111" s="7"/>
      <c r="AB111" s="61"/>
      <c r="AC111" s="8"/>
      <c r="AD111" s="7"/>
      <c r="AE111" s="38"/>
      <c r="AF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row>
    <row r="112" spans="4:88" x14ac:dyDescent="0.25">
      <c r="E112" s="8"/>
      <c r="F112" s="7"/>
      <c r="H112" s="8"/>
      <c r="I112" s="7"/>
      <c r="K112" s="8"/>
      <c r="L112" s="7"/>
      <c r="N112" s="8"/>
      <c r="O112" s="7"/>
      <c r="Q112" s="8"/>
      <c r="R112" s="7"/>
      <c r="T112" s="8"/>
      <c r="U112" s="7"/>
      <c r="W112" s="8"/>
      <c r="X112" s="7"/>
      <c r="Z112" s="8"/>
      <c r="AA112" s="7"/>
      <c r="AB112" s="61"/>
      <c r="AC112" s="8"/>
      <c r="AD112" s="7"/>
      <c r="AE112" s="38"/>
      <c r="AF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row>
    <row r="113" spans="1:88" ht="15.75" thickBot="1" x14ac:dyDescent="0.3">
      <c r="E113" s="16">
        <f>SUM(E107:E112)</f>
        <v>0</v>
      </c>
      <c r="F113" s="16">
        <f>SUM(F107:F112)</f>
        <v>0</v>
      </c>
      <c r="H113" s="16">
        <f>SUM(H107:H112)</f>
        <v>0</v>
      </c>
      <c r="I113" s="16">
        <f>SUM(I107:I112)</f>
        <v>2.3904382470119523</v>
      </c>
      <c r="K113" s="16">
        <f>SUM(K107:K112)</f>
        <v>0</v>
      </c>
      <c r="L113" s="16">
        <f>SUM(L107:L112)</f>
        <v>0</v>
      </c>
      <c r="N113" s="16">
        <f>SUM(N107:N112)</f>
        <v>0</v>
      </c>
      <c r="O113" s="16">
        <f>SUM(O107:O112)</f>
        <v>0</v>
      </c>
      <c r="Q113" s="16">
        <f>SUM(Q107:Q112)</f>
        <v>756.972111553785</v>
      </c>
      <c r="R113" s="16">
        <f>SUM(R107:R112)</f>
        <v>0</v>
      </c>
      <c r="T113" s="16">
        <f>SUM(T107:T112)</f>
        <v>1135.4581673306773</v>
      </c>
      <c r="U113" s="16">
        <f>SUM(U107:U112)</f>
        <v>0</v>
      </c>
      <c r="W113" s="16">
        <f>SUM(W107:W112)</f>
        <v>0</v>
      </c>
      <c r="X113" s="16">
        <f>SUM(X107:X112)</f>
        <v>0</v>
      </c>
      <c r="Z113" s="16">
        <f>SUM(Z107:Z112)</f>
        <v>0</v>
      </c>
      <c r="AA113" s="16">
        <f>SUM(AA107:AA112)</f>
        <v>1750</v>
      </c>
      <c r="AB113" s="11"/>
      <c r="AC113" s="16">
        <f>SUM(AC107:AC112)</f>
        <v>0</v>
      </c>
      <c r="AD113" s="16">
        <f>SUM(AD107:AD112)</f>
        <v>0</v>
      </c>
      <c r="AE113" s="38"/>
      <c r="AF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row>
    <row r="114" spans="1:88" ht="15.75" thickTop="1" x14ac:dyDescent="0.25">
      <c r="E114" s="10">
        <f>IF(E113&lt;F113,F113-E113,0)</f>
        <v>0</v>
      </c>
      <c r="F114" s="10">
        <f>IF(F113&lt;E113,E113-F113,0)</f>
        <v>0</v>
      </c>
      <c r="H114" s="10">
        <f>IF(H113&lt;I113,I113-H113,0)</f>
        <v>2.3904382470119523</v>
      </c>
      <c r="I114" s="10">
        <f>IF(I113&lt;H113,H113-I113,0)</f>
        <v>0</v>
      </c>
      <c r="K114" s="10">
        <f>IF(K113&lt;L113,L113-K113,0)</f>
        <v>0</v>
      </c>
      <c r="L114" s="10">
        <f>IF(L113&lt;K113,K113-L113,0)</f>
        <v>0</v>
      </c>
      <c r="N114" s="10">
        <f>IF(N113&lt;O113,O113-N113,0)</f>
        <v>0</v>
      </c>
      <c r="O114" s="10">
        <f>IF(O113&lt;N113,N113-O113,0)</f>
        <v>0</v>
      </c>
      <c r="Q114" s="10">
        <f>IF(Q113&lt;R113,R113-Q113,0)</f>
        <v>0</v>
      </c>
      <c r="R114" s="10">
        <f>IF(R113&lt;Q113,Q113-R113,0)</f>
        <v>756.972111553785</v>
      </c>
      <c r="T114" s="10">
        <f>IF(T113&lt;U113,U113-T113,0)</f>
        <v>0</v>
      </c>
      <c r="U114" s="10">
        <f>IF(U113&lt;T113,T113-U113,0)</f>
        <v>1135.4581673306773</v>
      </c>
      <c r="W114" s="10">
        <f>IF(W113&lt;X113,X113-W113,0)</f>
        <v>0</v>
      </c>
      <c r="X114" s="10">
        <f>IF(X113&lt;W113,W113-X113,0)</f>
        <v>0</v>
      </c>
      <c r="Z114" s="10">
        <f>IF(Z113&lt;AA113,AA113-Z113,0)</f>
        <v>1750</v>
      </c>
      <c r="AA114" s="10">
        <f>IF(AA113&lt;Z113,Z113-AA113,0)</f>
        <v>0</v>
      </c>
      <c r="AB114" s="20"/>
      <c r="AC114" s="10">
        <f>IF(AC113&lt;AD113,AD113-AC113,0)</f>
        <v>0</v>
      </c>
      <c r="AD114" s="10">
        <f>IF(AD113&lt;AC113,AC113-AD113,0)</f>
        <v>0</v>
      </c>
      <c r="AE114" s="38"/>
      <c r="AF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row>
    <row r="115" spans="1:88" x14ac:dyDescent="0.25">
      <c r="M115" s="35"/>
      <c r="N115" s="35"/>
      <c r="O115" s="35"/>
      <c r="P115" s="35"/>
      <c r="Q115" s="35"/>
      <c r="R115" s="35"/>
      <c r="S115" s="35"/>
      <c r="T115" s="35"/>
      <c r="U115" s="35"/>
      <c r="V115" s="35"/>
      <c r="W115" s="35"/>
      <c r="Y115" s="38"/>
      <c r="Z115" s="38"/>
      <c r="AA115" s="38"/>
      <c r="AB115" s="38"/>
      <c r="AC115" s="38"/>
      <c r="AD115" s="38"/>
      <c r="AE115" s="38"/>
      <c r="AF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row>
    <row r="116" spans="1:88" x14ac:dyDescent="0.25">
      <c r="M116" s="35"/>
      <c r="N116" s="35"/>
      <c r="O116" s="35"/>
      <c r="P116" s="35"/>
      <c r="Q116" s="35"/>
      <c r="R116" s="35"/>
      <c r="S116" s="35"/>
      <c r="T116" s="35"/>
      <c r="U116" s="35"/>
      <c r="V116" s="35"/>
      <c r="W116" s="35"/>
      <c r="Y116" s="38"/>
      <c r="Z116" s="38"/>
      <c r="AA116" s="38"/>
      <c r="AB116" s="38"/>
      <c r="AC116" s="38"/>
      <c r="AD116" s="38"/>
      <c r="AE116" s="38"/>
      <c r="AF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row>
    <row r="117" spans="1:88" ht="30" x14ac:dyDescent="0.25">
      <c r="A117" s="106" t="s">
        <v>37</v>
      </c>
      <c r="D117" s="22" t="s">
        <v>38</v>
      </c>
      <c r="E117" s="23" t="s">
        <v>39</v>
      </c>
      <c r="F117" s="24" t="s">
        <v>40</v>
      </c>
      <c r="H117" s="25" t="s">
        <v>41</v>
      </c>
      <c r="I117" s="25" t="s">
        <v>42</v>
      </c>
      <c r="K117" s="22" t="s">
        <v>180</v>
      </c>
      <c r="L117" s="34" t="s">
        <v>43</v>
      </c>
      <c r="M117" s="35"/>
      <c r="N117" s="35"/>
      <c r="O117" s="35"/>
      <c r="P117" s="35"/>
      <c r="Q117" s="35"/>
      <c r="R117" s="35"/>
      <c r="S117" s="35"/>
      <c r="T117" s="35"/>
      <c r="U117" s="35"/>
      <c r="V117" s="35"/>
      <c r="W117" s="35"/>
      <c r="Y117" s="38"/>
      <c r="Z117" s="38"/>
      <c r="AA117" s="38"/>
      <c r="AB117" s="38"/>
      <c r="AC117" s="38"/>
      <c r="AD117" s="38"/>
      <c r="AE117" s="38"/>
      <c r="AF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row>
    <row r="118" spans="1:88" x14ac:dyDescent="0.25">
      <c r="A118" s="21"/>
      <c r="D118" s="29"/>
      <c r="E118" s="23"/>
      <c r="F118" s="24"/>
      <c r="H118" s="29"/>
      <c r="I118" s="29"/>
      <c r="K118" s="29"/>
      <c r="L118" s="34"/>
      <c r="M118" s="35"/>
      <c r="N118" s="35"/>
      <c r="O118" s="35"/>
      <c r="P118" s="35"/>
      <c r="Q118" s="35"/>
      <c r="R118" s="35"/>
      <c r="S118" s="35"/>
      <c r="T118" s="35"/>
      <c r="U118" s="35"/>
      <c r="V118" s="35"/>
      <c r="W118" s="35"/>
      <c r="Y118" s="38"/>
      <c r="Z118" s="38"/>
      <c r="AA118" s="38"/>
      <c r="AB118" s="38"/>
      <c r="AC118" s="38"/>
      <c r="AD118" s="38"/>
      <c r="AE118" s="38"/>
      <c r="AF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row>
    <row r="119" spans="1:88" x14ac:dyDescent="0.25">
      <c r="A119" s="182" t="s">
        <v>102</v>
      </c>
      <c r="B119" s="183"/>
      <c r="C119" s="184"/>
      <c r="D119" s="30">
        <v>1</v>
      </c>
      <c r="E119" s="31">
        <v>45658</v>
      </c>
      <c r="F119" s="26">
        <v>6500</v>
      </c>
      <c r="H119" s="36">
        <v>0</v>
      </c>
      <c r="I119" s="37">
        <f>F119/(1+H119)</f>
        <v>6500</v>
      </c>
      <c r="K119" s="37">
        <f>F119-I119</f>
        <v>0</v>
      </c>
      <c r="L119" s="37">
        <f>I119*H119</f>
        <v>0</v>
      </c>
      <c r="M119" s="35"/>
      <c r="N119" s="35"/>
      <c r="O119" s="35"/>
      <c r="P119" s="35"/>
      <c r="Q119" s="35"/>
      <c r="R119" s="35"/>
      <c r="S119" s="35"/>
      <c r="T119" s="35"/>
      <c r="U119" s="35"/>
      <c r="V119" s="35"/>
      <c r="W119" s="35"/>
      <c r="Y119" s="38"/>
      <c r="Z119" s="38"/>
      <c r="AA119" s="38"/>
      <c r="AB119" s="38"/>
      <c r="AC119" s="38"/>
      <c r="AD119" s="38"/>
      <c r="AE119" s="38"/>
      <c r="AF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row>
    <row r="120" spans="1:88" ht="30" customHeight="1" x14ac:dyDescent="0.25">
      <c r="A120" s="185" t="s">
        <v>164</v>
      </c>
      <c r="B120" s="186"/>
      <c r="C120" s="187"/>
      <c r="D120" s="30">
        <f>D119+1</f>
        <v>2</v>
      </c>
      <c r="E120" s="31">
        <v>45659</v>
      </c>
      <c r="F120" s="26">
        <v>5000</v>
      </c>
      <c r="H120" s="36">
        <v>0.255</v>
      </c>
      <c r="I120" s="37">
        <f>F120/(1+H120)</f>
        <v>3984.0637450199206</v>
      </c>
      <c r="K120" s="37">
        <f>F120-I120</f>
        <v>1015.9362549800794</v>
      </c>
      <c r="L120" s="37">
        <f t="shared" ref="L120:L159" si="0">I120*H120</f>
        <v>1015.9362549800798</v>
      </c>
      <c r="M120" s="35"/>
      <c r="N120" s="35"/>
      <c r="O120" s="35"/>
      <c r="P120" s="35"/>
      <c r="Q120" s="35"/>
      <c r="R120" s="35"/>
      <c r="S120" s="35"/>
      <c r="T120" s="35"/>
      <c r="U120" s="35"/>
      <c r="V120" s="35"/>
      <c r="W120" s="35"/>
      <c r="Y120" s="38"/>
      <c r="Z120" s="38"/>
      <c r="AA120" s="38"/>
      <c r="AB120" s="38"/>
      <c r="AC120" s="38"/>
      <c r="AD120" s="38"/>
      <c r="AE120" s="38"/>
      <c r="AF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row>
    <row r="121" spans="1:88" x14ac:dyDescent="0.25">
      <c r="A121" s="182" t="s">
        <v>103</v>
      </c>
      <c r="B121" s="183"/>
      <c r="C121" s="184"/>
      <c r="D121" s="30">
        <f t="shared" ref="D121:D142" si="1">D120+1</f>
        <v>3</v>
      </c>
      <c r="E121" s="32">
        <v>45659</v>
      </c>
      <c r="F121" s="26">
        <v>130</v>
      </c>
      <c r="H121" s="36">
        <f>H120</f>
        <v>0.255</v>
      </c>
      <c r="I121" s="37">
        <f t="shared" ref="I121:I159" si="2">F121/(1+H121)</f>
        <v>103.58565737051794</v>
      </c>
      <c r="K121" s="37">
        <f t="shared" ref="K121:K159" si="3">F121-I121</f>
        <v>26.414342629482064</v>
      </c>
      <c r="L121" s="37">
        <f t="shared" si="0"/>
        <v>26.414342629482075</v>
      </c>
      <c r="M121" s="35"/>
      <c r="N121" s="35"/>
      <c r="O121" s="35"/>
      <c r="P121" s="35"/>
      <c r="Q121" s="35"/>
      <c r="R121" s="35"/>
      <c r="S121" s="35"/>
      <c r="T121" s="35"/>
      <c r="U121" s="35"/>
      <c r="V121" s="35"/>
      <c r="W121" s="35"/>
      <c r="Y121" s="38"/>
      <c r="Z121" s="38"/>
      <c r="AA121" s="38"/>
      <c r="AB121" s="38"/>
      <c r="AC121" s="38"/>
      <c r="AD121" s="38"/>
      <c r="AE121" s="38"/>
      <c r="AF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row>
    <row r="122" spans="1:88" x14ac:dyDescent="0.25">
      <c r="A122" s="182" t="s">
        <v>104</v>
      </c>
      <c r="B122" s="183"/>
      <c r="C122" s="184"/>
      <c r="D122" s="30">
        <f t="shared" si="1"/>
        <v>4</v>
      </c>
      <c r="E122" s="32">
        <v>45659</v>
      </c>
      <c r="F122" s="26">
        <v>2000</v>
      </c>
      <c r="H122" s="36">
        <f t="shared" ref="H122:H142" si="4">H121</f>
        <v>0.255</v>
      </c>
      <c r="I122" s="37">
        <f t="shared" si="2"/>
        <v>1593.6254980079682</v>
      </c>
      <c r="K122" s="37">
        <f t="shared" si="3"/>
        <v>406.37450199203181</v>
      </c>
      <c r="L122" s="37">
        <f t="shared" si="0"/>
        <v>406.37450199203192</v>
      </c>
      <c r="M122" s="35"/>
      <c r="N122" s="35"/>
      <c r="O122" s="35"/>
      <c r="P122" s="35"/>
      <c r="Q122" s="35"/>
      <c r="R122" s="35"/>
      <c r="S122" s="35"/>
      <c r="T122" s="35"/>
      <c r="U122" s="35"/>
      <c r="V122" s="35"/>
      <c r="W122" s="35"/>
      <c r="Y122" s="38"/>
      <c r="Z122" s="38"/>
      <c r="AA122" s="38"/>
      <c r="AB122" s="38"/>
      <c r="AC122" s="38"/>
      <c r="AD122" s="38"/>
      <c r="AE122" s="38"/>
      <c r="AF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row>
    <row r="123" spans="1:88" x14ac:dyDescent="0.25">
      <c r="A123" s="182" t="s">
        <v>165</v>
      </c>
      <c r="B123" s="183"/>
      <c r="C123" s="184"/>
      <c r="D123" s="30">
        <f t="shared" si="1"/>
        <v>5</v>
      </c>
      <c r="E123" s="32">
        <v>45662</v>
      </c>
      <c r="F123" s="26">
        <v>500</v>
      </c>
      <c r="H123" s="36">
        <f t="shared" si="4"/>
        <v>0.255</v>
      </c>
      <c r="I123" s="37">
        <f t="shared" si="2"/>
        <v>398.40637450199205</v>
      </c>
      <c r="K123" s="37">
        <f t="shared" si="3"/>
        <v>101.59362549800795</v>
      </c>
      <c r="L123" s="37">
        <f t="shared" si="0"/>
        <v>101.59362549800798</v>
      </c>
      <c r="M123" s="35"/>
      <c r="N123" s="35"/>
      <c r="O123" s="35"/>
      <c r="P123" s="35"/>
      <c r="Q123" s="35"/>
      <c r="R123" s="35"/>
      <c r="S123" s="35"/>
      <c r="T123" s="35"/>
      <c r="U123" s="35"/>
      <c r="V123" s="35"/>
      <c r="W123" s="35"/>
      <c r="Y123" s="38"/>
      <c r="Z123" s="38"/>
      <c r="AA123" s="38"/>
      <c r="AB123" s="38"/>
      <c r="AC123" s="38"/>
      <c r="AD123" s="38"/>
      <c r="AE123" s="38"/>
      <c r="AF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row>
    <row r="124" spans="1:88" x14ac:dyDescent="0.25">
      <c r="A124" s="182" t="s">
        <v>166</v>
      </c>
      <c r="B124" s="183"/>
      <c r="C124" s="184"/>
      <c r="D124" s="30">
        <f t="shared" si="1"/>
        <v>6</v>
      </c>
      <c r="E124" s="32">
        <v>45662</v>
      </c>
      <c r="F124" s="26">
        <v>65</v>
      </c>
      <c r="H124" s="36">
        <f t="shared" si="4"/>
        <v>0.255</v>
      </c>
      <c r="I124" s="37">
        <f t="shared" si="2"/>
        <v>51.792828685258968</v>
      </c>
      <c r="K124" s="37">
        <f t="shared" si="3"/>
        <v>13.207171314741032</v>
      </c>
      <c r="L124" s="37">
        <f t="shared" si="0"/>
        <v>13.207171314741037</v>
      </c>
      <c r="M124" s="35"/>
      <c r="N124" s="35"/>
      <c r="O124" s="35"/>
      <c r="P124" s="35"/>
      <c r="Q124" s="35"/>
      <c r="R124" s="35"/>
      <c r="S124" s="35"/>
      <c r="T124" s="35"/>
      <c r="U124" s="35"/>
      <c r="V124" s="35"/>
      <c r="W124" s="35"/>
      <c r="Y124" s="38"/>
      <c r="Z124" s="38"/>
      <c r="AA124" s="38"/>
      <c r="AB124" s="38"/>
      <c r="AC124" s="38"/>
      <c r="AD124" s="38"/>
      <c r="AE124" s="38"/>
      <c r="AF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row>
    <row r="125" spans="1:88" x14ac:dyDescent="0.25">
      <c r="A125" s="73" t="s">
        <v>106</v>
      </c>
      <c r="B125" s="74"/>
      <c r="C125" s="75"/>
      <c r="D125" s="30">
        <f t="shared" si="1"/>
        <v>7</v>
      </c>
      <c r="E125" s="32">
        <v>45663</v>
      </c>
      <c r="F125" s="26">
        <v>4500</v>
      </c>
      <c r="H125" s="36">
        <f t="shared" si="4"/>
        <v>0.255</v>
      </c>
      <c r="I125" s="37">
        <f t="shared" si="2"/>
        <v>3585.6573705179285</v>
      </c>
      <c r="K125" s="37">
        <f t="shared" si="3"/>
        <v>914.34262948207152</v>
      </c>
      <c r="L125" s="37">
        <f t="shared" si="0"/>
        <v>914.34262948207174</v>
      </c>
      <c r="M125" s="35"/>
      <c r="N125" s="35"/>
      <c r="O125" s="35"/>
      <c r="P125" s="35"/>
      <c r="Q125" s="35"/>
      <c r="R125" s="35"/>
      <c r="S125" s="35"/>
      <c r="T125" s="35"/>
      <c r="U125" s="35"/>
      <c r="V125" s="35"/>
      <c r="W125" s="35"/>
      <c r="Y125" s="38"/>
      <c r="Z125" s="38"/>
      <c r="AA125" s="38"/>
      <c r="AB125" s="38"/>
      <c r="AC125" s="38"/>
      <c r="AD125" s="38"/>
      <c r="AE125" s="38"/>
      <c r="AF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row>
    <row r="126" spans="1:88" ht="28.5" customHeight="1" x14ac:dyDescent="0.25">
      <c r="A126" s="185" t="s">
        <v>167</v>
      </c>
      <c r="B126" s="186"/>
      <c r="C126" s="187"/>
      <c r="D126" s="30">
        <f t="shared" si="1"/>
        <v>8</v>
      </c>
      <c r="E126" s="32">
        <v>45664</v>
      </c>
      <c r="F126" s="26">
        <f>200*35</f>
        <v>7000</v>
      </c>
      <c r="H126" s="36">
        <f t="shared" si="4"/>
        <v>0.255</v>
      </c>
      <c r="I126" s="37">
        <f t="shared" si="2"/>
        <v>5577.6892430278886</v>
      </c>
      <c r="K126" s="37">
        <f t="shared" si="3"/>
        <v>1422.3107569721114</v>
      </c>
      <c r="L126" s="37">
        <f t="shared" si="0"/>
        <v>1422.3107569721117</v>
      </c>
      <c r="M126" s="35"/>
      <c r="N126" s="35"/>
      <c r="O126" s="35"/>
      <c r="P126" s="35"/>
      <c r="Q126" s="35"/>
      <c r="R126" s="35"/>
      <c r="S126" s="35"/>
      <c r="T126" s="35"/>
      <c r="U126" s="35"/>
      <c r="V126" s="35"/>
      <c r="W126" s="35"/>
      <c r="Y126" s="38"/>
      <c r="Z126" s="38"/>
      <c r="AA126" s="38"/>
      <c r="AB126" s="38"/>
      <c r="AC126" s="38"/>
      <c r="AD126" s="38"/>
      <c r="AE126" s="38"/>
      <c r="AF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row>
    <row r="127" spans="1:88" ht="29.1" customHeight="1" x14ac:dyDescent="0.25">
      <c r="A127" s="182" t="s">
        <v>107</v>
      </c>
      <c r="B127" s="183"/>
      <c r="C127" s="184"/>
      <c r="D127" s="30">
        <f t="shared" si="1"/>
        <v>9</v>
      </c>
      <c r="E127" s="32">
        <v>45665</v>
      </c>
      <c r="F127" s="26">
        <v>65</v>
      </c>
      <c r="H127" s="36">
        <v>0</v>
      </c>
      <c r="I127" s="37">
        <f t="shared" si="2"/>
        <v>65</v>
      </c>
      <c r="K127" s="37">
        <f t="shared" si="3"/>
        <v>0</v>
      </c>
      <c r="L127" s="37">
        <f t="shared" si="0"/>
        <v>0</v>
      </c>
      <c r="M127" s="35"/>
      <c r="N127" s="35"/>
      <c r="O127" s="35"/>
      <c r="P127" s="35"/>
      <c r="Q127" s="35"/>
      <c r="R127" s="35"/>
      <c r="S127" s="35"/>
      <c r="T127" s="35"/>
      <c r="U127" s="35"/>
      <c r="V127" s="35"/>
      <c r="W127" s="35"/>
      <c r="Y127" s="38"/>
      <c r="Z127" s="38"/>
      <c r="AA127" s="38"/>
      <c r="AB127" s="38"/>
      <c r="AC127" s="38"/>
      <c r="AD127" s="38"/>
      <c r="AE127" s="38"/>
      <c r="AF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row>
    <row r="128" spans="1:88" x14ac:dyDescent="0.25">
      <c r="A128" s="182" t="s">
        <v>111</v>
      </c>
      <c r="B128" s="183"/>
      <c r="C128" s="184"/>
      <c r="D128" s="30">
        <f t="shared" si="1"/>
        <v>10</v>
      </c>
      <c r="E128" s="32">
        <v>45672</v>
      </c>
      <c r="F128" s="26">
        <v>7000</v>
      </c>
      <c r="H128" s="36">
        <f t="shared" si="4"/>
        <v>0</v>
      </c>
      <c r="I128" s="37">
        <f t="shared" si="2"/>
        <v>7000</v>
      </c>
      <c r="K128" s="37">
        <f t="shared" si="3"/>
        <v>0</v>
      </c>
      <c r="L128" s="37">
        <f t="shared" si="0"/>
        <v>0</v>
      </c>
      <c r="M128" s="35"/>
      <c r="N128" s="35"/>
      <c r="O128" s="35"/>
      <c r="P128" s="35"/>
      <c r="Q128" s="35"/>
      <c r="R128" s="35"/>
      <c r="S128" s="35"/>
      <c r="T128" s="35"/>
      <c r="U128" s="35"/>
      <c r="V128" s="35"/>
      <c r="W128" s="35"/>
      <c r="Y128" s="38"/>
      <c r="Z128" s="38"/>
      <c r="AA128" s="38"/>
      <c r="AB128" s="38"/>
      <c r="AC128" s="38"/>
      <c r="AD128" s="38"/>
      <c r="AE128" s="38"/>
      <c r="AF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row>
    <row r="129" spans="1:88" ht="32.1" customHeight="1" x14ac:dyDescent="0.25">
      <c r="A129" s="182" t="s">
        <v>113</v>
      </c>
      <c r="B129" s="183"/>
      <c r="C129" s="184"/>
      <c r="D129" s="30">
        <f t="shared" si="1"/>
        <v>11</v>
      </c>
      <c r="E129" s="32">
        <v>45672</v>
      </c>
      <c r="F129" s="26">
        <v>35</v>
      </c>
      <c r="H129" s="36">
        <v>0.255</v>
      </c>
      <c r="I129" s="37">
        <f t="shared" si="2"/>
        <v>27.888446215139446</v>
      </c>
      <c r="K129" s="37">
        <f t="shared" si="3"/>
        <v>7.1115537848605541</v>
      </c>
      <c r="L129" s="37">
        <f t="shared" si="0"/>
        <v>7.1115537848605586</v>
      </c>
      <c r="M129" s="35"/>
      <c r="N129" s="35"/>
      <c r="O129" s="35"/>
      <c r="P129" s="35"/>
      <c r="Q129" s="35"/>
      <c r="R129" s="35"/>
      <c r="S129" s="35"/>
      <c r="T129" s="35"/>
      <c r="U129" s="35"/>
      <c r="V129" s="35"/>
      <c r="W129" s="35"/>
      <c r="Y129" s="38"/>
      <c r="Z129" s="38"/>
      <c r="AA129" s="38"/>
      <c r="AB129" s="38"/>
      <c r="AC129" s="38"/>
      <c r="AD129" s="38"/>
      <c r="AE129" s="38"/>
      <c r="AF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row>
    <row r="130" spans="1:88" x14ac:dyDescent="0.25">
      <c r="A130" s="182" t="s">
        <v>168</v>
      </c>
      <c r="B130" s="183"/>
      <c r="C130" s="184"/>
      <c r="D130" s="30">
        <f t="shared" si="1"/>
        <v>12</v>
      </c>
      <c r="E130" s="32">
        <v>45673</v>
      </c>
      <c r="F130" s="26">
        <v>65</v>
      </c>
      <c r="H130" s="36">
        <f t="shared" si="4"/>
        <v>0.255</v>
      </c>
      <c r="I130" s="37">
        <f t="shared" si="2"/>
        <v>51.792828685258968</v>
      </c>
      <c r="K130" s="37">
        <f t="shared" si="3"/>
        <v>13.207171314741032</v>
      </c>
      <c r="L130" s="37">
        <f t="shared" si="0"/>
        <v>13.207171314741037</v>
      </c>
      <c r="M130" s="35"/>
      <c r="N130" s="35"/>
      <c r="O130" s="35"/>
      <c r="P130" s="35"/>
      <c r="Q130" s="35"/>
      <c r="R130" s="35"/>
      <c r="S130" s="35"/>
      <c r="T130" s="35"/>
      <c r="U130" s="35"/>
      <c r="V130" s="35"/>
      <c r="W130" s="35"/>
      <c r="Y130" s="38"/>
      <c r="Z130" s="38"/>
      <c r="AA130" s="38"/>
      <c r="AB130" s="38"/>
      <c r="AC130" s="38"/>
      <c r="AD130" s="38"/>
      <c r="AE130" s="38"/>
      <c r="AF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row>
    <row r="131" spans="1:88" x14ac:dyDescent="0.25">
      <c r="A131" s="182" t="s">
        <v>126</v>
      </c>
      <c r="B131" s="183"/>
      <c r="C131" s="184"/>
      <c r="D131" s="30">
        <f t="shared" si="1"/>
        <v>13</v>
      </c>
      <c r="E131" s="32">
        <v>45674</v>
      </c>
      <c r="F131" s="26">
        <f>F130*0.9</f>
        <v>58.5</v>
      </c>
      <c r="H131" s="36">
        <v>0.255</v>
      </c>
      <c r="I131" s="37">
        <f t="shared" si="2"/>
        <v>46.613545816733073</v>
      </c>
      <c r="K131" s="37">
        <f t="shared" si="3"/>
        <v>11.886454183266927</v>
      </c>
      <c r="L131" s="37">
        <f t="shared" si="0"/>
        <v>11.886454183266933</v>
      </c>
      <c r="M131" s="35"/>
      <c r="N131" s="35"/>
      <c r="O131" s="35"/>
      <c r="P131" s="35"/>
      <c r="Q131" s="35"/>
      <c r="R131" s="35"/>
      <c r="S131" s="35"/>
      <c r="T131" s="35"/>
      <c r="U131" s="35"/>
      <c r="V131" s="35"/>
      <c r="W131" s="35"/>
      <c r="Y131" s="38"/>
      <c r="Z131" s="38"/>
      <c r="AA131" s="38"/>
      <c r="AB131" s="38"/>
      <c r="AC131" s="38"/>
      <c r="AD131" s="38"/>
      <c r="AE131" s="38"/>
      <c r="AF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row>
    <row r="132" spans="1:88" ht="29.25" customHeight="1" x14ac:dyDescent="0.25">
      <c r="A132" s="196" t="s">
        <v>139</v>
      </c>
      <c r="B132" s="197"/>
      <c r="C132" s="198"/>
      <c r="D132" s="30">
        <v>13</v>
      </c>
      <c r="E132" s="32"/>
      <c r="F132" s="26">
        <f>F130-F131</f>
        <v>6.5</v>
      </c>
      <c r="H132" s="36">
        <v>0.255</v>
      </c>
      <c r="I132" s="37">
        <f t="shared" si="2"/>
        <v>5.1792828685258971</v>
      </c>
      <c r="K132" s="37">
        <f t="shared" si="3"/>
        <v>1.3207171314741029</v>
      </c>
      <c r="L132" s="37">
        <f t="shared" si="0"/>
        <v>1.3207171314741037</v>
      </c>
      <c r="M132" s="35"/>
      <c r="N132" s="35"/>
      <c r="O132" s="35"/>
      <c r="P132" s="35"/>
      <c r="Q132" s="35"/>
      <c r="R132" s="35"/>
      <c r="S132" s="35"/>
      <c r="T132" s="35"/>
      <c r="U132" s="35"/>
      <c r="V132" s="35"/>
      <c r="W132" s="35"/>
      <c r="Y132" s="38"/>
      <c r="Z132" s="38"/>
      <c r="AA132" s="38"/>
      <c r="AB132" s="38"/>
      <c r="AC132" s="38"/>
      <c r="AD132" s="38"/>
      <c r="AE132" s="38"/>
      <c r="AF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row>
    <row r="133" spans="1:88" x14ac:dyDescent="0.25">
      <c r="A133" s="182" t="s">
        <v>127</v>
      </c>
      <c r="B133" s="183"/>
      <c r="C133" s="184"/>
      <c r="D133" s="30">
        <v>13</v>
      </c>
      <c r="E133" s="32"/>
      <c r="F133" s="26"/>
      <c r="H133" s="36">
        <f t="shared" si="4"/>
        <v>0.255</v>
      </c>
      <c r="I133" s="37">
        <f t="shared" si="2"/>
        <v>0</v>
      </c>
      <c r="K133" s="37">
        <f t="shared" si="3"/>
        <v>0</v>
      </c>
      <c r="L133" s="37">
        <f t="shared" si="0"/>
        <v>0</v>
      </c>
      <c r="M133" s="35"/>
      <c r="N133" s="35"/>
      <c r="O133" s="35"/>
      <c r="P133" s="35"/>
      <c r="Q133" s="35"/>
      <c r="R133" s="35"/>
      <c r="S133" s="35"/>
      <c r="T133" s="35"/>
      <c r="U133" s="35"/>
      <c r="V133" s="35"/>
      <c r="W133" s="35"/>
      <c r="Y133" s="38"/>
      <c r="Z133" s="38"/>
      <c r="AA133" s="38"/>
      <c r="AB133" s="38"/>
      <c r="AC133" s="38"/>
      <c r="AD133" s="38"/>
      <c r="AE133" s="38"/>
      <c r="AF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row>
    <row r="134" spans="1:88" ht="22.5" customHeight="1" x14ac:dyDescent="0.25">
      <c r="A134" s="182" t="s">
        <v>138</v>
      </c>
      <c r="B134" s="183"/>
      <c r="C134" s="184"/>
      <c r="D134" s="30">
        <f t="shared" si="1"/>
        <v>14</v>
      </c>
      <c r="E134" s="32">
        <v>45674</v>
      </c>
      <c r="F134" s="26">
        <f>155*35</f>
        <v>5425</v>
      </c>
      <c r="H134" s="36">
        <f t="shared" si="4"/>
        <v>0.255</v>
      </c>
      <c r="I134" s="37">
        <f t="shared" si="2"/>
        <v>4322.7091633466143</v>
      </c>
      <c r="K134" s="37">
        <f t="shared" si="3"/>
        <v>1102.2908366533857</v>
      </c>
      <c r="L134" s="37">
        <f t="shared" si="0"/>
        <v>1102.2908366533866</v>
      </c>
      <c r="M134" s="35"/>
      <c r="N134" s="35"/>
      <c r="O134" s="35"/>
      <c r="P134" s="35"/>
      <c r="Q134" s="35"/>
      <c r="R134" s="35"/>
      <c r="S134" s="35"/>
      <c r="T134" s="35"/>
      <c r="U134" s="35"/>
      <c r="V134" s="35"/>
      <c r="W134" s="35"/>
      <c r="Y134" s="38"/>
      <c r="Z134" s="38"/>
      <c r="AA134" s="38"/>
      <c r="AB134" s="38"/>
      <c r="AC134" s="38"/>
      <c r="AD134" s="38"/>
      <c r="AE134" s="38"/>
      <c r="AF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row>
    <row r="135" spans="1:88" ht="31.5" customHeight="1" x14ac:dyDescent="0.25">
      <c r="A135" s="185" t="s">
        <v>141</v>
      </c>
      <c r="B135" s="186"/>
      <c r="C135" s="187"/>
      <c r="D135" s="30">
        <f t="shared" si="1"/>
        <v>15</v>
      </c>
      <c r="E135" s="32">
        <v>45675</v>
      </c>
      <c r="F135" s="26">
        <f>F134*0.95</f>
        <v>5153.75</v>
      </c>
      <c r="H135" s="36">
        <f t="shared" si="4"/>
        <v>0.255</v>
      </c>
      <c r="I135" s="37">
        <f t="shared" si="2"/>
        <v>4106.573705179283</v>
      </c>
      <c r="K135" s="37">
        <f t="shared" si="3"/>
        <v>1047.176294820717</v>
      </c>
      <c r="L135" s="37">
        <f t="shared" si="0"/>
        <v>1047.1762948207172</v>
      </c>
      <c r="M135" s="35"/>
      <c r="N135" s="35"/>
      <c r="O135" s="35"/>
      <c r="P135" s="35"/>
      <c r="Q135" s="35"/>
      <c r="R135" s="35"/>
      <c r="S135" s="35"/>
      <c r="T135" s="35"/>
      <c r="U135" s="35"/>
      <c r="V135" s="35"/>
      <c r="W135" s="35"/>
      <c r="Y135" s="38"/>
      <c r="Z135" s="38"/>
      <c r="AA135" s="38"/>
      <c r="AB135" s="38"/>
      <c r="AC135" s="38"/>
      <c r="AD135" s="38"/>
      <c r="AE135" s="38"/>
      <c r="AF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row>
    <row r="136" spans="1:88" ht="28.5" customHeight="1" x14ac:dyDescent="0.25">
      <c r="A136" s="196" t="s">
        <v>140</v>
      </c>
      <c r="B136" s="197"/>
      <c r="C136" s="198"/>
      <c r="D136" s="30">
        <v>15</v>
      </c>
      <c r="E136" s="32"/>
      <c r="F136" s="26">
        <f>F134-F135</f>
        <v>271.25</v>
      </c>
      <c r="H136" s="36">
        <f t="shared" si="4"/>
        <v>0.255</v>
      </c>
      <c r="I136" s="37">
        <f t="shared" si="2"/>
        <v>216.13545816733068</v>
      </c>
      <c r="K136" s="37">
        <f t="shared" si="3"/>
        <v>55.114541832669318</v>
      </c>
      <c r="L136" s="37">
        <f t="shared" si="0"/>
        <v>55.114541832669325</v>
      </c>
      <c r="M136" s="35"/>
      <c r="N136" s="35"/>
      <c r="O136" s="35"/>
      <c r="P136" s="35"/>
      <c r="Q136" s="35"/>
      <c r="R136" s="35"/>
      <c r="S136" s="35"/>
      <c r="T136" s="35"/>
      <c r="U136" s="35"/>
      <c r="V136" s="35"/>
      <c r="W136" s="35"/>
      <c r="Y136" s="38"/>
      <c r="Z136" s="38"/>
      <c r="AA136" s="38"/>
      <c r="AB136" s="38"/>
      <c r="AC136" s="38"/>
      <c r="AD136" s="38"/>
      <c r="AE136" s="38"/>
      <c r="AF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row>
    <row r="137" spans="1:88" ht="24" customHeight="1" x14ac:dyDescent="0.25">
      <c r="A137" s="182" t="s">
        <v>142</v>
      </c>
      <c r="B137" s="183"/>
      <c r="C137" s="184"/>
      <c r="D137" s="30">
        <f t="shared" si="1"/>
        <v>16</v>
      </c>
      <c r="E137" s="32">
        <v>45677</v>
      </c>
      <c r="F137" s="26">
        <f>100*1.5</f>
        <v>150</v>
      </c>
      <c r="H137" s="36">
        <f t="shared" si="4"/>
        <v>0.255</v>
      </c>
      <c r="I137" s="37">
        <f t="shared" si="2"/>
        <v>119.52191235059762</v>
      </c>
      <c r="K137" s="37">
        <f t="shared" si="3"/>
        <v>30.478087649402383</v>
      </c>
      <c r="L137" s="37">
        <f t="shared" si="0"/>
        <v>30.478087649402394</v>
      </c>
      <c r="M137" s="35"/>
      <c r="N137" s="35"/>
      <c r="O137" s="35"/>
      <c r="P137" s="35"/>
      <c r="Q137" s="35"/>
      <c r="R137" s="35"/>
      <c r="S137" s="35"/>
      <c r="T137" s="35"/>
      <c r="U137" s="35"/>
      <c r="V137" s="35"/>
      <c r="W137" s="35"/>
      <c r="Y137" s="38"/>
      <c r="Z137" s="38"/>
      <c r="AA137" s="38"/>
      <c r="AB137" s="38"/>
      <c r="AC137" s="38"/>
      <c r="AD137" s="38"/>
      <c r="AE137" s="38"/>
      <c r="AF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row>
    <row r="138" spans="1:88" ht="50.25" customHeight="1" x14ac:dyDescent="0.25">
      <c r="A138" s="185" t="s">
        <v>144</v>
      </c>
      <c r="B138" s="186"/>
      <c r="C138" s="187"/>
      <c r="D138" s="30">
        <f t="shared" si="1"/>
        <v>17</v>
      </c>
      <c r="E138" s="32">
        <v>45678</v>
      </c>
      <c r="F138" s="27">
        <f>F137*0.98</f>
        <v>147</v>
      </c>
      <c r="H138" s="36">
        <f t="shared" si="4"/>
        <v>0.255</v>
      </c>
      <c r="I138" s="37">
        <f t="shared" si="2"/>
        <v>117.13147410358567</v>
      </c>
      <c r="K138" s="37">
        <f t="shared" si="3"/>
        <v>29.868525896414326</v>
      </c>
      <c r="L138" s="37">
        <f t="shared" si="0"/>
        <v>29.868525896414347</v>
      </c>
      <c r="M138" s="35"/>
      <c r="N138" s="35"/>
      <c r="O138" s="35"/>
      <c r="P138" s="35"/>
      <c r="Q138" s="35"/>
      <c r="R138" s="35"/>
      <c r="S138" s="35"/>
      <c r="T138" s="35"/>
      <c r="U138" s="35"/>
      <c r="V138" s="35"/>
      <c r="W138" s="35"/>
      <c r="Y138" s="38"/>
      <c r="Z138" s="38"/>
      <c r="AA138" s="38"/>
      <c r="AB138" s="38"/>
      <c r="AC138" s="38"/>
      <c r="AD138" s="38"/>
      <c r="AE138" s="38"/>
      <c r="AF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row>
    <row r="139" spans="1:88" ht="31.5" customHeight="1" x14ac:dyDescent="0.25">
      <c r="A139" s="185" t="s">
        <v>143</v>
      </c>
      <c r="B139" s="186"/>
      <c r="C139" s="187"/>
      <c r="D139" s="30">
        <v>17</v>
      </c>
      <c r="E139" s="32"/>
      <c r="F139" s="26">
        <f>F137-F138</f>
        <v>3</v>
      </c>
      <c r="H139" s="36">
        <f t="shared" si="4"/>
        <v>0.255</v>
      </c>
      <c r="I139" s="37">
        <f t="shared" si="2"/>
        <v>2.3904382470119523</v>
      </c>
      <c r="K139" s="37">
        <f t="shared" si="3"/>
        <v>0.60956175298804771</v>
      </c>
      <c r="L139" s="37">
        <f t="shared" si="0"/>
        <v>0.60956175298804782</v>
      </c>
      <c r="M139" s="35"/>
      <c r="N139" s="35"/>
      <c r="O139" s="35"/>
      <c r="P139" s="35"/>
      <c r="Q139" s="35"/>
      <c r="R139" s="35"/>
      <c r="S139" s="35"/>
      <c r="T139" s="35"/>
      <c r="U139" s="35"/>
      <c r="V139" s="35"/>
      <c r="W139" s="35"/>
      <c r="Y139" s="38"/>
      <c r="Z139" s="38"/>
      <c r="AA139" s="38"/>
      <c r="AB139" s="38"/>
      <c r="AC139" s="38"/>
      <c r="AD139" s="38"/>
      <c r="AE139" s="38"/>
      <c r="AF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row>
    <row r="140" spans="1:88" x14ac:dyDescent="0.25">
      <c r="A140" s="182"/>
      <c r="B140" s="183"/>
      <c r="C140" s="184"/>
      <c r="D140" s="30">
        <f t="shared" si="1"/>
        <v>18</v>
      </c>
      <c r="E140" s="32"/>
      <c r="F140" s="26"/>
      <c r="H140" s="36">
        <f t="shared" si="4"/>
        <v>0.255</v>
      </c>
      <c r="I140" s="37">
        <f t="shared" si="2"/>
        <v>0</v>
      </c>
      <c r="K140" s="37">
        <f t="shared" si="3"/>
        <v>0</v>
      </c>
      <c r="L140" s="37">
        <f t="shared" si="0"/>
        <v>0</v>
      </c>
      <c r="M140" s="35"/>
      <c r="N140" s="35"/>
      <c r="O140" s="35"/>
      <c r="P140" s="35"/>
      <c r="Q140" s="35"/>
      <c r="R140" s="35"/>
      <c r="S140" s="35"/>
      <c r="T140" s="35"/>
      <c r="U140" s="35"/>
      <c r="V140" s="35"/>
      <c r="W140" s="35"/>
      <c r="Y140" s="38"/>
      <c r="Z140" s="38"/>
      <c r="AA140" s="38"/>
      <c r="AB140" s="38"/>
      <c r="AC140" s="38"/>
      <c r="AD140" s="38"/>
      <c r="AE140" s="38"/>
      <c r="AF140" s="38"/>
      <c r="AG140" s="62"/>
      <c r="AI140" s="42"/>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row>
    <row r="141" spans="1:88" ht="37.5" customHeight="1" x14ac:dyDescent="0.25">
      <c r="A141" s="182"/>
      <c r="B141" s="183"/>
      <c r="C141" s="184"/>
      <c r="D141" s="30">
        <f t="shared" si="1"/>
        <v>19</v>
      </c>
      <c r="E141" s="32"/>
      <c r="F141" s="27"/>
      <c r="H141" s="36">
        <f t="shared" si="4"/>
        <v>0.255</v>
      </c>
      <c r="I141" s="37">
        <f t="shared" si="2"/>
        <v>0</v>
      </c>
      <c r="K141" s="37">
        <f t="shared" si="3"/>
        <v>0</v>
      </c>
      <c r="L141" s="37">
        <f t="shared" si="0"/>
        <v>0</v>
      </c>
      <c r="M141" s="35"/>
      <c r="N141" s="35"/>
      <c r="O141" s="35"/>
      <c r="P141" s="35"/>
      <c r="Q141" s="35"/>
      <c r="R141" s="35"/>
      <c r="S141" s="35"/>
      <c r="T141" s="35"/>
      <c r="U141" s="35"/>
      <c r="V141" s="35"/>
      <c r="W141" s="35"/>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row>
    <row r="142" spans="1:88" x14ac:dyDescent="0.25">
      <c r="A142" s="182"/>
      <c r="B142" s="183"/>
      <c r="C142" s="184"/>
      <c r="D142" s="30">
        <f t="shared" si="1"/>
        <v>20</v>
      </c>
      <c r="E142" s="32"/>
      <c r="F142" s="26"/>
      <c r="H142" s="36">
        <f t="shared" si="4"/>
        <v>0.255</v>
      </c>
      <c r="I142" s="37">
        <f t="shared" si="2"/>
        <v>0</v>
      </c>
      <c r="K142" s="37">
        <f t="shared" si="3"/>
        <v>0</v>
      </c>
      <c r="L142" s="37">
        <f t="shared" si="0"/>
        <v>0</v>
      </c>
      <c r="M142" s="35"/>
      <c r="N142" s="35"/>
      <c r="O142" s="35"/>
      <c r="P142" s="35"/>
      <c r="Q142" s="35"/>
      <c r="R142" s="35"/>
      <c r="S142" s="35"/>
      <c r="T142" s="35"/>
      <c r="U142" s="35"/>
      <c r="V142" s="35"/>
      <c r="W142" s="35"/>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row>
    <row r="143" spans="1:88" ht="31.5" customHeight="1" x14ac:dyDescent="0.25">
      <c r="A143" s="202" t="s">
        <v>45</v>
      </c>
      <c r="B143" s="203"/>
      <c r="C143" s="204"/>
      <c r="D143" s="30"/>
      <c r="E143" s="32"/>
      <c r="F143" s="26"/>
      <c r="H143" s="36">
        <v>0</v>
      </c>
      <c r="I143" s="37">
        <f t="shared" si="2"/>
        <v>0</v>
      </c>
      <c r="K143" s="37">
        <f t="shared" si="3"/>
        <v>0</v>
      </c>
      <c r="L143" s="37">
        <f t="shared" si="0"/>
        <v>0</v>
      </c>
      <c r="M143" s="35"/>
      <c r="N143" s="35"/>
      <c r="O143" s="35"/>
      <c r="P143" s="35"/>
      <c r="Q143" s="35"/>
      <c r="R143" s="35"/>
      <c r="S143" s="35"/>
      <c r="T143" s="35"/>
      <c r="U143" s="35"/>
      <c r="V143" s="35"/>
      <c r="W143" s="35"/>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row>
    <row r="144" spans="1:88" ht="29.25" customHeight="1" x14ac:dyDescent="0.25">
      <c r="A144" s="199" t="s">
        <v>145</v>
      </c>
      <c r="B144" s="200"/>
      <c r="C144" s="201"/>
      <c r="D144" s="30">
        <f>D142+1</f>
        <v>21</v>
      </c>
      <c r="E144" s="32">
        <v>45688</v>
      </c>
      <c r="F144" s="26">
        <f>K12*0.1</f>
        <v>756.972111553785</v>
      </c>
      <c r="H144" s="36">
        <v>0</v>
      </c>
      <c r="I144" s="37">
        <f t="shared" si="2"/>
        <v>756.972111553785</v>
      </c>
      <c r="K144" s="37">
        <f t="shared" si="3"/>
        <v>0</v>
      </c>
      <c r="L144" s="37">
        <f t="shared" si="0"/>
        <v>0</v>
      </c>
      <c r="M144" s="35"/>
      <c r="N144" s="35"/>
      <c r="O144" s="35"/>
      <c r="P144" s="35"/>
      <c r="Q144" s="35"/>
      <c r="R144" s="35"/>
      <c r="S144" s="35"/>
      <c r="T144" s="35"/>
      <c r="U144" s="35"/>
      <c r="V144" s="35"/>
      <c r="W144" s="35"/>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row>
    <row r="145" spans="1:88" ht="36" customHeight="1" x14ac:dyDescent="0.25">
      <c r="A145" s="207" t="s">
        <v>146</v>
      </c>
      <c r="B145" s="208"/>
      <c r="C145" s="209"/>
      <c r="D145" s="30">
        <f>D144+1</f>
        <v>22</v>
      </c>
      <c r="E145" s="32"/>
      <c r="F145" s="26">
        <f>0.25*K12</f>
        <v>1892.4302788844623</v>
      </c>
      <c r="H145" s="36">
        <v>0</v>
      </c>
      <c r="I145" s="37">
        <f t="shared" si="2"/>
        <v>1892.4302788844623</v>
      </c>
      <c r="K145" s="37">
        <f t="shared" si="3"/>
        <v>0</v>
      </c>
      <c r="L145" s="37">
        <f t="shared" si="0"/>
        <v>0</v>
      </c>
      <c r="M145" s="35"/>
      <c r="N145" s="35"/>
      <c r="O145" s="35"/>
      <c r="P145" s="35"/>
      <c r="Q145" s="35"/>
      <c r="R145" s="35"/>
      <c r="S145" s="35"/>
      <c r="T145" s="35"/>
      <c r="U145" s="35"/>
      <c r="V145" s="35"/>
      <c r="W145" s="35"/>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row>
    <row r="146" spans="1:88" ht="60" customHeight="1" x14ac:dyDescent="0.25">
      <c r="A146" s="207" t="s">
        <v>147</v>
      </c>
      <c r="B146" s="208"/>
      <c r="C146" s="209"/>
      <c r="D146" s="30">
        <v>22</v>
      </c>
      <c r="E146" s="32"/>
      <c r="F146" s="26">
        <f>F145-F144</f>
        <v>1135.4581673306773</v>
      </c>
      <c r="H146" s="36">
        <v>0</v>
      </c>
      <c r="I146" s="37">
        <f t="shared" si="2"/>
        <v>1135.4581673306773</v>
      </c>
      <c r="K146" s="37">
        <f t="shared" si="3"/>
        <v>0</v>
      </c>
      <c r="L146" s="37">
        <f t="shared" si="0"/>
        <v>0</v>
      </c>
      <c r="M146" s="35"/>
      <c r="N146" s="35"/>
      <c r="O146" s="35"/>
      <c r="P146" s="35"/>
      <c r="Q146" s="35"/>
      <c r="R146" s="35"/>
      <c r="S146" s="35"/>
      <c r="T146" s="35"/>
      <c r="U146" s="35"/>
      <c r="V146" s="35"/>
      <c r="W146" s="35"/>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row>
    <row r="147" spans="1:88" ht="39.75" customHeight="1" x14ac:dyDescent="0.25">
      <c r="A147" s="207" t="s">
        <v>169</v>
      </c>
      <c r="B147" s="208"/>
      <c r="C147" s="209"/>
      <c r="D147" s="30">
        <f t="shared" ref="D147:D159" si="5">D146+1</f>
        <v>23</v>
      </c>
      <c r="E147" s="32">
        <v>45688</v>
      </c>
      <c r="F147" s="26">
        <f>50*35</f>
        <v>1750</v>
      </c>
      <c r="H147" s="36">
        <v>0</v>
      </c>
      <c r="I147" s="37">
        <f t="shared" si="2"/>
        <v>1750</v>
      </c>
      <c r="K147" s="37">
        <f t="shared" si="3"/>
        <v>0</v>
      </c>
      <c r="L147" s="37">
        <f t="shared" si="0"/>
        <v>0</v>
      </c>
      <c r="M147" s="35"/>
      <c r="N147" s="35"/>
      <c r="O147" s="35"/>
      <c r="P147" s="35"/>
      <c r="Q147" s="35"/>
      <c r="R147" s="35"/>
      <c r="S147" s="35"/>
      <c r="T147" s="35"/>
      <c r="U147" s="35"/>
      <c r="V147" s="35"/>
      <c r="W147" s="35"/>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row>
    <row r="148" spans="1:88" x14ac:dyDescent="0.25">
      <c r="A148" s="199" t="s">
        <v>47</v>
      </c>
      <c r="B148" s="200"/>
      <c r="C148" s="201"/>
      <c r="D148" s="30">
        <f t="shared" si="5"/>
        <v>24</v>
      </c>
      <c r="E148" s="32"/>
      <c r="F148" s="27"/>
      <c r="H148" s="36">
        <v>0</v>
      </c>
      <c r="I148" s="37">
        <f t="shared" si="2"/>
        <v>0</v>
      </c>
      <c r="K148" s="37">
        <f t="shared" si="3"/>
        <v>0</v>
      </c>
      <c r="L148" s="37">
        <f t="shared" si="0"/>
        <v>0</v>
      </c>
      <c r="M148" s="35"/>
      <c r="N148" s="35"/>
      <c r="O148" s="35"/>
      <c r="P148" s="35"/>
      <c r="Q148" s="35"/>
      <c r="R148" s="35"/>
      <c r="S148" s="35"/>
      <c r="T148" s="35"/>
      <c r="U148" s="35"/>
      <c r="V148" s="35"/>
      <c r="W148" s="35"/>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row>
    <row r="149" spans="1:88" x14ac:dyDescent="0.25">
      <c r="A149" s="199"/>
      <c r="B149" s="200"/>
      <c r="C149" s="201"/>
      <c r="D149" s="30">
        <f t="shared" si="5"/>
        <v>25</v>
      </c>
      <c r="E149" s="32"/>
      <c r="F149" s="27"/>
      <c r="H149" s="36">
        <v>0</v>
      </c>
      <c r="I149" s="37">
        <f t="shared" si="2"/>
        <v>0</v>
      </c>
      <c r="K149" s="37">
        <f t="shared" si="3"/>
        <v>0</v>
      </c>
      <c r="L149" s="37">
        <f t="shared" si="0"/>
        <v>0</v>
      </c>
      <c r="M149" s="35"/>
      <c r="N149" s="35"/>
      <c r="O149" s="35"/>
      <c r="P149" s="35"/>
      <c r="Q149" s="35"/>
      <c r="R149" s="35"/>
      <c r="S149" s="35"/>
      <c r="T149" s="35"/>
      <c r="U149" s="35"/>
      <c r="V149" s="35"/>
      <c r="W149" s="35"/>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row>
    <row r="150" spans="1:88" x14ac:dyDescent="0.25">
      <c r="A150" s="199"/>
      <c r="B150" s="200"/>
      <c r="C150" s="201"/>
      <c r="D150" s="30">
        <f t="shared" si="5"/>
        <v>26</v>
      </c>
      <c r="E150" s="32"/>
      <c r="F150" s="26"/>
      <c r="H150" s="36">
        <v>0</v>
      </c>
      <c r="I150" s="37">
        <f t="shared" si="2"/>
        <v>0</v>
      </c>
      <c r="K150" s="37">
        <f t="shared" si="3"/>
        <v>0</v>
      </c>
      <c r="L150" s="37">
        <f t="shared" si="0"/>
        <v>0</v>
      </c>
      <c r="M150" s="35"/>
      <c r="N150" s="35"/>
      <c r="O150" s="35"/>
      <c r="P150" s="35"/>
      <c r="Q150" s="35"/>
      <c r="R150" s="35"/>
      <c r="S150" s="35"/>
      <c r="T150" s="35"/>
      <c r="U150" s="35"/>
      <c r="V150" s="35"/>
      <c r="W150" s="35"/>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row>
    <row r="151" spans="1:88" x14ac:dyDescent="0.25">
      <c r="A151" s="199"/>
      <c r="B151" s="200"/>
      <c r="C151" s="201"/>
      <c r="D151" s="30">
        <f t="shared" si="5"/>
        <v>27</v>
      </c>
      <c r="E151" s="32"/>
      <c r="F151" s="26"/>
      <c r="H151" s="36">
        <v>0</v>
      </c>
      <c r="I151" s="37">
        <f t="shared" si="2"/>
        <v>0</v>
      </c>
      <c r="K151" s="37">
        <f t="shared" si="3"/>
        <v>0</v>
      </c>
      <c r="L151" s="37">
        <f t="shared" si="0"/>
        <v>0</v>
      </c>
      <c r="M151" s="35"/>
      <c r="N151" s="35"/>
      <c r="O151" s="35"/>
      <c r="P151" s="35"/>
      <c r="Q151" s="35"/>
      <c r="R151" s="35"/>
      <c r="S151" s="35"/>
      <c r="T151" s="35"/>
      <c r="U151" s="35"/>
      <c r="V151" s="35"/>
      <c r="W151" s="35"/>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row>
    <row r="152" spans="1:88" x14ac:dyDescent="0.25">
      <c r="A152" s="199"/>
      <c r="B152" s="200"/>
      <c r="C152" s="201"/>
      <c r="D152" s="30">
        <f t="shared" si="5"/>
        <v>28</v>
      </c>
      <c r="E152" s="32"/>
      <c r="F152" s="26"/>
      <c r="H152" s="36">
        <v>0</v>
      </c>
      <c r="I152" s="37">
        <f t="shared" si="2"/>
        <v>0</v>
      </c>
      <c r="K152" s="37">
        <f t="shared" si="3"/>
        <v>0</v>
      </c>
      <c r="L152" s="37">
        <f t="shared" si="0"/>
        <v>0</v>
      </c>
      <c r="M152" s="35"/>
      <c r="N152" s="35"/>
      <c r="O152" s="35"/>
      <c r="P152" s="35"/>
      <c r="Q152" s="35"/>
      <c r="R152" s="35"/>
      <c r="S152" s="35"/>
      <c r="T152" s="35"/>
      <c r="U152" s="35"/>
      <c r="V152" s="35"/>
      <c r="W152" s="35"/>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row>
    <row r="153" spans="1:88" x14ac:dyDescent="0.25">
      <c r="A153" s="199"/>
      <c r="B153" s="200"/>
      <c r="C153" s="201"/>
      <c r="D153" s="30">
        <f t="shared" si="5"/>
        <v>29</v>
      </c>
      <c r="E153" s="32"/>
      <c r="F153" s="27"/>
      <c r="H153" s="36">
        <v>0</v>
      </c>
      <c r="I153" s="37">
        <f t="shared" si="2"/>
        <v>0</v>
      </c>
      <c r="K153" s="37">
        <f t="shared" si="3"/>
        <v>0</v>
      </c>
      <c r="L153" s="37">
        <f t="shared" si="0"/>
        <v>0</v>
      </c>
      <c r="M153" s="35"/>
      <c r="N153" s="35"/>
      <c r="O153" s="35"/>
      <c r="P153" s="35"/>
      <c r="Q153" s="35"/>
      <c r="R153" s="35"/>
      <c r="S153" s="35"/>
      <c r="T153" s="35"/>
      <c r="U153" s="35"/>
      <c r="V153" s="35"/>
      <c r="W153" s="35"/>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row>
    <row r="154" spans="1:88" x14ac:dyDescent="0.25">
      <c r="A154" s="199"/>
      <c r="B154" s="200"/>
      <c r="C154" s="201"/>
      <c r="D154" s="30">
        <f t="shared" si="5"/>
        <v>30</v>
      </c>
      <c r="E154" s="32"/>
      <c r="F154" s="26"/>
      <c r="H154" s="36">
        <v>0</v>
      </c>
      <c r="I154" s="37">
        <f t="shared" si="2"/>
        <v>0</v>
      </c>
      <c r="K154" s="37">
        <f t="shared" si="3"/>
        <v>0</v>
      </c>
      <c r="L154" s="37">
        <f t="shared" si="0"/>
        <v>0</v>
      </c>
      <c r="M154" s="35"/>
      <c r="N154" s="35"/>
      <c r="O154" s="35"/>
      <c r="P154" s="35"/>
      <c r="Q154" s="35"/>
      <c r="R154" s="35"/>
      <c r="S154" s="35"/>
      <c r="T154" s="35"/>
      <c r="U154" s="35"/>
      <c r="V154" s="35"/>
      <c r="W154" s="35"/>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row>
    <row r="155" spans="1:88" x14ac:dyDescent="0.25">
      <c r="A155" s="199"/>
      <c r="B155" s="200"/>
      <c r="C155" s="201"/>
      <c r="D155" s="30">
        <f t="shared" si="5"/>
        <v>31</v>
      </c>
      <c r="E155" s="32"/>
      <c r="F155" s="27"/>
      <c r="H155" s="36">
        <v>0</v>
      </c>
      <c r="I155" s="37">
        <f t="shared" si="2"/>
        <v>0</v>
      </c>
      <c r="K155" s="37">
        <f t="shared" si="3"/>
        <v>0</v>
      </c>
      <c r="L155" s="37">
        <f t="shared" si="0"/>
        <v>0</v>
      </c>
      <c r="M155" s="35"/>
      <c r="N155" s="35"/>
      <c r="O155" s="35"/>
      <c r="P155" s="35"/>
      <c r="Q155" s="35"/>
      <c r="R155" s="35"/>
      <c r="S155" s="35"/>
      <c r="T155" s="35"/>
      <c r="U155" s="35"/>
      <c r="V155" s="35"/>
      <c r="W155" s="35"/>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row>
    <row r="156" spans="1:88" x14ac:dyDescent="0.25">
      <c r="A156" s="199"/>
      <c r="B156" s="200"/>
      <c r="C156" s="201"/>
      <c r="D156" s="30">
        <f t="shared" si="5"/>
        <v>32</v>
      </c>
      <c r="E156" s="32"/>
      <c r="F156" s="27"/>
      <c r="H156" s="36">
        <v>0</v>
      </c>
      <c r="I156" s="37">
        <f t="shared" si="2"/>
        <v>0</v>
      </c>
      <c r="K156" s="37">
        <f t="shared" si="3"/>
        <v>0</v>
      </c>
      <c r="L156" s="37">
        <f t="shared" si="0"/>
        <v>0</v>
      </c>
      <c r="M156" s="35"/>
      <c r="N156" s="35"/>
      <c r="O156" s="35"/>
      <c r="P156" s="35"/>
      <c r="Q156" s="35"/>
      <c r="R156" s="35"/>
      <c r="S156" s="35"/>
      <c r="T156" s="35"/>
      <c r="U156" s="35"/>
      <c r="V156" s="35"/>
      <c r="W156" s="35"/>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row>
    <row r="157" spans="1:88" x14ac:dyDescent="0.25">
      <c r="A157" s="199"/>
      <c r="B157" s="200"/>
      <c r="C157" s="201"/>
      <c r="D157" s="30">
        <f t="shared" si="5"/>
        <v>33</v>
      </c>
      <c r="E157" s="32"/>
      <c r="F157" s="26"/>
      <c r="H157" s="36">
        <v>0</v>
      </c>
      <c r="I157" s="37">
        <f t="shared" si="2"/>
        <v>0</v>
      </c>
      <c r="K157" s="37">
        <f t="shared" si="3"/>
        <v>0</v>
      </c>
      <c r="L157" s="37">
        <f t="shared" si="0"/>
        <v>0</v>
      </c>
      <c r="M157" s="35"/>
      <c r="N157" s="35"/>
      <c r="O157" s="35"/>
      <c r="P157" s="35"/>
      <c r="Q157" s="35"/>
      <c r="R157" s="35"/>
      <c r="S157" s="35"/>
      <c r="T157" s="35"/>
      <c r="U157" s="35"/>
      <c r="V157" s="35"/>
      <c r="W157" s="35"/>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row>
    <row r="158" spans="1:88" x14ac:dyDescent="0.25">
      <c r="A158" s="199"/>
      <c r="B158" s="200"/>
      <c r="C158" s="201"/>
      <c r="D158" s="30">
        <f t="shared" si="5"/>
        <v>34</v>
      </c>
      <c r="E158" s="32"/>
      <c r="F158" s="26"/>
      <c r="H158" s="36">
        <v>0</v>
      </c>
      <c r="I158" s="37">
        <f t="shared" si="2"/>
        <v>0</v>
      </c>
      <c r="K158" s="37">
        <f t="shared" si="3"/>
        <v>0</v>
      </c>
      <c r="L158" s="37">
        <f t="shared" si="0"/>
        <v>0</v>
      </c>
      <c r="M158" s="35"/>
      <c r="N158" s="35"/>
      <c r="O158" s="35"/>
      <c r="P158" s="35"/>
      <c r="Q158" s="35"/>
      <c r="R158" s="35"/>
      <c r="S158" s="35"/>
      <c r="T158" s="35"/>
      <c r="U158" s="35"/>
      <c r="V158" s="35"/>
      <c r="W158" s="35"/>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row>
    <row r="159" spans="1:88" x14ac:dyDescent="0.25">
      <c r="A159" s="199"/>
      <c r="B159" s="200"/>
      <c r="C159" s="201"/>
      <c r="D159" s="30">
        <f t="shared" si="5"/>
        <v>35</v>
      </c>
      <c r="E159" s="32"/>
      <c r="F159" s="26"/>
      <c r="H159" s="36">
        <v>0</v>
      </c>
      <c r="I159" s="37">
        <f t="shared" si="2"/>
        <v>0</v>
      </c>
      <c r="K159" s="37">
        <f t="shared" si="3"/>
        <v>0</v>
      </c>
      <c r="L159" s="37">
        <f t="shared" si="0"/>
        <v>0</v>
      </c>
      <c r="M159" s="35"/>
      <c r="N159" s="35"/>
      <c r="O159" s="35"/>
      <c r="P159" s="35"/>
      <c r="Q159" s="35"/>
      <c r="R159" s="35"/>
      <c r="S159" s="35"/>
      <c r="T159" s="35"/>
      <c r="U159" s="35"/>
      <c r="V159" s="35"/>
      <c r="W159" s="35"/>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row>
    <row r="160" spans="1:88" x14ac:dyDescent="0.25">
      <c r="M160" s="35"/>
      <c r="N160" s="35"/>
      <c r="O160" s="35"/>
      <c r="P160" s="35"/>
      <c r="Q160" s="35"/>
      <c r="R160" s="35"/>
      <c r="S160" s="35"/>
      <c r="T160" s="35"/>
      <c r="U160" s="35"/>
      <c r="V160" s="35"/>
      <c r="W160" s="35"/>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row>
    <row r="161" spans="6:88" x14ac:dyDescent="0.25">
      <c r="M161" s="35"/>
      <c r="N161" s="35"/>
      <c r="O161" s="35"/>
      <c r="P161" s="35"/>
      <c r="Q161" s="35"/>
      <c r="R161" s="35"/>
      <c r="S161" s="35"/>
      <c r="T161" s="35"/>
      <c r="U161" s="35"/>
      <c r="V161" s="35"/>
      <c r="W161" s="35"/>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row>
    <row r="162" spans="6:88" x14ac:dyDescent="0.25">
      <c r="M162" s="35"/>
      <c r="N162" s="35"/>
      <c r="O162" s="35"/>
      <c r="P162" s="35"/>
      <c r="Q162" s="35"/>
      <c r="R162" s="35"/>
      <c r="S162" s="35"/>
      <c r="T162" s="35"/>
      <c r="U162" s="35"/>
      <c r="V162" s="35"/>
      <c r="W162" s="35"/>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row>
    <row r="163" spans="6:88" x14ac:dyDescent="0.25">
      <c r="M163" s="35"/>
      <c r="N163" s="35"/>
      <c r="O163" s="35"/>
      <c r="P163" s="35"/>
      <c r="Q163" s="35"/>
      <c r="R163" s="35"/>
      <c r="S163" s="35"/>
      <c r="T163" s="35"/>
      <c r="U163" s="35"/>
      <c r="V163" s="35"/>
      <c r="W163" s="35"/>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row>
    <row r="164" spans="6:88" ht="15.75" thickBot="1" x14ac:dyDescent="0.3">
      <c r="M164" s="35"/>
      <c r="N164" s="35"/>
      <c r="O164" s="35"/>
      <c r="P164" s="35"/>
      <c r="Q164" s="35"/>
      <c r="R164" s="35"/>
      <c r="S164" s="35"/>
      <c r="T164" s="35"/>
      <c r="U164" s="35"/>
      <c r="V164" s="35"/>
      <c r="W164" s="35"/>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row>
    <row r="165" spans="6:88" ht="15.75" thickBot="1" x14ac:dyDescent="0.3">
      <c r="F165" s="64">
        <f>SUM(F119:F159)</f>
        <v>49609.860557768923</v>
      </c>
      <c r="H165" s="13"/>
      <c r="I165" s="64">
        <f>SUM(I119:I159)</f>
        <v>43410.617529880474</v>
      </c>
      <c r="K165" s="64">
        <f>SUM(K119:K159)</f>
        <v>6199.243027888444</v>
      </c>
      <c r="M165" s="35"/>
      <c r="N165" s="35"/>
      <c r="O165" s="35"/>
      <c r="P165" s="35"/>
      <c r="Q165" s="35"/>
      <c r="R165" s="35"/>
      <c r="S165" s="35"/>
      <c r="T165" s="35"/>
      <c r="U165" s="35"/>
      <c r="V165" s="35"/>
      <c r="W165" s="35"/>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row>
    <row r="166" spans="6:88" x14ac:dyDescent="0.25">
      <c r="M166" s="35"/>
      <c r="N166" s="35"/>
      <c r="O166" s="35"/>
      <c r="P166" s="35"/>
      <c r="Q166" s="35"/>
      <c r="R166" s="35"/>
      <c r="S166" s="35"/>
      <c r="T166" s="35"/>
      <c r="U166" s="35"/>
      <c r="V166" s="35"/>
      <c r="W166" s="35"/>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row>
    <row r="167" spans="6:88" x14ac:dyDescent="0.25">
      <c r="M167" s="35"/>
      <c r="N167" s="35"/>
      <c r="O167" s="35"/>
      <c r="P167" s="35"/>
      <c r="Q167" s="35"/>
      <c r="R167" s="35"/>
      <c r="S167" s="35"/>
      <c r="T167" s="35"/>
      <c r="U167" s="35"/>
      <c r="V167" s="35"/>
      <c r="W167" s="35"/>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row>
    <row r="168" spans="6:88" x14ac:dyDescent="0.25">
      <c r="M168" s="35"/>
      <c r="N168" s="35"/>
      <c r="O168" s="35"/>
      <c r="P168" s="35"/>
      <c r="Q168" s="35"/>
      <c r="R168" s="35"/>
      <c r="S168" s="35"/>
      <c r="T168" s="35"/>
      <c r="U168" s="35"/>
      <c r="V168" s="35"/>
      <c r="W168" s="35"/>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row>
    <row r="169" spans="6:88" x14ac:dyDescent="0.25">
      <c r="M169" s="35"/>
      <c r="N169" s="35"/>
      <c r="O169" s="35"/>
      <c r="P169" s="35"/>
      <c r="Q169" s="35"/>
      <c r="R169" s="35"/>
      <c r="S169" s="35"/>
      <c r="T169" s="35"/>
      <c r="U169" s="35"/>
      <c r="V169" s="35"/>
      <c r="W169" s="35"/>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row>
    <row r="170" spans="6:88" x14ac:dyDescent="0.25">
      <c r="M170" s="35"/>
      <c r="N170" s="35"/>
      <c r="O170" s="35"/>
      <c r="P170" s="35"/>
      <c r="Q170" s="35"/>
      <c r="R170" s="35"/>
      <c r="S170" s="35"/>
      <c r="T170" s="35"/>
      <c r="U170" s="35"/>
      <c r="V170" s="35"/>
      <c r="W170" s="35"/>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row>
    <row r="171" spans="6:88" x14ac:dyDescent="0.25">
      <c r="M171" s="35"/>
      <c r="N171" s="35"/>
      <c r="O171" s="35"/>
      <c r="P171" s="35"/>
      <c r="Q171" s="35"/>
      <c r="R171" s="35"/>
      <c r="S171" s="35"/>
      <c r="T171" s="35"/>
      <c r="U171" s="35"/>
      <c r="V171" s="35"/>
      <c r="W171" s="35"/>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row>
    <row r="172" spans="6:88" x14ac:dyDescent="0.25">
      <c r="M172" s="35"/>
      <c r="N172" s="35"/>
      <c r="O172" s="35"/>
      <c r="P172" s="35"/>
      <c r="Q172" s="35"/>
      <c r="R172" s="35"/>
      <c r="S172" s="35"/>
      <c r="T172" s="35"/>
      <c r="U172" s="35"/>
      <c r="V172" s="35"/>
      <c r="W172" s="35"/>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row>
    <row r="173" spans="6:88" x14ac:dyDescent="0.25">
      <c r="M173" s="35"/>
      <c r="N173" s="35"/>
      <c r="O173" s="35"/>
      <c r="P173" s="35"/>
      <c r="Q173" s="35"/>
      <c r="R173" s="35"/>
      <c r="S173" s="35"/>
      <c r="T173" s="35"/>
      <c r="U173" s="35"/>
      <c r="V173" s="35"/>
      <c r="W173" s="35"/>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row>
    <row r="174" spans="6:88" x14ac:dyDescent="0.25">
      <c r="M174" s="35"/>
      <c r="N174" s="35"/>
      <c r="O174" s="35"/>
      <c r="P174" s="35"/>
      <c r="Q174" s="35"/>
      <c r="R174" s="35"/>
      <c r="S174" s="35"/>
      <c r="T174" s="35"/>
      <c r="U174" s="35"/>
      <c r="V174" s="35"/>
      <c r="W174" s="35"/>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row>
    <row r="175" spans="6:88" x14ac:dyDescent="0.25">
      <c r="M175" s="35"/>
      <c r="N175" s="35"/>
      <c r="O175" s="35"/>
      <c r="P175" s="35"/>
      <c r="Q175" s="35"/>
      <c r="R175" s="35"/>
      <c r="S175" s="35"/>
      <c r="T175" s="35"/>
      <c r="U175" s="35"/>
      <c r="V175" s="35"/>
      <c r="W175" s="35"/>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row>
    <row r="176" spans="6:88" x14ac:dyDescent="0.25">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row>
    <row r="177" spans="25:88" x14ac:dyDescent="0.25">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row>
    <row r="178" spans="25:88" x14ac:dyDescent="0.25">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row>
    <row r="179" spans="25:88" x14ac:dyDescent="0.25">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row>
    <row r="180" spans="25:88" x14ac:dyDescent="0.25">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row>
    <row r="181" spans="25:88" x14ac:dyDescent="0.25">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row>
  </sheetData>
  <sheetProtection algorithmName="SHA-512" hashValue="aucaH4dfGalvA6OpLHJgTss78ZbdCfz+MhBqozItQRdjr4noKWDWQwfHrzs2pcmPkIwM2uqCO1vnktUsCOUKsg==" saltValue="6AKslKC0bMe2wcfixFw3zQ==" spinCount="100000" sheet="1" objects="1" scenarios="1"/>
  <mergeCells count="154">
    <mergeCell ref="W105:X105"/>
    <mergeCell ref="Z105:AA105"/>
    <mergeCell ref="K105:L105"/>
    <mergeCell ref="N105:O105"/>
    <mergeCell ref="Q105:R105"/>
    <mergeCell ref="A157:C157"/>
    <mergeCell ref="A158:C158"/>
    <mergeCell ref="A159:C159"/>
    <mergeCell ref="A142:C142"/>
    <mergeCell ref="A132:C132"/>
    <mergeCell ref="A145:C145"/>
    <mergeCell ref="A149:C149"/>
    <mergeCell ref="A150:C150"/>
    <mergeCell ref="A151:C151"/>
    <mergeCell ref="A153:C153"/>
    <mergeCell ref="A155:C155"/>
    <mergeCell ref="A156:C156"/>
    <mergeCell ref="A152:C152"/>
    <mergeCell ref="A154:C154"/>
    <mergeCell ref="A146:C146"/>
    <mergeCell ref="A148:C148"/>
    <mergeCell ref="A147:C147"/>
    <mergeCell ref="A131:C131"/>
    <mergeCell ref="A133:C133"/>
    <mergeCell ref="A134:C134"/>
    <mergeCell ref="A135:C135"/>
    <mergeCell ref="A136:C136"/>
    <mergeCell ref="A137:C137"/>
    <mergeCell ref="E53:F53"/>
    <mergeCell ref="H53:I53"/>
    <mergeCell ref="A144:C144"/>
    <mergeCell ref="A138:C138"/>
    <mergeCell ref="A139:C139"/>
    <mergeCell ref="A140:C140"/>
    <mergeCell ref="A141:C141"/>
    <mergeCell ref="A126:C126"/>
    <mergeCell ref="A127:C127"/>
    <mergeCell ref="A128:C128"/>
    <mergeCell ref="A129:C129"/>
    <mergeCell ref="A130:C130"/>
    <mergeCell ref="E105:F105"/>
    <mergeCell ref="H105:I105"/>
    <mergeCell ref="E93:F93"/>
    <mergeCell ref="H93:I93"/>
    <mergeCell ref="A122:C122"/>
    <mergeCell ref="A143:C143"/>
    <mergeCell ref="A123:C123"/>
    <mergeCell ref="A124:C124"/>
    <mergeCell ref="AC105:AD105"/>
    <mergeCell ref="AH39:AK39"/>
    <mergeCell ref="AH40:AI40"/>
    <mergeCell ref="AJ40:AK40"/>
    <mergeCell ref="Z53:AA53"/>
    <mergeCell ref="Z77:AA77"/>
    <mergeCell ref="AC77:AD77"/>
    <mergeCell ref="Z92:AA92"/>
    <mergeCell ref="AC92:AD92"/>
    <mergeCell ref="Z104:AA104"/>
    <mergeCell ref="AC104:AD104"/>
    <mergeCell ref="AH4:AK4"/>
    <mergeCell ref="AH5:AI5"/>
    <mergeCell ref="AJ5:AK5"/>
    <mergeCell ref="Z78:AA78"/>
    <mergeCell ref="AC78:AD78"/>
    <mergeCell ref="Z93:AA93"/>
    <mergeCell ref="AC93:AD93"/>
    <mergeCell ref="W78:X78"/>
    <mergeCell ref="T53:U53"/>
    <mergeCell ref="W53:X53"/>
    <mergeCell ref="T93:U93"/>
    <mergeCell ref="W93:X93"/>
    <mergeCell ref="W77:X77"/>
    <mergeCell ref="W92:X92"/>
    <mergeCell ref="W36:X36"/>
    <mergeCell ref="Z36:AA36"/>
    <mergeCell ref="AI77:AJ77"/>
    <mergeCell ref="K77:L77"/>
    <mergeCell ref="N77:O77"/>
    <mergeCell ref="Q77:R77"/>
    <mergeCell ref="T104:U104"/>
    <mergeCell ref="W104:X104"/>
    <mergeCell ref="E104:F104"/>
    <mergeCell ref="H104:I104"/>
    <mergeCell ref="K104:L104"/>
    <mergeCell ref="N104:O104"/>
    <mergeCell ref="Q104:R104"/>
    <mergeCell ref="K93:L93"/>
    <mergeCell ref="N93:O93"/>
    <mergeCell ref="Q93:R93"/>
    <mergeCell ref="E78:F78"/>
    <mergeCell ref="K78:L78"/>
    <mergeCell ref="N78:O78"/>
    <mergeCell ref="Q78:R78"/>
    <mergeCell ref="T78:U78"/>
    <mergeCell ref="H78:I78"/>
    <mergeCell ref="E77:F77"/>
    <mergeCell ref="H77:I77"/>
    <mergeCell ref="E15:F15"/>
    <mergeCell ref="H15:I15"/>
    <mergeCell ref="K15:L15"/>
    <mergeCell ref="N15:O15"/>
    <mergeCell ref="K53:L53"/>
    <mergeCell ref="N53:O53"/>
    <mergeCell ref="B1:E1"/>
    <mergeCell ref="E4:F4"/>
    <mergeCell ref="H4:I4"/>
    <mergeCell ref="K4:L4"/>
    <mergeCell ref="N4:O4"/>
    <mergeCell ref="E3:F3"/>
    <mergeCell ref="H3:I3"/>
    <mergeCell ref="K3:L3"/>
    <mergeCell ref="N3:O3"/>
    <mergeCell ref="E52:F52"/>
    <mergeCell ref="H52:I52"/>
    <mergeCell ref="K52:L52"/>
    <mergeCell ref="N52:O52"/>
    <mergeCell ref="Q3:R3"/>
    <mergeCell ref="T3:U3"/>
    <mergeCell ref="E14:F14"/>
    <mergeCell ref="H14:I14"/>
    <mergeCell ref="K14:L14"/>
    <mergeCell ref="N14:O14"/>
    <mergeCell ref="A119:C119"/>
    <mergeCell ref="A120:C120"/>
    <mergeCell ref="A121:C121"/>
    <mergeCell ref="Q37:R37"/>
    <mergeCell ref="T4:U4"/>
    <mergeCell ref="Q4:R4"/>
    <mergeCell ref="T37:U37"/>
    <mergeCell ref="Q53:R53"/>
    <mergeCell ref="T105:U105"/>
    <mergeCell ref="Q36:R36"/>
    <mergeCell ref="T36:U36"/>
    <mergeCell ref="T77:U77"/>
    <mergeCell ref="E92:F92"/>
    <mergeCell ref="H92:I92"/>
    <mergeCell ref="K92:L92"/>
    <mergeCell ref="N92:O92"/>
    <mergeCell ref="Q92:R92"/>
    <mergeCell ref="T92:U92"/>
    <mergeCell ref="Q52:R52"/>
    <mergeCell ref="T52:U52"/>
    <mergeCell ref="W52:X52"/>
    <mergeCell ref="Z52:AA52"/>
    <mergeCell ref="E36:F36"/>
    <mergeCell ref="H36:I36"/>
    <mergeCell ref="K36:L36"/>
    <mergeCell ref="N36:O36"/>
    <mergeCell ref="W37:X37"/>
    <mergeCell ref="Z37:AA37"/>
    <mergeCell ref="E37:F37"/>
    <mergeCell ref="H37:I37"/>
    <mergeCell ref="K37:L37"/>
    <mergeCell ref="N37:O37"/>
  </mergeCells>
  <conditionalFormatting sqref="AI6:AI15 AI45:AI70 AI72">
    <cfRule type="cellIs" dxfId="8" priority="6" operator="lessThan">
      <formula>0</formula>
    </cfRule>
  </conditionalFormatting>
  <conditionalFormatting sqref="AJ19:AJ34">
    <cfRule type="cellIs" dxfId="7" priority="3" operator="lessThan">
      <formula>0</formula>
    </cfRule>
  </conditionalFormatting>
  <conditionalFormatting sqref="AJ41:AJ45">
    <cfRule type="cellIs" dxfId="6" priority="1" operator="lessThan">
      <formula>0</formula>
    </cfRule>
  </conditionalFormatting>
  <dataValidations count="1">
    <dataValidation type="list" allowBlank="1" showInputMessage="1" showErrorMessage="1" sqref="Q123:Q144 Q115:Q121 T115:T144 N115:N131 N133:N144 O115:P144 R115:R144" xr:uid="{1D5F55C5-1D34-4E1D-A5BF-E43798352148}">
      <formula1>#REF!</formula1>
    </dataValidation>
  </dataValidations>
  <pageMargins left="0.7" right="0.7" top="0.75" bottom="0.75" header="0.3" footer="0.3"/>
  <pageSetup paperSize="9" orientation="portrait" horizontalDpi="0"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3714-B81D-48C4-8FAD-3ADADDC8C4EA}">
  <dimension ref="A1:CJ181"/>
  <sheetViews>
    <sheetView zoomScale="85" zoomScaleNormal="85" workbookViewId="0"/>
  </sheetViews>
  <sheetFormatPr defaultColWidth="8.85546875" defaultRowHeight="15" x14ac:dyDescent="0.25"/>
  <cols>
    <col min="1" max="1" width="24.140625" customWidth="1"/>
    <col min="2" max="2" width="9.28515625" customWidth="1"/>
    <col min="3" max="3" width="11.5703125" customWidth="1"/>
    <col min="4" max="4" width="9.7109375" customWidth="1"/>
    <col min="5" max="5" width="12.5703125" customWidth="1"/>
    <col min="6" max="6" width="14.5703125" customWidth="1"/>
    <col min="7" max="7" width="5.140625" customWidth="1"/>
    <col min="8" max="8" width="13.7109375" customWidth="1"/>
    <col min="9" max="9" width="11.85546875" customWidth="1"/>
    <col min="10" max="10" width="6.140625" customWidth="1"/>
    <col min="11" max="11" width="12.85546875" bestFit="1" customWidth="1"/>
    <col min="12" max="12" width="12.28515625" customWidth="1"/>
    <col min="13" max="13" width="4.85546875" customWidth="1"/>
    <col min="14" max="14" width="13.5703125" customWidth="1"/>
    <col min="15" max="15" width="13.28515625" customWidth="1"/>
    <col min="16" max="16" width="5.28515625" customWidth="1"/>
    <col min="17" max="17" width="15.85546875" customWidth="1"/>
    <col min="18" max="18" width="16.28515625" customWidth="1"/>
    <col min="19" max="19" width="5.28515625" customWidth="1"/>
    <col min="20" max="20" width="11.85546875" bestFit="1" customWidth="1"/>
    <col min="21" max="21" width="11.85546875" customWidth="1"/>
    <col min="22" max="22" width="4.7109375" customWidth="1"/>
    <col min="23" max="23" width="12.28515625" customWidth="1"/>
    <col min="24" max="24" width="15.28515625" customWidth="1"/>
    <col min="25" max="25" width="5.85546875" customWidth="1"/>
    <col min="26" max="26" width="12" customWidth="1"/>
    <col min="27" max="27" width="12.28515625" customWidth="1"/>
    <col min="28" max="28" width="5.28515625" customWidth="1"/>
    <col min="29" max="30" width="12.28515625" customWidth="1"/>
    <col min="31" max="31" width="7.85546875" customWidth="1"/>
    <col min="32" max="32" width="3.85546875" customWidth="1"/>
    <col min="33" max="33" width="19.28515625" customWidth="1"/>
    <col min="34" max="34" width="8" customWidth="1"/>
    <col min="35" max="35" width="17.28515625" customWidth="1"/>
    <col min="36" max="36" width="21" customWidth="1"/>
    <col min="37" max="37" width="3.85546875" customWidth="1"/>
    <col min="42" max="42" width="4.28515625" customWidth="1"/>
    <col min="43" max="43" width="4.140625" customWidth="1"/>
    <col min="47" max="47" width="14.140625" customWidth="1"/>
    <col min="48" max="48" width="14.28515625" customWidth="1"/>
    <col min="49" max="49" width="14.7109375" customWidth="1"/>
  </cols>
  <sheetData>
    <row r="1" spans="1:49" x14ac:dyDescent="0.25">
      <c r="A1" t="s">
        <v>89</v>
      </c>
      <c r="B1" s="190" t="s">
        <v>171</v>
      </c>
      <c r="C1" s="190"/>
      <c r="D1" s="190"/>
      <c r="E1" s="190"/>
    </row>
    <row r="2" spans="1:49" x14ac:dyDescent="0.25">
      <c r="A2" s="1" t="s">
        <v>0</v>
      </c>
      <c r="B2" s="1"/>
    </row>
    <row r="3" spans="1:49" ht="15.75" thickBot="1" x14ac:dyDescent="0.3">
      <c r="E3" s="178"/>
      <c r="F3" s="179"/>
      <c r="H3" s="178"/>
      <c r="I3" s="179"/>
      <c r="K3" s="178"/>
      <c r="L3" s="179"/>
      <c r="N3" s="178"/>
      <c r="O3" s="179"/>
      <c r="Q3" s="178"/>
      <c r="R3" s="179"/>
      <c r="T3" s="178"/>
      <c r="U3" s="179"/>
    </row>
    <row r="4" spans="1:49" ht="15.75" thickBot="1" x14ac:dyDescent="0.3">
      <c r="A4" s="1" t="s">
        <v>1</v>
      </c>
      <c r="B4" s="1"/>
      <c r="E4" s="180" t="s">
        <v>2</v>
      </c>
      <c r="F4" s="181"/>
      <c r="H4" s="180" t="s">
        <v>3</v>
      </c>
      <c r="I4" s="181"/>
      <c r="K4" s="180" t="s">
        <v>70</v>
      </c>
      <c r="L4" s="181"/>
      <c r="N4" s="188" t="s">
        <v>125</v>
      </c>
      <c r="O4" s="189"/>
      <c r="Q4" s="180" t="s">
        <v>97</v>
      </c>
      <c r="R4" s="181"/>
      <c r="T4" s="180" t="s">
        <v>6</v>
      </c>
      <c r="U4" s="181"/>
      <c r="AB4" s="25"/>
      <c r="AC4" s="25"/>
      <c r="AD4" s="25"/>
      <c r="AE4" s="25"/>
      <c r="AG4" s="38"/>
      <c r="AH4" s="170" t="s">
        <v>44</v>
      </c>
      <c r="AI4" s="171"/>
      <c r="AJ4" s="171"/>
      <c r="AK4" s="172"/>
      <c r="AL4" s="38"/>
      <c r="AM4" s="38"/>
      <c r="AN4" s="38"/>
      <c r="AO4" s="38"/>
      <c r="AP4" s="28" t="s">
        <v>44</v>
      </c>
      <c r="AQ4" s="38"/>
      <c r="AR4" s="38"/>
      <c r="AS4" s="38"/>
      <c r="AT4" s="38"/>
      <c r="AU4" s="38"/>
      <c r="AV4" s="38"/>
      <c r="AW4" s="38"/>
    </row>
    <row r="5" spans="1:49" ht="15.75" thickBot="1" x14ac:dyDescent="0.3">
      <c r="A5" s="2" t="s">
        <v>9</v>
      </c>
      <c r="D5" s="3" t="s">
        <v>10</v>
      </c>
      <c r="E5" s="4" t="s">
        <v>95</v>
      </c>
      <c r="F5" s="5" t="s">
        <v>94</v>
      </c>
      <c r="G5" s="3" t="s">
        <v>10</v>
      </c>
      <c r="H5" s="4" t="s">
        <v>95</v>
      </c>
      <c r="I5" s="5" t="s">
        <v>94</v>
      </c>
      <c r="J5" s="3" t="s">
        <v>10</v>
      </c>
      <c r="K5" s="4" t="s">
        <v>95</v>
      </c>
      <c r="L5" s="5" t="s">
        <v>94</v>
      </c>
      <c r="M5" s="3" t="s">
        <v>10</v>
      </c>
      <c r="N5" s="77" t="s">
        <v>95</v>
      </c>
      <c r="O5" s="5" t="s">
        <v>94</v>
      </c>
      <c r="P5" s="3" t="s">
        <v>10</v>
      </c>
      <c r="Q5" s="4" t="s">
        <v>95</v>
      </c>
      <c r="R5" s="5" t="s">
        <v>94</v>
      </c>
      <c r="S5" s="3" t="s">
        <v>10</v>
      </c>
      <c r="T5" s="4" t="s">
        <v>95</v>
      </c>
      <c r="U5" s="5" t="s">
        <v>94</v>
      </c>
      <c r="AB5" s="54"/>
      <c r="AC5" s="54"/>
      <c r="AD5" s="54"/>
      <c r="AE5" s="54"/>
      <c r="AG5" s="38"/>
      <c r="AH5" s="174" t="s">
        <v>87</v>
      </c>
      <c r="AI5" s="175"/>
      <c r="AJ5" s="176" t="s">
        <v>88</v>
      </c>
      <c r="AK5" s="177"/>
      <c r="AL5" s="38"/>
      <c r="AM5" s="38"/>
      <c r="AN5" s="38"/>
      <c r="AO5" s="38"/>
      <c r="AP5" s="38" t="s">
        <v>1</v>
      </c>
      <c r="AQ5" s="38"/>
      <c r="AR5" s="38"/>
      <c r="AS5" s="38"/>
      <c r="AT5" s="38"/>
      <c r="AU5" s="38"/>
      <c r="AV5" s="38"/>
      <c r="AW5" s="38"/>
    </row>
    <row r="6" spans="1:49" x14ac:dyDescent="0.25">
      <c r="E6" s="6"/>
      <c r="F6" s="7"/>
      <c r="H6" s="6"/>
      <c r="I6" s="7"/>
      <c r="K6" s="6"/>
      <c r="L6" s="7"/>
      <c r="N6" s="6"/>
      <c r="O6" s="7"/>
      <c r="Q6" s="6"/>
      <c r="R6" s="7"/>
      <c r="T6" s="6"/>
      <c r="U6" s="7"/>
      <c r="AB6" s="7"/>
      <c r="AC6" s="7"/>
      <c r="AD6" s="7"/>
      <c r="AE6" s="7"/>
      <c r="AG6" s="44" t="str">
        <f>E4</f>
        <v>Maa-alueet</v>
      </c>
      <c r="AH6" s="38"/>
      <c r="AI6" s="42">
        <f>F13</f>
        <v>0</v>
      </c>
      <c r="AK6" s="38"/>
      <c r="AM6" s="38"/>
      <c r="AN6" s="38"/>
      <c r="AO6" s="38"/>
      <c r="AP6" s="38" t="s">
        <v>67</v>
      </c>
      <c r="AQ6" s="38"/>
      <c r="AR6" s="38"/>
      <c r="AS6" s="38"/>
      <c r="AT6" s="38"/>
      <c r="AU6" s="38"/>
      <c r="AV6" s="38"/>
      <c r="AW6" s="38"/>
    </row>
    <row r="7" spans="1:49" x14ac:dyDescent="0.25">
      <c r="E7" s="8"/>
      <c r="F7" s="7"/>
      <c r="H7" s="8"/>
      <c r="I7" s="7"/>
      <c r="K7" s="8"/>
      <c r="L7" s="7"/>
      <c r="M7" s="9"/>
      <c r="N7" s="8"/>
      <c r="O7" s="7"/>
      <c r="P7" s="9"/>
      <c r="Q7" s="8"/>
      <c r="R7" s="7"/>
      <c r="T7" s="8"/>
      <c r="U7" s="7"/>
      <c r="AB7" s="7"/>
      <c r="AC7" s="7"/>
      <c r="AD7" s="7"/>
      <c r="AE7" s="7"/>
      <c r="AG7" s="44" t="str">
        <f>H4</f>
        <v>Rakenukset</v>
      </c>
      <c r="AH7" s="38"/>
      <c r="AI7" s="42">
        <f>I13</f>
        <v>0</v>
      </c>
      <c r="AK7" s="38"/>
      <c r="AM7" s="38"/>
      <c r="AN7" s="38"/>
      <c r="AO7" s="38"/>
      <c r="AP7" s="38" t="s">
        <v>69</v>
      </c>
      <c r="AQ7" s="38"/>
      <c r="AR7" s="38"/>
      <c r="AS7" s="38"/>
      <c r="AT7" s="38"/>
      <c r="AU7" s="38"/>
      <c r="AV7" s="38"/>
      <c r="AW7" s="38"/>
    </row>
    <row r="8" spans="1:49" x14ac:dyDescent="0.25">
      <c r="A8" s="138" t="s">
        <v>688</v>
      </c>
      <c r="E8" s="8"/>
      <c r="F8" s="7"/>
      <c r="H8" s="8"/>
      <c r="I8" s="7"/>
      <c r="K8" s="8"/>
      <c r="L8" s="7"/>
      <c r="N8" s="8"/>
      <c r="O8" s="7"/>
      <c r="Q8" s="8"/>
      <c r="R8" s="7"/>
      <c r="T8" s="8"/>
      <c r="U8" s="7"/>
      <c r="AB8" s="7"/>
      <c r="AC8" s="7"/>
      <c r="AD8" s="7"/>
      <c r="AE8" s="7"/>
      <c r="AG8" s="44" t="str">
        <f>K4</f>
        <v>Koneet ja kalusto</v>
      </c>
      <c r="AH8" s="38"/>
      <c r="AI8" s="42">
        <f>IF(L13&gt;0,L13,IF(K13&gt;0,K13*-1,0))</f>
        <v>0</v>
      </c>
      <c r="AK8" s="38"/>
      <c r="AM8" s="38"/>
      <c r="AN8" s="38"/>
      <c r="AO8" s="38"/>
      <c r="AP8" s="38" t="s">
        <v>75</v>
      </c>
      <c r="AQ8" s="38"/>
      <c r="AR8" s="38"/>
      <c r="AS8" s="38"/>
      <c r="AT8" s="38"/>
      <c r="AU8" s="38"/>
      <c r="AV8" s="38"/>
      <c r="AW8" s="38"/>
    </row>
    <row r="9" spans="1:49" x14ac:dyDescent="0.25">
      <c r="E9" s="8"/>
      <c r="F9" s="7"/>
      <c r="H9" s="8"/>
      <c r="I9" s="7"/>
      <c r="K9" s="8"/>
      <c r="L9" s="7"/>
      <c r="N9" s="8"/>
      <c r="O9" s="7"/>
      <c r="Q9" s="8"/>
      <c r="R9" s="7"/>
      <c r="T9" s="8"/>
      <c r="U9" s="7"/>
      <c r="AB9" s="7"/>
      <c r="AC9" s="7"/>
      <c r="AD9" s="7"/>
      <c r="AE9" s="7"/>
      <c r="AG9" s="44" t="str">
        <f>N4</f>
        <v>Aine ja tarvikevarasto 1</v>
      </c>
      <c r="AH9" s="38"/>
      <c r="AI9" s="42">
        <f>IF(O13&gt;0,O13,IF(N13&gt;0,N13*-1,0))</f>
        <v>0</v>
      </c>
      <c r="AK9" s="38"/>
      <c r="AM9" s="38"/>
      <c r="AN9" s="38"/>
      <c r="AO9" s="38"/>
      <c r="AP9" s="38"/>
      <c r="AQ9" s="38" t="s">
        <v>71</v>
      </c>
      <c r="AR9" s="38"/>
      <c r="AS9" s="38"/>
      <c r="AT9" s="38"/>
      <c r="AU9" s="38"/>
      <c r="AV9" s="49">
        <f>AI6</f>
        <v>0</v>
      </c>
      <c r="AW9" s="38"/>
    </row>
    <row r="10" spans="1:49" x14ac:dyDescent="0.25">
      <c r="E10" s="8"/>
      <c r="F10" s="7"/>
      <c r="H10" s="8"/>
      <c r="I10" s="7"/>
      <c r="K10" s="8"/>
      <c r="L10" s="7"/>
      <c r="N10" s="8"/>
      <c r="O10" s="7"/>
      <c r="Q10" s="8"/>
      <c r="R10" s="7"/>
      <c r="T10" s="8"/>
      <c r="U10" s="7"/>
      <c r="AB10" s="7"/>
      <c r="AC10" s="7"/>
      <c r="AD10" s="7"/>
      <c r="AE10" s="7"/>
      <c r="AG10" s="44" t="str">
        <f>Q4</f>
        <v>Valmiit tuotteet varasto 2</v>
      </c>
      <c r="AH10" s="38"/>
      <c r="AI10" s="42">
        <f>IF(R13&gt;0,R13,IF(Q13&gt;0,Q13*-1,0))</f>
        <v>0</v>
      </c>
      <c r="AK10" s="38"/>
      <c r="AM10" s="38"/>
      <c r="AN10" s="38"/>
      <c r="AO10" s="38"/>
      <c r="AP10" s="38"/>
      <c r="AQ10" s="38" t="s">
        <v>68</v>
      </c>
      <c r="AR10" s="38"/>
      <c r="AS10" s="38"/>
      <c r="AT10" s="38"/>
      <c r="AU10" s="38"/>
      <c r="AV10" s="49">
        <f>AI7</f>
        <v>0</v>
      </c>
      <c r="AW10" s="38"/>
    </row>
    <row r="11" spans="1:49" x14ac:dyDescent="0.25">
      <c r="E11" s="8"/>
      <c r="F11" s="7"/>
      <c r="H11" s="8"/>
      <c r="I11" s="7"/>
      <c r="K11" s="8"/>
      <c r="L11" s="7"/>
      <c r="N11" s="8"/>
      <c r="O11" s="7"/>
      <c r="Q11" s="8"/>
      <c r="R11" s="7"/>
      <c r="T11" s="8"/>
      <c r="U11" s="7"/>
      <c r="AB11" s="7"/>
      <c r="AC11" s="7"/>
      <c r="AD11" s="7"/>
      <c r="AE11" s="7"/>
      <c r="AG11" s="44" t="str">
        <f>T4</f>
        <v>Muut saamiset</v>
      </c>
      <c r="AH11" s="38"/>
      <c r="AI11" s="42">
        <f>U13</f>
        <v>0</v>
      </c>
      <c r="AK11" s="38"/>
      <c r="AM11" s="38"/>
      <c r="AN11" s="38"/>
      <c r="AO11" s="38"/>
      <c r="AP11" s="38"/>
      <c r="AQ11" s="38" t="s">
        <v>70</v>
      </c>
      <c r="AR11" s="38"/>
      <c r="AS11" s="38"/>
      <c r="AT11" s="38"/>
      <c r="AU11" s="38"/>
      <c r="AV11" s="49">
        <f>AI8</f>
        <v>0</v>
      </c>
      <c r="AW11" s="38"/>
    </row>
    <row r="12" spans="1:49" ht="15.75" thickBot="1" x14ac:dyDescent="0.3">
      <c r="E12" s="16">
        <f>SUM(E6:E11)</f>
        <v>0</v>
      </c>
      <c r="F12" s="16">
        <f>SUM(F6:F11)</f>
        <v>0</v>
      </c>
      <c r="H12" s="16">
        <f>SUM(H6:H11)</f>
        <v>0</v>
      </c>
      <c r="I12" s="16">
        <f>SUM(I6:I11)</f>
        <v>0</v>
      </c>
      <c r="K12" s="16">
        <f>SUM(K6:K11)</f>
        <v>0</v>
      </c>
      <c r="L12" s="16">
        <f>SUM(L6:L11)</f>
        <v>0</v>
      </c>
      <c r="N12" s="16">
        <f>SUM(N6:N11)</f>
        <v>0</v>
      </c>
      <c r="O12" s="16">
        <f>SUM(O6:O11)</f>
        <v>0</v>
      </c>
      <c r="Q12" s="16">
        <f>SUM(Q6:Q11)</f>
        <v>0</v>
      </c>
      <c r="R12" s="16">
        <f>SUM(R6:R11)</f>
        <v>0</v>
      </c>
      <c r="T12" s="16">
        <f>SUM(T6:T11)</f>
        <v>0</v>
      </c>
      <c r="U12" s="16">
        <f>SUM(U6:U11)</f>
        <v>0</v>
      </c>
      <c r="AB12" s="55"/>
      <c r="AC12" s="55"/>
      <c r="AD12" s="55"/>
      <c r="AE12" s="55"/>
      <c r="AG12" s="44" t="str">
        <f>E15</f>
        <v>Myyntisaamiset</v>
      </c>
      <c r="AH12" s="38"/>
      <c r="AI12" s="42">
        <f>F34</f>
        <v>0</v>
      </c>
      <c r="AK12" s="38"/>
      <c r="AM12" s="38"/>
      <c r="AN12" s="38"/>
      <c r="AO12" s="38"/>
      <c r="AP12" s="38"/>
      <c r="AQ12" s="38" t="s">
        <v>72</v>
      </c>
      <c r="AR12" s="38"/>
      <c r="AS12" s="38"/>
      <c r="AT12" s="38"/>
      <c r="AU12" s="38"/>
      <c r="AV12" s="52">
        <f>0</f>
        <v>0</v>
      </c>
      <c r="AW12" s="38"/>
    </row>
    <row r="13" spans="1:49" ht="15.75" thickTop="1" x14ac:dyDescent="0.25">
      <c r="E13" s="10">
        <f>IF(E12&lt;F12,F12-E12,0)</f>
        <v>0</v>
      </c>
      <c r="F13" s="10">
        <f>IF(F12&lt;E12,E12-F12,0)</f>
        <v>0</v>
      </c>
      <c r="H13" s="10">
        <f>IF(H12&lt;I12,I12-H12,0)</f>
        <v>0</v>
      </c>
      <c r="I13" s="10">
        <f>IF(I12&lt;H12,H12-I12,0)</f>
        <v>0</v>
      </c>
      <c r="K13" s="10">
        <f>IF(K12&lt;L12,L12-K12,0)</f>
        <v>0</v>
      </c>
      <c r="L13" s="10">
        <f>IF(L12&lt;K12,K12-L12,0)</f>
        <v>0</v>
      </c>
      <c r="N13" s="10">
        <f>IF(N12&lt;O12,O12-N12,0)</f>
        <v>0</v>
      </c>
      <c r="O13" s="10">
        <f>IF(O12&lt;N12,N12-O12,0)</f>
        <v>0</v>
      </c>
      <c r="Q13" s="10">
        <f>IF(Q12&lt;R12,R12-Q12,0)</f>
        <v>0</v>
      </c>
      <c r="R13" s="10">
        <f>IF(R12&lt;Q12,Q12-R12,0)</f>
        <v>0</v>
      </c>
      <c r="T13" s="10">
        <f>IF(T12&lt;U12,U12-T12,0)</f>
        <v>0</v>
      </c>
      <c r="U13" s="10">
        <f>IF(U12&lt;T12,T12-U12,0)</f>
        <v>0</v>
      </c>
      <c r="AB13" s="20"/>
      <c r="AC13" s="20"/>
      <c r="AD13" s="20"/>
      <c r="AE13" s="20"/>
      <c r="AG13" s="44" t="str">
        <f>H15</f>
        <v>Siirtosaamiset</v>
      </c>
      <c r="AH13" s="38"/>
      <c r="AI13" s="42">
        <f>I34</f>
        <v>0</v>
      </c>
      <c r="AK13" s="38"/>
      <c r="AM13" s="38"/>
      <c r="AN13" s="38"/>
      <c r="AO13" s="38"/>
      <c r="AP13" s="38" t="s">
        <v>73</v>
      </c>
      <c r="AQ13" s="38"/>
      <c r="AR13" s="38"/>
      <c r="AS13" s="38"/>
      <c r="AT13" s="38"/>
      <c r="AU13" s="38"/>
      <c r="AV13" s="38"/>
      <c r="AW13" s="38"/>
    </row>
    <row r="14" spans="1:49" ht="15.75" thickBot="1" x14ac:dyDescent="0.3">
      <c r="E14" s="178"/>
      <c r="F14" s="179"/>
      <c r="H14" s="178"/>
      <c r="I14" s="179"/>
      <c r="K14" s="178"/>
      <c r="L14" s="179"/>
      <c r="N14" s="178"/>
      <c r="O14" s="179"/>
      <c r="AG14" s="44" t="str">
        <f>K15</f>
        <v>Kassa</v>
      </c>
      <c r="AH14" s="38"/>
      <c r="AI14" s="42">
        <f>IF(L34&gt;0,L34,IF(K34&gt;0,K34*-1,0))</f>
        <v>0</v>
      </c>
      <c r="AK14" s="38"/>
      <c r="AM14" s="38"/>
      <c r="AN14" s="38"/>
      <c r="AO14" s="38"/>
      <c r="AP14" s="38"/>
      <c r="AQ14" s="38" t="s">
        <v>5</v>
      </c>
      <c r="AR14" s="38"/>
      <c r="AS14" s="38"/>
      <c r="AT14" s="38"/>
      <c r="AU14" s="38"/>
      <c r="AV14" s="49">
        <f>AI9</f>
        <v>0</v>
      </c>
      <c r="AW14" s="38"/>
    </row>
    <row r="15" spans="1:49" ht="15.75" thickBot="1" x14ac:dyDescent="0.3">
      <c r="E15" s="180" t="s">
        <v>7</v>
      </c>
      <c r="F15" s="181"/>
      <c r="H15" s="180" t="s">
        <v>8</v>
      </c>
      <c r="I15" s="181"/>
      <c r="K15" s="180" t="s">
        <v>11</v>
      </c>
      <c r="L15" s="181"/>
      <c r="N15" s="188" t="s">
        <v>191</v>
      </c>
      <c r="O15" s="189"/>
      <c r="AG15" s="44" t="str">
        <f>N15</f>
        <v>Pankkitili Nordea-1234567</v>
      </c>
      <c r="AH15" s="38"/>
      <c r="AI15" s="42">
        <f>IF(O34&gt;0,O34,IF(N34&gt;0,N34*-1,0))</f>
        <v>0</v>
      </c>
      <c r="AK15" s="38"/>
      <c r="AM15" s="38"/>
      <c r="AN15" s="38"/>
      <c r="AO15" s="38"/>
      <c r="AP15" s="38"/>
      <c r="AQ15" s="38" t="s">
        <v>74</v>
      </c>
      <c r="AR15" s="38"/>
      <c r="AS15" s="38"/>
      <c r="AT15" s="38"/>
      <c r="AU15" s="38"/>
      <c r="AV15" s="49">
        <f>AI10</f>
        <v>0</v>
      </c>
      <c r="AW15" s="38"/>
    </row>
    <row r="16" spans="1:49" ht="15.75" thickBot="1" x14ac:dyDescent="0.3">
      <c r="D16" s="3" t="s">
        <v>10</v>
      </c>
      <c r="E16" s="4" t="s">
        <v>95</v>
      </c>
      <c r="F16" s="5" t="s">
        <v>94</v>
      </c>
      <c r="G16" s="3" t="s">
        <v>10</v>
      </c>
      <c r="H16" s="4" t="s">
        <v>95</v>
      </c>
      <c r="I16" s="5" t="s">
        <v>94</v>
      </c>
      <c r="J16" s="3" t="s">
        <v>10</v>
      </c>
      <c r="K16" s="4" t="s">
        <v>95</v>
      </c>
      <c r="L16" s="5" t="s">
        <v>94</v>
      </c>
      <c r="M16" s="3" t="s">
        <v>10</v>
      </c>
      <c r="N16" s="4" t="s">
        <v>95</v>
      </c>
      <c r="O16" s="5" t="s">
        <v>94</v>
      </c>
      <c r="AG16" s="38"/>
      <c r="AH16" s="38"/>
      <c r="AI16" s="42">
        <f>O130</f>
        <v>0</v>
      </c>
      <c r="AK16" s="38"/>
      <c r="AM16" s="38"/>
      <c r="AN16" s="38"/>
      <c r="AO16" s="38"/>
      <c r="AP16" s="38"/>
      <c r="AQ16" s="38" t="s">
        <v>7</v>
      </c>
      <c r="AR16" s="38"/>
      <c r="AS16" s="38"/>
      <c r="AT16" s="38"/>
      <c r="AU16" s="38"/>
      <c r="AV16" s="49">
        <f>AI12</f>
        <v>0</v>
      </c>
      <c r="AW16" s="38"/>
    </row>
    <row r="17" spans="5:49" x14ac:dyDescent="0.25">
      <c r="E17" s="6"/>
      <c r="F17" s="7"/>
      <c r="H17" s="6"/>
      <c r="I17" s="7"/>
      <c r="K17" s="6"/>
      <c r="L17" s="7"/>
      <c r="N17" s="6"/>
      <c r="O17" s="7"/>
      <c r="AG17" s="38"/>
      <c r="AH17" s="38"/>
      <c r="AI17" s="42">
        <f>L142</f>
        <v>0</v>
      </c>
      <c r="AK17" s="38"/>
      <c r="AM17" s="38"/>
      <c r="AN17" s="38"/>
      <c r="AO17" s="38"/>
      <c r="AP17" s="38"/>
      <c r="AQ17" s="38" t="s">
        <v>76</v>
      </c>
      <c r="AR17" s="38"/>
      <c r="AS17" s="38"/>
      <c r="AT17" s="38"/>
      <c r="AU17" s="38"/>
      <c r="AV17" s="49">
        <f>AI11</f>
        <v>0</v>
      </c>
      <c r="AW17" s="38"/>
    </row>
    <row r="18" spans="5:49" x14ac:dyDescent="0.25">
      <c r="E18" s="8"/>
      <c r="F18" s="7"/>
      <c r="H18" s="8"/>
      <c r="I18" s="7"/>
      <c r="K18" s="8"/>
      <c r="L18" s="7"/>
      <c r="N18" s="8"/>
      <c r="O18" s="7"/>
      <c r="AG18" s="38"/>
      <c r="AH18" s="38"/>
      <c r="AI18" s="42">
        <f>R130</f>
        <v>0</v>
      </c>
      <c r="AJ18" s="38"/>
      <c r="AK18" s="38"/>
      <c r="AL18" s="38"/>
      <c r="AM18" s="38"/>
      <c r="AN18" s="38"/>
      <c r="AO18" s="38"/>
      <c r="AP18" s="38"/>
      <c r="AQ18" s="38" t="s">
        <v>8</v>
      </c>
      <c r="AR18" s="38"/>
      <c r="AS18" s="38"/>
      <c r="AT18" s="38"/>
      <c r="AU18" s="38"/>
      <c r="AV18" s="49">
        <f>AI13</f>
        <v>0</v>
      </c>
      <c r="AW18" s="38"/>
    </row>
    <row r="19" spans="5:49" x14ac:dyDescent="0.25">
      <c r="E19" s="8"/>
      <c r="F19" s="7"/>
      <c r="H19" s="8"/>
      <c r="I19" s="7"/>
      <c r="K19" s="11"/>
      <c r="L19" s="12"/>
      <c r="N19" s="8"/>
      <c r="O19" s="7"/>
      <c r="AG19" s="38"/>
      <c r="AH19" s="38"/>
      <c r="AI19" s="42"/>
      <c r="AJ19" s="41">
        <f>E50</f>
        <v>0</v>
      </c>
      <c r="AK19" s="38"/>
      <c r="AL19" s="38" t="str">
        <f>E37</f>
        <v>Osakepääoma</v>
      </c>
      <c r="AM19" s="38"/>
      <c r="AN19" s="38"/>
      <c r="AO19" s="38"/>
      <c r="AP19" s="38"/>
      <c r="AQ19" s="38" t="s">
        <v>77</v>
      </c>
      <c r="AR19" s="38"/>
      <c r="AS19" s="38"/>
      <c r="AT19" s="38"/>
      <c r="AU19" s="38"/>
      <c r="AV19" s="49">
        <f>AI14+AI15</f>
        <v>0</v>
      </c>
      <c r="AW19" s="38"/>
    </row>
    <row r="20" spans="5:49" x14ac:dyDescent="0.25">
      <c r="E20" s="8"/>
      <c r="F20" s="7"/>
      <c r="H20" s="8"/>
      <c r="I20" s="7"/>
      <c r="K20" s="8"/>
      <c r="N20" s="8"/>
      <c r="O20" s="7"/>
      <c r="AG20" s="38"/>
      <c r="AH20" s="38"/>
      <c r="AI20" s="42"/>
      <c r="AJ20" s="41">
        <f>IF(H50&gt;0,H50,IF(I50&gt;0,I50*-1,0))</f>
        <v>0</v>
      </c>
      <c r="AK20" s="38"/>
      <c r="AL20" s="38" t="str">
        <f>H37</f>
        <v>Ed. tilikausien voitot/Tappiot</v>
      </c>
      <c r="AM20" s="38"/>
      <c r="AN20" s="38"/>
      <c r="AO20" s="38"/>
      <c r="AP20" s="28" t="s">
        <v>83</v>
      </c>
      <c r="AQ20" s="38"/>
      <c r="AR20" s="38"/>
      <c r="AS20" s="38"/>
      <c r="AT20" s="38"/>
      <c r="AU20" s="38"/>
      <c r="AV20" s="86">
        <f>SUM(AV9:AV19)</f>
        <v>0</v>
      </c>
      <c r="AW20" s="38"/>
    </row>
    <row r="21" spans="5:49" x14ac:dyDescent="0.25">
      <c r="E21" s="8"/>
      <c r="H21" s="8"/>
      <c r="I21" s="7"/>
      <c r="K21" s="8">
        <v>0</v>
      </c>
      <c r="L21" s="7"/>
      <c r="N21" s="69"/>
      <c r="O21" s="7"/>
      <c r="AG21" s="59"/>
      <c r="AH21" s="38"/>
      <c r="AI21" s="42"/>
      <c r="AJ21" s="41">
        <f>IF(K50&gt;0,K50,IF(L50&gt;0,L50*-1,0))</f>
        <v>-2000</v>
      </c>
      <c r="AK21" s="38"/>
      <c r="AL21" s="38" t="str">
        <f>K37&amp;" tai tappio"</f>
        <v>Tilikauden voitto tai tappio</v>
      </c>
      <c r="AM21" s="38"/>
      <c r="AN21" s="38"/>
      <c r="AO21" s="38"/>
      <c r="AP21" s="38"/>
      <c r="AQ21" s="38"/>
      <c r="AR21" s="38"/>
      <c r="AS21" s="38"/>
      <c r="AT21" s="38"/>
      <c r="AU21" s="38"/>
      <c r="AV21" s="38"/>
      <c r="AW21" s="38"/>
    </row>
    <row r="22" spans="5:49" x14ac:dyDescent="0.25">
      <c r="E22" s="8"/>
      <c r="F22" s="7"/>
      <c r="H22" s="8"/>
      <c r="I22" s="7"/>
      <c r="K22" s="8"/>
      <c r="L22" s="7"/>
      <c r="N22" s="8"/>
      <c r="O22" s="7"/>
      <c r="AG22" s="38"/>
      <c r="AH22" s="38"/>
      <c r="AI22" s="42"/>
      <c r="AJ22" s="41">
        <f>IF(N50&gt;0,N50,IF(O50&gt;0,O50*-1,0))</f>
        <v>0</v>
      </c>
      <c r="AK22" s="38"/>
      <c r="AL22" s="38" t="str">
        <f>N37</f>
        <v>Poistoero</v>
      </c>
      <c r="AM22" s="38"/>
      <c r="AN22" s="38"/>
      <c r="AO22" s="38"/>
      <c r="AP22" s="38" t="s">
        <v>13</v>
      </c>
      <c r="AQ22" s="38"/>
      <c r="AR22" s="38"/>
      <c r="AS22" s="38"/>
      <c r="AT22" s="38"/>
      <c r="AU22" s="38"/>
      <c r="AV22" s="38"/>
      <c r="AW22" s="38"/>
    </row>
    <row r="23" spans="5:49" x14ac:dyDescent="0.25">
      <c r="E23" s="8"/>
      <c r="F23" s="7"/>
      <c r="H23" s="8"/>
      <c r="I23" s="7"/>
      <c r="K23" s="8"/>
      <c r="L23" s="7"/>
      <c r="N23" s="8"/>
      <c r="O23" s="7"/>
      <c r="AG23" s="38"/>
      <c r="AH23" s="38"/>
      <c r="AI23" s="42"/>
      <c r="AJ23" s="41">
        <f>Q50</f>
        <v>0</v>
      </c>
      <c r="AK23" s="38"/>
      <c r="AL23" s="38" t="str">
        <f>Q37</f>
        <v>Laina pitkäaik.</v>
      </c>
      <c r="AM23" s="38"/>
      <c r="AN23" s="38"/>
      <c r="AO23" s="38"/>
      <c r="AP23" s="38" t="s">
        <v>78</v>
      </c>
      <c r="AQ23" s="38"/>
      <c r="AR23" s="38"/>
      <c r="AS23" s="38"/>
      <c r="AT23" s="38"/>
      <c r="AU23" s="38"/>
      <c r="AV23" s="38"/>
      <c r="AW23" s="38"/>
    </row>
    <row r="24" spans="5:49" x14ac:dyDescent="0.25">
      <c r="E24" s="8"/>
      <c r="F24" s="7"/>
      <c r="H24" s="8"/>
      <c r="I24" s="7"/>
      <c r="K24" s="8"/>
      <c r="L24" s="7"/>
      <c r="N24" s="8"/>
      <c r="O24" s="7"/>
      <c r="AG24" s="38"/>
      <c r="AH24" s="38"/>
      <c r="AI24" s="42"/>
      <c r="AJ24" s="41">
        <f>T50</f>
        <v>0</v>
      </c>
      <c r="AK24" s="38"/>
      <c r="AL24" s="38" t="str">
        <f>T37</f>
        <v>Laina lyhytaik.</v>
      </c>
      <c r="AM24" s="38"/>
      <c r="AN24" s="38"/>
      <c r="AO24" s="38"/>
      <c r="AQ24" s="38" t="s">
        <v>15</v>
      </c>
      <c r="AR24" s="38"/>
      <c r="AS24" s="38"/>
      <c r="AT24" s="38"/>
      <c r="AU24" s="38"/>
      <c r="AV24" s="49">
        <f>AJ19</f>
        <v>0</v>
      </c>
      <c r="AW24" s="38"/>
    </row>
    <row r="25" spans="5:49" x14ac:dyDescent="0.25">
      <c r="E25" s="8"/>
      <c r="F25" s="7"/>
      <c r="H25" s="8"/>
      <c r="I25" s="7"/>
      <c r="K25" s="8"/>
      <c r="L25" s="7">
        <v>0</v>
      </c>
      <c r="N25" s="8"/>
      <c r="O25" s="7"/>
      <c r="AG25" s="38"/>
      <c r="AH25" s="38"/>
      <c r="AI25" s="42"/>
      <c r="AJ25" s="41">
        <f>W50</f>
        <v>0</v>
      </c>
      <c r="AK25" s="38"/>
      <c r="AL25" s="38" t="str">
        <f>W37</f>
        <v>Ostovelat</v>
      </c>
      <c r="AM25" s="38"/>
      <c r="AN25" s="38"/>
      <c r="AO25" s="38"/>
      <c r="AP25" s="38"/>
      <c r="AQ25" t="s">
        <v>108</v>
      </c>
      <c r="AV25" s="60">
        <f>AJ28</f>
        <v>0</v>
      </c>
      <c r="AW25" s="38"/>
    </row>
    <row r="26" spans="5:49" x14ac:dyDescent="0.25">
      <c r="E26" s="8"/>
      <c r="F26" s="7"/>
      <c r="H26" s="8"/>
      <c r="I26" s="7"/>
      <c r="K26" s="8"/>
      <c r="L26" s="7"/>
      <c r="N26" s="8"/>
      <c r="O26" s="7"/>
      <c r="AG26" s="38"/>
      <c r="AH26" s="38"/>
      <c r="AI26" s="42"/>
      <c r="AJ26" s="41">
        <f>Z50</f>
        <v>0</v>
      </c>
      <c r="AK26" s="38"/>
      <c r="AL26" s="38" t="str">
        <f>Z37</f>
        <v>Muut velat</v>
      </c>
      <c r="AM26" s="38"/>
      <c r="AN26" s="38"/>
      <c r="AO26" s="38"/>
      <c r="AP26" s="38"/>
      <c r="AQ26" s="38" t="s">
        <v>79</v>
      </c>
      <c r="AR26" s="38"/>
      <c r="AS26" s="38"/>
      <c r="AT26" s="38"/>
      <c r="AU26" s="38"/>
      <c r="AV26" s="49">
        <f>AJ20</f>
        <v>0</v>
      </c>
      <c r="AW26" s="38"/>
    </row>
    <row r="27" spans="5:49" x14ac:dyDescent="0.25">
      <c r="E27" s="8"/>
      <c r="F27" s="7"/>
      <c r="H27" s="8"/>
      <c r="I27" s="7"/>
      <c r="K27" s="8"/>
      <c r="L27" s="7"/>
      <c r="N27" s="8"/>
      <c r="O27" s="7">
        <v>0</v>
      </c>
      <c r="AG27" s="38"/>
      <c r="AH27" s="38"/>
      <c r="AI27" s="42"/>
      <c r="AJ27" s="41">
        <f>IF(E72&gt;0,E72,0)</f>
        <v>0</v>
      </c>
      <c r="AL27" t="str">
        <f>E53</f>
        <v>Oma pääoma</v>
      </c>
      <c r="AM27" s="38"/>
      <c r="AN27" s="38"/>
      <c r="AO27" s="38"/>
      <c r="AP27" s="38"/>
      <c r="AQ27" s="38" t="s">
        <v>16</v>
      </c>
      <c r="AR27" s="38"/>
      <c r="AS27" s="38"/>
      <c r="AT27" s="38"/>
      <c r="AU27" s="38"/>
      <c r="AV27" s="49">
        <f>AJ21</f>
        <v>-2000</v>
      </c>
      <c r="AW27" s="38"/>
    </row>
    <row r="28" spans="5:49" x14ac:dyDescent="0.25">
      <c r="E28" s="8"/>
      <c r="F28" s="7"/>
      <c r="H28" s="8"/>
      <c r="I28" s="7"/>
      <c r="K28" s="8"/>
      <c r="L28" s="7"/>
      <c r="N28" s="8"/>
      <c r="O28" s="7"/>
      <c r="AG28" s="38"/>
      <c r="AH28" s="38"/>
      <c r="AI28" s="42"/>
      <c r="AJ28" s="41">
        <f>IF(H72&gt;0,H72,IF(I72&gt;0,I72*-1,0))</f>
        <v>0</v>
      </c>
      <c r="AL28" t="str">
        <f>H53</f>
        <v>Yksityissijoitus</v>
      </c>
      <c r="AM28" s="38"/>
      <c r="AN28" s="38"/>
      <c r="AO28" s="38"/>
      <c r="AP28" s="38" t="s">
        <v>80</v>
      </c>
      <c r="AQ28" s="38"/>
      <c r="AR28" s="38"/>
      <c r="AS28" s="38"/>
      <c r="AT28" s="38"/>
      <c r="AU28" s="38"/>
      <c r="AV28" s="38"/>
      <c r="AW28" s="38"/>
    </row>
    <row r="29" spans="5:49" x14ac:dyDescent="0.25">
      <c r="E29" s="8"/>
      <c r="F29" s="7"/>
      <c r="H29" s="8"/>
      <c r="I29" s="7"/>
      <c r="K29" s="8"/>
      <c r="L29" s="7"/>
      <c r="N29" s="8"/>
      <c r="O29" s="7"/>
      <c r="AG29" s="38"/>
      <c r="AH29" s="2" t="str">
        <f>IF(AJ29&gt;0,"Alvia maksettava valtiolle!",IF(AJ29&lt;0,"Valtio palauttaa Alvia",""))</f>
        <v/>
      </c>
      <c r="AI29" s="42"/>
      <c r="AJ29" s="41">
        <f>IF(K72&gt;0,K72,IF(L72&gt;0,L72*-1,0))</f>
        <v>0</v>
      </c>
      <c r="AK29" s="38"/>
      <c r="AL29" s="38" t="str">
        <f>K53</f>
        <v>Alv kk-saldokertymä</v>
      </c>
      <c r="AM29" s="38"/>
      <c r="AN29" s="38"/>
      <c r="AO29" s="38"/>
      <c r="AP29" s="38"/>
      <c r="AQ29" s="38" t="s">
        <v>17</v>
      </c>
      <c r="AR29" s="38"/>
      <c r="AS29" s="38"/>
      <c r="AT29" s="38"/>
      <c r="AU29" s="38"/>
      <c r="AV29" s="49">
        <f>AJ22</f>
        <v>0</v>
      </c>
      <c r="AW29" s="38"/>
    </row>
    <row r="30" spans="5:49" x14ac:dyDescent="0.25">
      <c r="E30" s="8"/>
      <c r="F30" s="7"/>
      <c r="H30" s="8"/>
      <c r="I30" s="7"/>
      <c r="K30" s="8"/>
      <c r="L30" s="7"/>
      <c r="N30" s="8"/>
      <c r="O30" s="7"/>
      <c r="AG30" s="38"/>
      <c r="AH30" s="38"/>
      <c r="AI30" s="42"/>
      <c r="AJ30" s="41">
        <f>IF(N72&gt;0,N72,IF(O72&gt;0,O72*-1,0))</f>
        <v>0</v>
      </c>
      <c r="AK30" s="38"/>
      <c r="AL30" s="38" t="str">
        <f>N53</f>
        <v>Alv- velka ed.kk (kumulat.)</v>
      </c>
      <c r="AM30" s="38"/>
      <c r="AN30" s="38"/>
      <c r="AO30" s="38"/>
      <c r="AP30" s="38" t="s">
        <v>81</v>
      </c>
      <c r="AQ30" s="38"/>
      <c r="AR30" s="38"/>
      <c r="AS30" s="38"/>
      <c r="AT30" s="38"/>
      <c r="AU30" s="38"/>
      <c r="AV30" s="38"/>
      <c r="AW30" s="38"/>
    </row>
    <row r="31" spans="5:49" x14ac:dyDescent="0.25">
      <c r="E31" s="8"/>
      <c r="F31" s="7"/>
      <c r="H31" s="8"/>
      <c r="I31" s="7"/>
      <c r="K31" s="8"/>
      <c r="L31" s="7"/>
      <c r="N31" s="8"/>
      <c r="O31" s="7"/>
      <c r="AG31" s="38"/>
      <c r="AH31" s="38"/>
      <c r="AI31" s="42"/>
      <c r="AJ31" s="41">
        <f>IF(Q72&gt;0,Q72,IF(R72&gt;0,R72*-1,0))</f>
        <v>0</v>
      </c>
      <c r="AK31" s="38"/>
      <c r="AL31" s="38" t="str">
        <f>Q53</f>
        <v>Siirtovelat</v>
      </c>
      <c r="AM31" s="38"/>
      <c r="AN31" s="38"/>
      <c r="AO31" s="38"/>
      <c r="AP31" s="38"/>
      <c r="AQ31" s="38" t="s">
        <v>82</v>
      </c>
      <c r="AR31" s="38"/>
      <c r="AS31" s="38"/>
      <c r="AT31" s="38"/>
      <c r="AU31" s="38"/>
      <c r="AV31" s="49">
        <f>AJ23+AJ24</f>
        <v>0</v>
      </c>
      <c r="AW31" s="38"/>
    </row>
    <row r="32" spans="5:49" x14ac:dyDescent="0.25">
      <c r="E32" s="8"/>
      <c r="F32" s="7"/>
      <c r="H32" s="8"/>
      <c r="I32" s="7"/>
      <c r="K32" s="8"/>
      <c r="L32" s="7"/>
      <c r="N32" s="8"/>
      <c r="O32" s="7"/>
      <c r="AG32" s="38"/>
      <c r="AI32" s="42"/>
      <c r="AJ32" s="41">
        <f>IF(T72&gt;0,T72,IF(U72&gt;0,U72*-1,0))</f>
        <v>0</v>
      </c>
      <c r="AL32" t="str">
        <f>T53</f>
        <v>xxx</v>
      </c>
      <c r="AM32" s="38"/>
      <c r="AN32" s="38"/>
      <c r="AO32" s="38"/>
      <c r="AP32" s="38"/>
      <c r="AQ32" s="38" t="s">
        <v>20</v>
      </c>
      <c r="AR32" s="38"/>
      <c r="AS32" s="38"/>
      <c r="AT32" s="38"/>
      <c r="AU32" s="38"/>
      <c r="AV32" s="49">
        <f>AJ25</f>
        <v>0</v>
      </c>
      <c r="AW32" s="38"/>
    </row>
    <row r="33" spans="1:88" ht="15.75" thickBot="1" x14ac:dyDescent="0.3">
      <c r="A33" t="s">
        <v>12</v>
      </c>
      <c r="E33" s="16">
        <f>SUM(E17:E32)</f>
        <v>0</v>
      </c>
      <c r="F33" s="16">
        <f>SUM(F17:F32)</f>
        <v>0</v>
      </c>
      <c r="H33" s="16">
        <f>SUM(H17:H32)</f>
        <v>0</v>
      </c>
      <c r="I33" s="16">
        <f>SUM(I17:I32)</f>
        <v>0</v>
      </c>
      <c r="K33" s="16">
        <f>SUM(K17:K32)</f>
        <v>0</v>
      </c>
      <c r="L33" s="16">
        <f>SUM(L17:L32)</f>
        <v>0</v>
      </c>
      <c r="N33" s="16">
        <f>SUM(N17:N32)</f>
        <v>0</v>
      </c>
      <c r="O33" s="16">
        <f>SUM(O17:O32)</f>
        <v>0</v>
      </c>
      <c r="AG33" s="38"/>
      <c r="AH33" s="38"/>
      <c r="AI33" s="42"/>
      <c r="AJ33" s="41">
        <f>IF(W72&gt;0,W72,IF(X72&gt;0,X72*-1,0))</f>
        <v>0</v>
      </c>
      <c r="AL33" t="str">
        <f>W53</f>
        <v>xxx2</v>
      </c>
      <c r="AM33" s="38"/>
      <c r="AN33" s="38"/>
      <c r="AO33" s="38"/>
      <c r="AP33" s="38"/>
      <c r="AQ33" s="38" t="s">
        <v>21</v>
      </c>
      <c r="AR33" s="38"/>
      <c r="AS33" s="38"/>
      <c r="AT33" s="38"/>
      <c r="AU33" s="38"/>
      <c r="AV33" s="49">
        <f>AJ26+AJ30+AJ29</f>
        <v>0</v>
      </c>
      <c r="AW33" s="38"/>
    </row>
    <row r="34" spans="1:88" ht="16.5" thickTop="1" thickBot="1" x14ac:dyDescent="0.3">
      <c r="A34" s="13">
        <f>SUM(E13:AA13,E34:O34)</f>
        <v>0</v>
      </c>
      <c r="B34" s="13"/>
      <c r="E34" s="10">
        <f>IF(E33&lt;F33,F33-E33,0)</f>
        <v>0</v>
      </c>
      <c r="F34" s="10">
        <f>IF(F33&lt;E33,E33-F33,0)</f>
        <v>0</v>
      </c>
      <c r="H34" s="10">
        <f>IF(H33&lt;I33,I33-H33,0)</f>
        <v>0</v>
      </c>
      <c r="I34" s="10">
        <f>IF(I33&lt;H33,H33-I33,0)</f>
        <v>0</v>
      </c>
      <c r="K34" s="10">
        <f>IF(K33&lt;L33,L33-K33,0)</f>
        <v>0</v>
      </c>
      <c r="L34" s="10">
        <f>IF(L33&lt;K33,K33-L33,0)</f>
        <v>0</v>
      </c>
      <c r="N34" s="10">
        <f>IF(N33&lt;O33,O33-N33,0)</f>
        <v>0</v>
      </c>
      <c r="O34" s="10">
        <f>IF(O33&lt;N33,N33-O33,0)</f>
        <v>0</v>
      </c>
      <c r="AG34" s="38"/>
      <c r="AI34" s="42"/>
      <c r="AJ34" s="41">
        <f>IF(Z72&gt;0,Z72,IF(AA72&gt;0,AA72,0))</f>
        <v>0</v>
      </c>
      <c r="AK34" s="38"/>
      <c r="AL34" s="38" t="str">
        <f>Z53</f>
        <v>varatili</v>
      </c>
      <c r="AM34" s="38"/>
      <c r="AO34" s="38"/>
      <c r="AP34" s="38"/>
      <c r="AQ34" s="38" t="s">
        <v>22</v>
      </c>
      <c r="AR34" s="38"/>
      <c r="AS34" s="38"/>
      <c r="AT34" s="38"/>
      <c r="AU34" s="38"/>
      <c r="AV34" s="49">
        <f>AJ31</f>
        <v>0</v>
      </c>
      <c r="AW34" s="38"/>
    </row>
    <row r="35" spans="1:88" x14ac:dyDescent="0.25">
      <c r="Y35" s="38"/>
      <c r="Z35" s="38"/>
      <c r="AA35" s="38"/>
      <c r="AB35" s="38"/>
      <c r="AC35" s="38"/>
      <c r="AD35" s="38"/>
      <c r="AE35" s="38"/>
      <c r="AF35" s="38"/>
      <c r="AG35" s="38"/>
      <c r="AH35" s="38"/>
      <c r="AI35" s="67">
        <f>SUM(AI6:AI18)</f>
        <v>0</v>
      </c>
      <c r="AJ35" s="68">
        <f>SUM(AJ19:AJ34)</f>
        <v>-2000</v>
      </c>
      <c r="AM35" s="38"/>
      <c r="AN35" s="38"/>
      <c r="AO35" s="38"/>
      <c r="AP35" s="28" t="s">
        <v>84</v>
      </c>
      <c r="AQ35" s="38"/>
      <c r="AR35" s="38"/>
      <c r="AS35" s="38"/>
      <c r="AT35" s="38"/>
      <c r="AU35" s="38"/>
      <c r="AV35" s="86">
        <f>SUM(AV24:AV34)</f>
        <v>-2000</v>
      </c>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row>
    <row r="36" spans="1:88" ht="15.75" thickBot="1" x14ac:dyDescent="0.3">
      <c r="A36" s="1" t="s">
        <v>13</v>
      </c>
      <c r="B36" s="1"/>
      <c r="E36" s="178"/>
      <c r="F36" s="179"/>
      <c r="H36" s="178"/>
      <c r="I36" s="179"/>
      <c r="K36" s="178"/>
      <c r="L36" s="179"/>
      <c r="N36" s="178"/>
      <c r="O36" s="179"/>
      <c r="Q36" s="178"/>
      <c r="R36" s="179"/>
      <c r="T36" s="178"/>
      <c r="U36" s="179"/>
      <c r="W36" s="178"/>
      <c r="X36" s="179"/>
      <c r="Y36" s="38"/>
      <c r="Z36" s="178"/>
      <c r="AA36" s="179"/>
      <c r="AB36" s="38"/>
      <c r="AC36" s="38"/>
      <c r="AD36" s="38"/>
      <c r="AE36" s="38"/>
      <c r="AF36" s="38"/>
      <c r="AG36" s="38"/>
      <c r="AH36" s="38"/>
      <c r="AI36" s="65">
        <f>IF(AI35&lt;AJ35,AJ35-AI35,0)</f>
        <v>0</v>
      </c>
      <c r="AJ36" s="66">
        <f>IF(AJ35&lt;AI35,AI35-AJ35,0)</f>
        <v>2000</v>
      </c>
      <c r="AM36" s="38"/>
      <c r="AN36" s="38"/>
      <c r="AO36" s="38"/>
      <c r="AP36" s="28" t="s">
        <v>85</v>
      </c>
      <c r="AQ36" s="38"/>
      <c r="AS36" s="38"/>
      <c r="AT36" s="38"/>
      <c r="AU36" s="38"/>
      <c r="AV36" s="53">
        <f>AV54/AV41</f>
        <v>1</v>
      </c>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row>
    <row r="37" spans="1:88" ht="15.75" thickBot="1" x14ac:dyDescent="0.3">
      <c r="A37" s="2" t="s">
        <v>14</v>
      </c>
      <c r="E37" s="180" t="s">
        <v>15</v>
      </c>
      <c r="F37" s="181"/>
      <c r="H37" s="180" t="s">
        <v>105</v>
      </c>
      <c r="I37" s="181"/>
      <c r="K37" s="180" t="s">
        <v>16</v>
      </c>
      <c r="L37" s="181"/>
      <c r="N37" s="180" t="s">
        <v>17</v>
      </c>
      <c r="O37" s="181"/>
      <c r="Q37" s="180" t="s">
        <v>18</v>
      </c>
      <c r="R37" s="181"/>
      <c r="T37" s="180" t="s">
        <v>19</v>
      </c>
      <c r="U37" s="181"/>
      <c r="W37" s="180" t="s">
        <v>20</v>
      </c>
      <c r="X37" s="181"/>
      <c r="Y37" s="38"/>
      <c r="Z37" s="170" t="s">
        <v>21</v>
      </c>
      <c r="AA37" s="172"/>
      <c r="AB37" s="56"/>
      <c r="AC37" s="56"/>
      <c r="AD37" s="56"/>
      <c r="AE37" s="56"/>
      <c r="AF37" s="38"/>
      <c r="AG37" s="38"/>
      <c r="AH37" s="38"/>
      <c r="AI37" s="25" t="str">
        <f>IF(AI36&lt;&gt;AJ36,"Tase ei täsmää, tarkista kirjaukset!","Ok")</f>
        <v>Tase ei täsmää, tarkista kirjaukset!</v>
      </c>
      <c r="AJ37" s="38"/>
      <c r="AK37" s="38"/>
      <c r="AL37" s="38"/>
      <c r="AM37" s="38"/>
      <c r="AN37" s="38"/>
      <c r="AO37" s="38"/>
      <c r="AP37" s="28" t="s">
        <v>86</v>
      </c>
      <c r="AQ37" s="38"/>
      <c r="AR37" s="38"/>
      <c r="AS37" s="38"/>
      <c r="AT37" s="38"/>
      <c r="AU37" s="38"/>
      <c r="AV37" s="53">
        <f>(AV24+AV26+AV27)/AV35</f>
        <v>1</v>
      </c>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row>
    <row r="38" spans="1:88" ht="15.75" thickBot="1" x14ac:dyDescent="0.3">
      <c r="D38" s="3" t="s">
        <v>10</v>
      </c>
      <c r="E38" s="4" t="s">
        <v>95</v>
      </c>
      <c r="F38" s="5" t="s">
        <v>94</v>
      </c>
      <c r="G38" s="14" t="s">
        <v>10</v>
      </c>
      <c r="H38" s="4" t="s">
        <v>95</v>
      </c>
      <c r="I38" s="5" t="s">
        <v>94</v>
      </c>
      <c r="J38" s="14" t="s">
        <v>10</v>
      </c>
      <c r="K38" s="4" t="s">
        <v>95</v>
      </c>
      <c r="L38" s="5" t="s">
        <v>94</v>
      </c>
      <c r="M38" s="14" t="s">
        <v>10</v>
      </c>
      <c r="N38" s="4" t="s">
        <v>95</v>
      </c>
      <c r="O38" s="5" t="s">
        <v>94</v>
      </c>
      <c r="P38" s="14" t="s">
        <v>10</v>
      </c>
      <c r="Q38" s="4" t="s">
        <v>95</v>
      </c>
      <c r="R38" s="5" t="s">
        <v>94</v>
      </c>
      <c r="S38" s="14" t="s">
        <v>10</v>
      </c>
      <c r="T38" s="4" t="s">
        <v>95</v>
      </c>
      <c r="U38" s="5" t="s">
        <v>94</v>
      </c>
      <c r="V38" s="14" t="s">
        <v>10</v>
      </c>
      <c r="W38" s="4" t="s">
        <v>95</v>
      </c>
      <c r="X38" s="5" t="s">
        <v>94</v>
      </c>
      <c r="Y38" s="39" t="s">
        <v>10</v>
      </c>
      <c r="Z38" s="4" t="s">
        <v>95</v>
      </c>
      <c r="AA38" s="5" t="s">
        <v>94</v>
      </c>
      <c r="AB38" s="54"/>
      <c r="AC38" s="54"/>
      <c r="AD38" s="54"/>
      <c r="AE38" s="54"/>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row>
    <row r="39" spans="1:88" ht="15.75" thickBot="1" x14ac:dyDescent="0.3">
      <c r="E39" s="6"/>
      <c r="F39" s="7"/>
      <c r="H39" s="6"/>
      <c r="I39" s="7"/>
      <c r="K39" s="6"/>
      <c r="L39" s="7"/>
      <c r="N39" s="6"/>
      <c r="O39" s="7"/>
      <c r="Q39" s="6"/>
      <c r="R39" s="7"/>
      <c r="T39" s="6"/>
      <c r="U39" s="7"/>
      <c r="W39" s="6"/>
      <c r="X39" s="7"/>
      <c r="Y39" s="38"/>
      <c r="Z39" s="40"/>
      <c r="AA39" s="41"/>
      <c r="AB39" s="41"/>
      <c r="AC39" s="41"/>
      <c r="AD39" s="41"/>
      <c r="AE39" s="41"/>
      <c r="AF39" s="38"/>
      <c r="AG39" s="38"/>
      <c r="AH39" s="193" t="s">
        <v>28</v>
      </c>
      <c r="AI39" s="194"/>
      <c r="AJ39" s="194"/>
      <c r="AK39" s="195"/>
      <c r="AL39" s="38"/>
      <c r="AM39" s="38"/>
      <c r="AN39" s="38"/>
      <c r="AO39" s="38"/>
      <c r="AP39" s="28" t="s">
        <v>50</v>
      </c>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row>
    <row r="40" spans="1:88" ht="15.75" thickBot="1" x14ac:dyDescent="0.3">
      <c r="E40" s="8"/>
      <c r="F40" s="7"/>
      <c r="H40" s="8"/>
      <c r="I40" s="7"/>
      <c r="K40" s="8"/>
      <c r="L40" s="7"/>
      <c r="N40" s="8"/>
      <c r="O40" s="7"/>
      <c r="P40" s="9"/>
      <c r="Q40" s="8"/>
      <c r="R40" s="7"/>
      <c r="T40" s="8"/>
      <c r="U40" s="7"/>
      <c r="W40" s="8"/>
      <c r="X40" s="7"/>
      <c r="Y40" s="38"/>
      <c r="Z40" s="42"/>
      <c r="AA40" s="41"/>
      <c r="AB40" s="41"/>
      <c r="AC40" s="41"/>
      <c r="AD40" s="41"/>
      <c r="AE40" s="41"/>
      <c r="AF40" s="38"/>
      <c r="AG40" s="38"/>
      <c r="AH40" s="174" t="s">
        <v>30</v>
      </c>
      <c r="AI40" s="175"/>
      <c r="AJ40" s="176" t="s">
        <v>31</v>
      </c>
      <c r="AK40" s="177"/>
      <c r="AL40" s="38"/>
      <c r="AM40" s="38"/>
      <c r="AN40" s="38"/>
      <c r="AO40" s="38"/>
      <c r="AP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row>
    <row r="41" spans="1:88" x14ac:dyDescent="0.25">
      <c r="E41" s="8"/>
      <c r="F41" s="7"/>
      <c r="H41" s="8"/>
      <c r="I41" s="7"/>
      <c r="K41" s="8"/>
      <c r="L41" s="7"/>
      <c r="N41" s="8"/>
      <c r="O41" s="7"/>
      <c r="Q41" s="8"/>
      <c r="R41" s="7"/>
      <c r="T41" s="8"/>
      <c r="U41" s="7"/>
      <c r="W41" s="8"/>
      <c r="X41" s="7"/>
      <c r="Y41" s="38"/>
      <c r="Z41" s="42"/>
      <c r="AA41" s="41"/>
      <c r="AB41" s="41"/>
      <c r="AC41" s="41"/>
      <c r="AD41" s="41"/>
      <c r="AE41" s="41"/>
      <c r="AF41" s="38"/>
      <c r="AG41" s="38"/>
      <c r="AH41" s="84"/>
      <c r="AI41" s="42"/>
      <c r="AJ41" s="41">
        <f>IF(E90&gt;0,E90,IF(F90&gt;0,F90*-1,0))</f>
        <v>-2000</v>
      </c>
      <c r="AK41" s="38"/>
      <c r="AL41" s="78" t="str">
        <f>E78</f>
        <v xml:space="preserve">Myynnit </v>
      </c>
      <c r="AM41" s="38"/>
      <c r="AN41" s="38"/>
      <c r="AO41" s="38"/>
      <c r="AP41" s="38" t="s">
        <v>53</v>
      </c>
      <c r="AQ41" s="38"/>
      <c r="AR41" s="38"/>
      <c r="AS41" s="38"/>
      <c r="AT41" s="38"/>
      <c r="AU41" s="38"/>
      <c r="AV41" s="51">
        <f>SUM(AJ41:AJ43)</f>
        <v>-2000</v>
      </c>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row>
    <row r="42" spans="1:88" x14ac:dyDescent="0.25">
      <c r="E42" s="8"/>
      <c r="F42" s="7"/>
      <c r="H42" s="8"/>
      <c r="I42" s="7"/>
      <c r="K42" s="8"/>
      <c r="L42" s="7"/>
      <c r="N42" s="8"/>
      <c r="O42" s="7"/>
      <c r="Q42" s="8"/>
      <c r="R42" s="7"/>
      <c r="T42" s="8"/>
      <c r="U42" s="7"/>
      <c r="W42" s="8"/>
      <c r="X42" s="7"/>
      <c r="Y42" s="38"/>
      <c r="Z42" s="42"/>
      <c r="AA42" s="41"/>
      <c r="AB42" s="41"/>
      <c r="AC42" s="41"/>
      <c r="AD42" s="41"/>
      <c r="AE42" s="41"/>
      <c r="AF42" s="38"/>
      <c r="AH42" s="38"/>
      <c r="AI42" s="42"/>
      <c r="AJ42" s="41">
        <f>IF(E102&gt;0,E102,IF(F102&gt;0,F102*-1,0))</f>
        <v>0</v>
      </c>
      <c r="AK42" s="38"/>
      <c r="AL42" s="78" t="str">
        <f>E93</f>
        <v>Myynnit 2</v>
      </c>
      <c r="AM42" s="38"/>
      <c r="AN42" s="38"/>
      <c r="AO42" s="38"/>
      <c r="AP42" t="str">
        <f>AG45</f>
        <v xml:space="preserve">Annetut alennukset </v>
      </c>
      <c r="AV42" s="60">
        <f>AI45</f>
        <v>0</v>
      </c>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row>
    <row r="43" spans="1:88" x14ac:dyDescent="0.25">
      <c r="E43" s="8"/>
      <c r="F43" s="7"/>
      <c r="H43" s="8"/>
      <c r="I43" s="7"/>
      <c r="K43" s="8"/>
      <c r="L43" s="7"/>
      <c r="N43" s="8"/>
      <c r="O43" s="7"/>
      <c r="Q43" s="8"/>
      <c r="R43" s="7"/>
      <c r="T43" s="8"/>
      <c r="U43" s="7"/>
      <c r="W43" s="8"/>
      <c r="X43" s="7"/>
      <c r="Y43" s="38"/>
      <c r="Z43" s="42"/>
      <c r="AA43" s="41"/>
      <c r="AB43" s="41"/>
      <c r="AC43" s="41"/>
      <c r="AD43" s="41"/>
      <c r="AE43" s="41"/>
      <c r="AF43" s="38"/>
      <c r="AH43" s="38"/>
      <c r="AI43" s="42"/>
      <c r="AJ43" s="41">
        <f>IF(E114&gt;0,E114,IF(F114&gt;0,F114*-1,0))</f>
        <v>0</v>
      </c>
      <c r="AK43" s="38"/>
      <c r="AL43" s="78" t="str">
        <f>E105</f>
        <v>Myynnit 3</v>
      </c>
      <c r="AM43" s="38"/>
      <c r="AN43" s="38"/>
      <c r="AO43" s="38"/>
      <c r="AP43" s="38" t="s">
        <v>52</v>
      </c>
      <c r="AQ43" s="38"/>
      <c r="AR43" s="38"/>
      <c r="AS43" s="38"/>
      <c r="AT43" s="38"/>
      <c r="AU43" s="38"/>
      <c r="AV43" s="49">
        <f>AI68-O7</f>
        <v>0</v>
      </c>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row>
    <row r="44" spans="1:88" x14ac:dyDescent="0.25">
      <c r="E44" s="8"/>
      <c r="F44" s="7"/>
      <c r="H44" s="8"/>
      <c r="I44" s="7"/>
      <c r="K44" s="8"/>
      <c r="L44" s="7"/>
      <c r="N44" s="8"/>
      <c r="O44" s="7"/>
      <c r="Q44" s="8"/>
      <c r="R44" s="7"/>
      <c r="T44" s="8"/>
      <c r="U44" s="7"/>
      <c r="W44" s="11"/>
      <c r="X44" s="12"/>
      <c r="Y44" s="38"/>
      <c r="Z44" s="42"/>
      <c r="AA44" s="41"/>
      <c r="AB44" s="41"/>
      <c r="AC44" s="41"/>
      <c r="AD44" s="41"/>
      <c r="AE44" s="41"/>
      <c r="AF44" s="38"/>
      <c r="AI44" s="69"/>
      <c r="AJ44" s="41">
        <f>IF(H114&gt;0,H114,IF(I114&gt;0,I114*-1,0))</f>
        <v>0</v>
      </c>
      <c r="AL44" t="str">
        <f>H105</f>
        <v>Saadut käteisalennukset</v>
      </c>
      <c r="AM44" s="38"/>
      <c r="AN44" s="38"/>
      <c r="AO44" s="38"/>
      <c r="AP44" s="38" t="s">
        <v>51</v>
      </c>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row>
    <row r="45" spans="1:88" x14ac:dyDescent="0.25">
      <c r="E45" s="8"/>
      <c r="F45" s="7"/>
      <c r="H45" s="8"/>
      <c r="I45" s="7"/>
      <c r="K45" s="8"/>
      <c r="L45" s="7"/>
      <c r="N45" s="8"/>
      <c r="O45" s="7"/>
      <c r="Q45" s="8"/>
      <c r="R45" s="7"/>
      <c r="T45" s="8"/>
      <c r="U45" s="7"/>
      <c r="W45" s="8"/>
      <c r="X45" s="7"/>
      <c r="Y45" s="38"/>
      <c r="Z45" s="42"/>
      <c r="AA45" s="41"/>
      <c r="AB45" s="41"/>
      <c r="AC45" s="41"/>
      <c r="AD45" s="41"/>
      <c r="AE45" s="41"/>
      <c r="AF45" s="38"/>
      <c r="AG45" s="44" t="str">
        <f>H78</f>
        <v xml:space="preserve">Annetut alennukset </v>
      </c>
      <c r="AI45" s="42">
        <f>IF(I90&gt;0,I90,IF(H90&gt;0,H90*-1,0))</f>
        <v>0</v>
      </c>
      <c r="AJ45" s="41"/>
      <c r="AK45" s="38"/>
      <c r="AL45" s="38"/>
      <c r="AM45" s="38"/>
      <c r="AN45" s="38"/>
      <c r="AO45" s="38"/>
      <c r="AP45" s="38" t="s">
        <v>54</v>
      </c>
      <c r="AQ45" s="38" t="s">
        <v>55</v>
      </c>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row>
    <row r="46" spans="1:88" x14ac:dyDescent="0.25">
      <c r="E46" s="8"/>
      <c r="F46" s="7"/>
      <c r="H46" s="8"/>
      <c r="I46" s="7"/>
      <c r="K46" s="8"/>
      <c r="L46" s="7"/>
      <c r="N46" s="8"/>
      <c r="O46" s="7"/>
      <c r="Q46" s="8"/>
      <c r="R46" s="7"/>
      <c r="T46" s="8"/>
      <c r="U46" s="7"/>
      <c r="W46" s="8"/>
      <c r="X46" s="7"/>
      <c r="Y46" s="38"/>
      <c r="Z46" s="42"/>
      <c r="AA46" s="41"/>
      <c r="AB46" s="41"/>
      <c r="AC46" s="41"/>
      <c r="AD46" s="41"/>
      <c r="AE46" s="41"/>
      <c r="AF46" s="38"/>
      <c r="AG46" s="44" t="str">
        <f>K78</f>
        <v>Ostot</v>
      </c>
      <c r="AH46" s="38"/>
      <c r="AI46" s="42">
        <f>IF(L90&gt;0,L90,IF(K90&gt;0,K90*-1,0))</f>
        <v>0</v>
      </c>
      <c r="AJ46" s="41"/>
      <c r="AK46" s="38"/>
      <c r="AL46" s="38"/>
      <c r="AM46" s="38"/>
      <c r="AN46" s="38"/>
      <c r="AO46" s="38"/>
      <c r="AP46" s="38"/>
      <c r="AQ46" s="38"/>
      <c r="AR46" s="38" t="s">
        <v>56</v>
      </c>
      <c r="AS46" s="38"/>
      <c r="AT46" s="38"/>
      <c r="AU46" s="38"/>
      <c r="AV46" s="49">
        <f>AI46</f>
        <v>0</v>
      </c>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row>
    <row r="47" spans="1:88" x14ac:dyDescent="0.25">
      <c r="E47" s="8"/>
      <c r="F47" s="7"/>
      <c r="H47" s="8"/>
      <c r="I47" s="7"/>
      <c r="K47" s="8"/>
      <c r="L47" s="7"/>
      <c r="N47" s="8"/>
      <c r="O47" s="7"/>
      <c r="Q47" s="8"/>
      <c r="R47" s="7"/>
      <c r="T47" s="8"/>
      <c r="U47" s="7"/>
      <c r="W47" s="8"/>
      <c r="X47" s="7"/>
      <c r="Y47" s="38"/>
      <c r="Z47" s="42"/>
      <c r="AA47" s="41"/>
      <c r="AB47" s="41"/>
      <c r="AC47" s="41"/>
      <c r="AD47" s="41"/>
      <c r="AE47" s="41"/>
      <c r="AF47" s="38"/>
      <c r="AG47" s="44" t="str">
        <f>N78</f>
        <v>Palovakuutukset</v>
      </c>
      <c r="AH47" s="38"/>
      <c r="AI47" s="42">
        <f>IF(O90&gt;0,O90,IF(N90&gt;0,N90*-1,0))</f>
        <v>0</v>
      </c>
      <c r="AJ47" s="41"/>
      <c r="AK47" s="38"/>
      <c r="AL47" s="38"/>
      <c r="AM47" s="38"/>
      <c r="AN47" s="38"/>
      <c r="AO47" s="38"/>
      <c r="AP47" s="38"/>
      <c r="AQ47" s="38"/>
      <c r="AR47" s="38" t="s">
        <v>57</v>
      </c>
      <c r="AS47" s="38"/>
      <c r="AT47" s="38"/>
      <c r="AU47" s="38"/>
      <c r="AV47" s="49">
        <f>W107</f>
        <v>0</v>
      </c>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row>
    <row r="48" spans="1:88" x14ac:dyDescent="0.25">
      <c r="E48" s="8"/>
      <c r="F48" s="7"/>
      <c r="H48" s="8"/>
      <c r="I48" s="7"/>
      <c r="J48" s="82" t="str">
        <f>IF(AH76&lt;&gt;"",AH76,"")</f>
        <v/>
      </c>
      <c r="K48" s="70">
        <f>IF(AJ76&gt;0,AJ76,0)</f>
        <v>2000</v>
      </c>
      <c r="L48" s="71">
        <f>IF(AI76&gt;0,AI76,0)</f>
        <v>0</v>
      </c>
      <c r="N48" s="8"/>
      <c r="O48" s="7"/>
      <c r="Q48" s="8"/>
      <c r="R48" s="7"/>
      <c r="T48" s="8"/>
      <c r="U48" s="7"/>
      <c r="W48" s="8"/>
      <c r="X48" s="7"/>
      <c r="Y48" s="38"/>
      <c r="Z48" s="42"/>
      <c r="AA48" s="41"/>
      <c r="AB48" s="41"/>
      <c r="AC48" s="41"/>
      <c r="AD48" s="41"/>
      <c r="AE48" s="41"/>
      <c r="AF48" s="38"/>
      <c r="AG48" s="44" t="str">
        <f>Q78</f>
        <v>Vahinkovakuutukset</v>
      </c>
      <c r="AH48" s="38"/>
      <c r="AI48" s="42">
        <f>IF(R90&gt;0,R90,IF(Q90&gt;0,Q90*-1,0))</f>
        <v>0</v>
      </c>
      <c r="AJ48" s="41"/>
      <c r="AL48" s="38"/>
      <c r="AM48" s="38"/>
      <c r="AN48" s="38"/>
      <c r="AO48" s="38"/>
      <c r="AR48" t="str">
        <f>AL44</f>
        <v>Saadut käteisalennukset</v>
      </c>
      <c r="AV48" s="60">
        <f>AJ44</f>
        <v>0</v>
      </c>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row>
    <row r="49" spans="4:88" ht="15.75" thickBot="1" x14ac:dyDescent="0.3">
      <c r="E49" s="16">
        <f>SUM(E39:E48)</f>
        <v>0</v>
      </c>
      <c r="F49" s="16">
        <f>SUM(F39:F48)</f>
        <v>0</v>
      </c>
      <c r="H49" s="16">
        <f>SUM(H39:H48)</f>
        <v>0</v>
      </c>
      <c r="I49" s="16">
        <f>SUM(I39:I48)</f>
        <v>0</v>
      </c>
      <c r="K49" s="16">
        <f>SUM(K39:K48)</f>
        <v>2000</v>
      </c>
      <c r="L49" s="16">
        <f>SUM(L39:L48)</f>
        <v>0</v>
      </c>
      <c r="N49" s="16">
        <f>SUM(N39:N48)</f>
        <v>0</v>
      </c>
      <c r="O49" s="16">
        <f>SUM(O39:O48)</f>
        <v>0</v>
      </c>
      <c r="Q49" s="16">
        <f>SUM(Q39:Q48)</f>
        <v>0</v>
      </c>
      <c r="R49" s="16">
        <f>SUM(R39:R48)</f>
        <v>0</v>
      </c>
      <c r="T49" s="16">
        <f>SUM(T39:T48)</f>
        <v>0</v>
      </c>
      <c r="U49" s="16">
        <f>SUM(U39:U48)</f>
        <v>0</v>
      </c>
      <c r="W49" s="16">
        <f>SUM(W39:W48)</f>
        <v>0</v>
      </c>
      <c r="X49" s="16">
        <f>SUM(X39:X48)</f>
        <v>0</v>
      </c>
      <c r="Y49" s="38"/>
      <c r="Z49" s="16">
        <f>SUM(Z39:Z48)</f>
        <v>0</v>
      </c>
      <c r="AA49" s="16">
        <f>SUM(AA39:AA48)</f>
        <v>0</v>
      </c>
      <c r="AB49" s="57"/>
      <c r="AC49" s="57"/>
      <c r="AD49" s="57"/>
      <c r="AE49" s="57"/>
      <c r="AF49" s="38"/>
      <c r="AG49" s="44" t="str">
        <f>T78</f>
        <v>Sähkömenot</v>
      </c>
      <c r="AH49" s="38"/>
      <c r="AI49" s="42">
        <f>IF(U90&gt;0,U90,IF(T90&gt;0,T90*-1,0))</f>
        <v>0</v>
      </c>
      <c r="AJ49" s="41"/>
      <c r="AL49" s="38"/>
      <c r="AM49" s="38"/>
      <c r="AN49" s="38"/>
      <c r="AO49" s="38"/>
      <c r="AP49" s="38"/>
      <c r="AQ49" s="38" t="s">
        <v>58</v>
      </c>
      <c r="AR49" s="38"/>
      <c r="AS49" s="38"/>
      <c r="AT49" s="38"/>
      <c r="AU49" s="38"/>
      <c r="AV49" s="50">
        <f>AI47+AI48+AI49+AI50+AI51+AI53+AI54+SUM(AI55:AI61)</f>
        <v>0</v>
      </c>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row>
    <row r="50" spans="4:88" ht="15.75" thickTop="1" x14ac:dyDescent="0.25">
      <c r="E50" s="10">
        <f>IF(E49&lt;F49,F49-E49,0)</f>
        <v>0</v>
      </c>
      <c r="F50" s="10">
        <f>IF(F49&lt;E49,E49-F49,0)</f>
        <v>0</v>
      </c>
      <c r="H50" s="10">
        <f>IF(H49&lt;I49,I49-H49,0)</f>
        <v>0</v>
      </c>
      <c r="I50" s="10">
        <f>IF(I49&lt;H49,H49-I49,0)</f>
        <v>0</v>
      </c>
      <c r="K50" s="10">
        <f>IF(K49&lt;L49,L49-K49,0)</f>
        <v>0</v>
      </c>
      <c r="L50" s="10">
        <f>IF(L49&lt;K49,K49-L49,0)</f>
        <v>2000</v>
      </c>
      <c r="N50" s="10">
        <f>IF(N49&lt;O49,O49-N49,0)</f>
        <v>0</v>
      </c>
      <c r="O50" s="10">
        <f>IF(O49&lt;N49,N49-O49,0)</f>
        <v>0</v>
      </c>
      <c r="Q50" s="10">
        <f>IF(Q49&lt;R49,R49-Q49,0)</f>
        <v>0</v>
      </c>
      <c r="R50" s="10">
        <f>IF(R49&lt;Q49,Q49-R49,0)</f>
        <v>0</v>
      </c>
      <c r="T50" s="10">
        <f>IF(T49&lt;U49,U49-T49,0)</f>
        <v>0</v>
      </c>
      <c r="U50" s="10">
        <f>IF(U49&lt;T49,T49-U49,0)</f>
        <v>0</v>
      </c>
      <c r="W50" s="10">
        <f>IF(W49&lt;X49,X49-W49,0)</f>
        <v>0</v>
      </c>
      <c r="X50" s="10">
        <f>IF(X49&lt;W49,W49-X49,0)</f>
        <v>0</v>
      </c>
      <c r="Y50" s="38"/>
      <c r="Z50" s="10">
        <f>IF(Z49&lt;AA49,AA49-Z49,0)</f>
        <v>0</v>
      </c>
      <c r="AA50" s="10">
        <f>IF(AA49&lt;Z49,Z49-AA49,0)</f>
        <v>0</v>
      </c>
      <c r="AB50" s="47"/>
      <c r="AC50" s="47"/>
      <c r="AD50" s="47"/>
      <c r="AE50" s="47"/>
      <c r="AF50" s="38"/>
      <c r="AG50" s="44" t="str">
        <f>W78</f>
        <v xml:space="preserve">Pienhankinnat </v>
      </c>
      <c r="AH50" s="38"/>
      <c r="AI50" s="42">
        <f>IF(X90&gt;0,X90,IF(W90&gt;0,W90*-1,0))</f>
        <v>0</v>
      </c>
      <c r="AJ50" s="41"/>
      <c r="AL50" s="38"/>
      <c r="AM50" s="38"/>
      <c r="AN50" s="38"/>
      <c r="AO50" s="38"/>
      <c r="AP50" s="38" t="s">
        <v>59</v>
      </c>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row>
    <row r="51" spans="4:88" x14ac:dyDescent="0.25">
      <c r="Y51" s="38"/>
      <c r="Z51" s="38"/>
      <c r="AA51" s="38"/>
      <c r="AB51" s="38"/>
      <c r="AC51" s="38"/>
      <c r="AD51" s="38"/>
      <c r="AE51" s="38"/>
      <c r="AF51" s="38"/>
      <c r="AG51" s="44" t="str">
        <f>Z78</f>
        <v>Vuokramenot</v>
      </c>
      <c r="AH51" s="38"/>
      <c r="AI51" s="42">
        <f>IF(AA90&gt;0,AA90,IF(Z90&gt;0,Z90*-1,0))</f>
        <v>0</v>
      </c>
      <c r="AJ51" s="41"/>
      <c r="AL51" s="38"/>
      <c r="AM51" s="38"/>
      <c r="AN51" s="38"/>
      <c r="AO51" s="38"/>
      <c r="AP51" s="38"/>
      <c r="AQ51" s="38" t="s">
        <v>60</v>
      </c>
      <c r="AR51" s="38"/>
      <c r="AS51" s="38"/>
      <c r="AT51" s="38"/>
      <c r="AU51" s="38"/>
      <c r="AV51" s="49">
        <f>R114</f>
        <v>0</v>
      </c>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row>
    <row r="52" spans="4:88" ht="15.75" thickBot="1" x14ac:dyDescent="0.3">
      <c r="E52" s="178"/>
      <c r="F52" s="179"/>
      <c r="H52" s="178"/>
      <c r="I52" s="179"/>
      <c r="K52" s="178"/>
      <c r="L52" s="179"/>
      <c r="N52" s="178"/>
      <c r="O52" s="179"/>
      <c r="Q52" s="178"/>
      <c r="R52" s="179"/>
      <c r="T52" s="178"/>
      <c r="U52" s="179"/>
      <c r="W52" s="178"/>
      <c r="X52" s="179"/>
      <c r="Y52" s="38"/>
      <c r="Z52" s="178"/>
      <c r="AA52" s="179"/>
      <c r="AB52" s="38"/>
      <c r="AC52" s="38"/>
      <c r="AD52" s="38"/>
      <c r="AE52" s="38"/>
      <c r="AF52" s="38"/>
      <c r="AG52" s="44"/>
      <c r="AH52" s="38"/>
      <c r="AI52" s="42"/>
      <c r="AJ52" s="41"/>
      <c r="AL52" s="38"/>
      <c r="AM52" s="38"/>
      <c r="AN52" s="38"/>
      <c r="AO52" s="38"/>
      <c r="AP52" s="38"/>
      <c r="AQ52" s="38"/>
      <c r="AR52" s="38"/>
      <c r="AS52" s="38"/>
      <c r="AT52" s="38"/>
      <c r="AU52" s="38"/>
      <c r="AV52" s="49"/>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row>
    <row r="53" spans="4:88" ht="15.75" thickBot="1" x14ac:dyDescent="0.3">
      <c r="E53" s="180" t="s">
        <v>98</v>
      </c>
      <c r="F53" s="181"/>
      <c r="H53" s="180" t="s">
        <v>99</v>
      </c>
      <c r="I53" s="181"/>
      <c r="K53" s="180" t="s">
        <v>110</v>
      </c>
      <c r="L53" s="181"/>
      <c r="N53" s="180" t="s">
        <v>109</v>
      </c>
      <c r="O53" s="181"/>
      <c r="Q53" s="180" t="s">
        <v>22</v>
      </c>
      <c r="R53" s="181"/>
      <c r="T53" s="180" t="s">
        <v>100</v>
      </c>
      <c r="U53" s="181"/>
      <c r="W53" s="180" t="s">
        <v>101</v>
      </c>
      <c r="X53" s="181"/>
      <c r="Z53" s="180" t="s">
        <v>49</v>
      </c>
      <c r="AA53" s="181"/>
      <c r="AB53" s="38"/>
      <c r="AC53" s="38"/>
      <c r="AD53" s="38"/>
      <c r="AE53" s="38"/>
      <c r="AF53" s="38"/>
      <c r="AG53" s="44" t="str">
        <f>AC78</f>
        <v>Markkinointimenot</v>
      </c>
      <c r="AH53" s="38"/>
      <c r="AI53" s="42">
        <f>IF(AD90&gt;0,AD90,IF(AC90&gt;0,AC90*-1,0))</f>
        <v>0</v>
      </c>
      <c r="AJ53" s="41"/>
      <c r="AK53" s="38"/>
      <c r="AL53" s="38"/>
      <c r="AM53" s="38"/>
      <c r="AN53" s="38"/>
      <c r="AO53" s="38"/>
      <c r="AP53" s="38" t="s">
        <v>35</v>
      </c>
      <c r="AQ53" s="38"/>
      <c r="AR53" s="38"/>
      <c r="AS53" s="38"/>
      <c r="AT53" s="38"/>
      <c r="AU53" s="38"/>
      <c r="AV53" s="49">
        <f>AI62</f>
        <v>0</v>
      </c>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row>
    <row r="54" spans="4:88" ht="15.75" thickBot="1" x14ac:dyDescent="0.3">
      <c r="D54" s="3" t="s">
        <v>10</v>
      </c>
      <c r="E54" s="4" t="s">
        <v>95</v>
      </c>
      <c r="F54" s="5" t="s">
        <v>94</v>
      </c>
      <c r="G54" s="14" t="s">
        <v>10</v>
      </c>
      <c r="H54" s="4" t="s">
        <v>95</v>
      </c>
      <c r="I54" s="5" t="s">
        <v>94</v>
      </c>
      <c r="J54" s="14" t="s">
        <v>10</v>
      </c>
      <c r="K54" s="4" t="s">
        <v>95</v>
      </c>
      <c r="L54" s="5" t="s">
        <v>94</v>
      </c>
      <c r="M54" s="15" t="s">
        <v>10</v>
      </c>
      <c r="N54" s="4" t="s">
        <v>95</v>
      </c>
      <c r="O54" s="5" t="s">
        <v>94</v>
      </c>
      <c r="P54" s="3" t="s">
        <v>10</v>
      </c>
      <c r="Q54" s="4" t="s">
        <v>95</v>
      </c>
      <c r="R54" s="5" t="s">
        <v>94</v>
      </c>
      <c r="S54" s="3" t="s">
        <v>10</v>
      </c>
      <c r="T54" s="4" t="s">
        <v>95</v>
      </c>
      <c r="U54" s="5" t="s">
        <v>94</v>
      </c>
      <c r="V54" s="14" t="s">
        <v>10</v>
      </c>
      <c r="W54" s="4" t="s">
        <v>95</v>
      </c>
      <c r="X54" s="5" t="s">
        <v>94</v>
      </c>
      <c r="Y54" s="14" t="s">
        <v>10</v>
      </c>
      <c r="Z54" s="4" t="s">
        <v>95</v>
      </c>
      <c r="AA54" s="5" t="s">
        <v>94</v>
      </c>
      <c r="AB54" s="38"/>
      <c r="AC54" s="38"/>
      <c r="AD54" s="38"/>
      <c r="AE54" s="38"/>
      <c r="AF54" s="38"/>
      <c r="AG54" s="44" t="str">
        <f>H93</f>
        <v>Puhelinmenot</v>
      </c>
      <c r="AH54" s="38"/>
      <c r="AI54" s="42">
        <f>IF(I102&gt;0,I102,IF(H102&gt;0,H102*-1,0))</f>
        <v>0</v>
      </c>
      <c r="AJ54" s="38"/>
      <c r="AK54" s="38"/>
      <c r="AL54" s="38"/>
      <c r="AM54" s="38"/>
      <c r="AN54" s="38"/>
      <c r="AO54" s="38"/>
      <c r="AP54" s="38" t="s">
        <v>61</v>
      </c>
      <c r="AQ54" s="38"/>
      <c r="AR54" s="38"/>
      <c r="AS54" s="38"/>
      <c r="AT54" s="38"/>
      <c r="AU54" s="38"/>
      <c r="AV54" s="51">
        <f>AV41-AV42-AV46-AV47-AV49-AV51-AV53-AV43+AV48</f>
        <v>-2000</v>
      </c>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row>
    <row r="55" spans="4:88" x14ac:dyDescent="0.25">
      <c r="E55" s="6"/>
      <c r="F55" s="7"/>
      <c r="H55" s="6"/>
      <c r="I55" s="7"/>
      <c r="K55" s="6"/>
      <c r="L55" s="7"/>
      <c r="N55" s="6"/>
      <c r="O55" s="7"/>
      <c r="Q55" s="6"/>
      <c r="R55" s="7"/>
      <c r="T55" s="6"/>
      <c r="U55" s="7"/>
      <c r="W55" s="6"/>
      <c r="X55" s="7"/>
      <c r="Z55" s="6"/>
      <c r="AA55" s="7"/>
      <c r="AB55" s="38"/>
      <c r="AC55" s="38"/>
      <c r="AD55" s="38"/>
      <c r="AE55" s="38"/>
      <c r="AF55" s="38"/>
      <c r="AG55" s="76" t="str">
        <f>K93</f>
        <v>x1</v>
      </c>
      <c r="AI55" s="42">
        <f>IF(L102&gt;0,L102,IF(K102&gt;0,K102*-1,0))</f>
        <v>0</v>
      </c>
      <c r="AK55" s="38"/>
      <c r="AL55" s="38"/>
      <c r="AM55" s="38"/>
      <c r="AN55" s="38"/>
      <c r="AO55" s="38"/>
      <c r="AP55" s="38" t="s">
        <v>62</v>
      </c>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row>
    <row r="56" spans="4:88" x14ac:dyDescent="0.25">
      <c r="E56" s="8"/>
      <c r="F56" s="7"/>
      <c r="H56" s="8"/>
      <c r="K56" s="8"/>
      <c r="N56" s="8"/>
      <c r="O56" s="7"/>
      <c r="Q56" s="8"/>
      <c r="R56" s="7"/>
      <c r="T56" s="8"/>
      <c r="U56" s="7"/>
      <c r="W56" s="8"/>
      <c r="X56" s="7"/>
      <c r="Z56" s="8"/>
      <c r="AA56" s="7"/>
      <c r="AB56" s="38"/>
      <c r="AC56" s="38"/>
      <c r="AD56" s="38"/>
      <c r="AE56" s="38"/>
      <c r="AF56" s="38"/>
      <c r="AG56" s="76" t="str">
        <f>N93</f>
        <v>x2</v>
      </c>
      <c r="AI56" s="42">
        <f>IF(O102&gt;0,O102,IF(N102&gt;0,N102*-1,0))</f>
        <v>0</v>
      </c>
      <c r="AK56" s="38"/>
      <c r="AL56" s="38"/>
      <c r="AM56" s="38"/>
      <c r="AN56" s="38"/>
      <c r="AO56" s="38"/>
      <c r="AP56" s="38"/>
      <c r="AQ56" s="38" t="s">
        <v>63</v>
      </c>
      <c r="AR56" s="38"/>
      <c r="AS56" s="38"/>
      <c r="AT56" s="38"/>
      <c r="AU56" s="38"/>
      <c r="AV56" s="49">
        <f>AI63</f>
        <v>0</v>
      </c>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row>
    <row r="57" spans="4:88" x14ac:dyDescent="0.25">
      <c r="E57" s="8"/>
      <c r="F57" s="7"/>
      <c r="H57" s="8"/>
      <c r="I57" s="7"/>
      <c r="K57" s="8"/>
      <c r="L57" s="7"/>
      <c r="N57" s="8"/>
      <c r="O57" s="7"/>
      <c r="Q57" s="8"/>
      <c r="R57" s="7"/>
      <c r="T57" s="8"/>
      <c r="U57" s="7"/>
      <c r="W57" s="8"/>
      <c r="X57" s="7"/>
      <c r="Z57" s="8"/>
      <c r="AA57" s="7"/>
      <c r="AB57" s="38"/>
      <c r="AC57" s="38"/>
      <c r="AD57" s="38"/>
      <c r="AE57" s="38"/>
      <c r="AF57" s="38"/>
      <c r="AG57" s="76" t="str">
        <f>Q93</f>
        <v>x3</v>
      </c>
      <c r="AI57" s="42">
        <f>IF(R102&gt;0,R102,IF(Q102&gt;0,Q102*-1,0))</f>
        <v>0</v>
      </c>
      <c r="AK57" s="38"/>
      <c r="AL57" s="38"/>
      <c r="AM57" s="38"/>
      <c r="AN57" s="38"/>
      <c r="AO57" s="38"/>
      <c r="AP57" s="38" t="s">
        <v>64</v>
      </c>
      <c r="AQ57" s="38"/>
      <c r="AR57" s="38"/>
      <c r="AS57" s="38"/>
      <c r="AT57" s="38"/>
      <c r="AU57" s="38"/>
      <c r="AV57" s="51">
        <f>AV54-AV56</f>
        <v>-2000</v>
      </c>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row>
    <row r="58" spans="4:88" x14ac:dyDescent="0.25">
      <c r="E58" s="8"/>
      <c r="F58" s="7"/>
      <c r="H58" s="8"/>
      <c r="I58" s="7"/>
      <c r="K58" s="8"/>
      <c r="L58" s="7"/>
      <c r="N58" s="8"/>
      <c r="O58" s="7"/>
      <c r="Q58" s="8"/>
      <c r="R58" s="7"/>
      <c r="T58" s="8"/>
      <c r="U58" s="7"/>
      <c r="W58" s="8"/>
      <c r="X58" s="7"/>
      <c r="Z58" s="8"/>
      <c r="AA58" s="7"/>
      <c r="AB58" s="38"/>
      <c r="AC58" s="38"/>
      <c r="AD58" s="38"/>
      <c r="AE58" s="38"/>
      <c r="AF58" s="38"/>
      <c r="AG58" s="76" t="str">
        <f>T93</f>
        <v>x4</v>
      </c>
      <c r="AI58" s="42">
        <f>IF(U102&gt;0,U102,IF(T102&gt;0,T102*-1,0))</f>
        <v>0</v>
      </c>
      <c r="AK58" s="38"/>
      <c r="AL58" s="38"/>
      <c r="AM58" s="38"/>
      <c r="AN58" s="38"/>
      <c r="AO58" s="38"/>
      <c r="AP58" s="38" t="s">
        <v>46</v>
      </c>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row>
    <row r="59" spans="4:88" x14ac:dyDescent="0.25">
      <c r="E59" s="8"/>
      <c r="F59" s="7"/>
      <c r="H59" s="8"/>
      <c r="I59" s="7"/>
      <c r="K59" s="8"/>
      <c r="L59" s="7"/>
      <c r="N59" s="8"/>
      <c r="O59" s="7"/>
      <c r="Q59" s="8"/>
      <c r="R59" s="7"/>
      <c r="T59" s="8"/>
      <c r="U59" s="7"/>
      <c r="W59" s="8"/>
      <c r="X59" s="7"/>
      <c r="Z59" s="8"/>
      <c r="AA59" s="7"/>
      <c r="AB59" s="38"/>
      <c r="AC59" s="38"/>
      <c r="AD59" s="38"/>
      <c r="AE59" s="38"/>
      <c r="AF59" s="38"/>
      <c r="AG59" s="76" t="str">
        <f>W93</f>
        <v>x5</v>
      </c>
      <c r="AI59" s="42">
        <f>IF(X102&gt;0,X102,IF(W102&gt;0,W102*-1,0))</f>
        <v>0</v>
      </c>
      <c r="AK59" s="38"/>
      <c r="AL59" s="38"/>
      <c r="AM59" s="38"/>
      <c r="AN59" s="38"/>
      <c r="AO59" s="38"/>
      <c r="AP59" s="38"/>
      <c r="AQ59" s="38" t="s">
        <v>65</v>
      </c>
      <c r="AR59" s="38"/>
      <c r="AS59" s="38"/>
      <c r="AT59" s="38"/>
      <c r="AU59" s="38"/>
      <c r="AV59" s="49">
        <f>AI66</f>
        <v>0</v>
      </c>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row r="60" spans="4:88" x14ac:dyDescent="0.25">
      <c r="E60" s="8"/>
      <c r="F60" s="7"/>
      <c r="H60" s="8"/>
      <c r="I60" s="7"/>
      <c r="K60" s="8"/>
      <c r="L60" s="7"/>
      <c r="N60" s="8"/>
      <c r="O60" s="7"/>
      <c r="Q60" s="8"/>
      <c r="R60" s="7"/>
      <c r="T60" s="8"/>
      <c r="U60" s="7"/>
      <c r="W60" s="8"/>
      <c r="X60" s="7"/>
      <c r="Z60" s="8"/>
      <c r="AA60" s="7"/>
      <c r="AB60" s="38"/>
      <c r="AC60" s="38"/>
      <c r="AD60" s="38"/>
      <c r="AE60" s="38"/>
      <c r="AF60" s="38"/>
      <c r="AG60" s="76" t="str">
        <f>Z93</f>
        <v>x6</v>
      </c>
      <c r="AI60" s="42">
        <f>IF(AA102&gt;0,AA102,IF(Z102&gt;0,Z102*-1,0))</f>
        <v>0</v>
      </c>
      <c r="AK60" s="38"/>
      <c r="AL60" s="38"/>
      <c r="AM60" s="38"/>
      <c r="AN60" s="38"/>
      <c r="AO60" s="38"/>
      <c r="AP60" s="38" t="s">
        <v>48</v>
      </c>
      <c r="AQ60" s="38"/>
      <c r="AR60" s="38"/>
      <c r="AS60" s="38"/>
      <c r="AT60" s="38"/>
      <c r="AU60" s="38"/>
      <c r="AV60" s="49">
        <f>AI72</f>
        <v>0</v>
      </c>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row>
    <row r="61" spans="4:88" x14ac:dyDescent="0.25">
      <c r="E61" s="8"/>
      <c r="F61" s="7"/>
      <c r="H61" s="8"/>
      <c r="I61" s="7"/>
      <c r="K61" s="8"/>
      <c r="L61" s="7"/>
      <c r="N61" s="8"/>
      <c r="O61" s="7"/>
      <c r="Q61" s="8"/>
      <c r="R61" s="7"/>
      <c r="T61" s="8"/>
      <c r="U61" s="7"/>
      <c r="W61" s="8"/>
      <c r="X61" s="7"/>
      <c r="Z61" s="8"/>
      <c r="AA61" s="7"/>
      <c r="AB61" s="38"/>
      <c r="AC61" s="38"/>
      <c r="AD61" s="38"/>
      <c r="AE61" s="38"/>
      <c r="AF61" s="38"/>
      <c r="AG61" s="76" t="str">
        <f>AC93</f>
        <v>x7</v>
      </c>
      <c r="AI61" s="42">
        <f>IF(AD102&gt;0,AD102,IF(AC102&gt;0,AC102*-1,0))</f>
        <v>0</v>
      </c>
      <c r="AK61" s="38"/>
      <c r="AL61" s="38"/>
      <c r="AM61" s="38"/>
      <c r="AN61" s="38"/>
      <c r="AO61" s="38"/>
      <c r="AP61" s="38" t="s">
        <v>66</v>
      </c>
      <c r="AQ61" s="38"/>
      <c r="AR61" s="38"/>
      <c r="AS61" s="38"/>
      <c r="AT61" s="38"/>
      <c r="AU61" s="38"/>
      <c r="AV61" s="51">
        <f>AV57-AV59-AV60</f>
        <v>-2000</v>
      </c>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row>
    <row r="62" spans="4:88" x14ac:dyDescent="0.25">
      <c r="E62" s="8"/>
      <c r="F62" s="7"/>
      <c r="H62" s="8"/>
      <c r="I62" s="7"/>
      <c r="K62" s="8"/>
      <c r="L62" s="7"/>
      <c r="N62" s="8"/>
      <c r="O62" s="7"/>
      <c r="Q62" s="8"/>
      <c r="R62" s="7"/>
      <c r="T62" s="8"/>
      <c r="U62" s="7"/>
      <c r="W62" s="8"/>
      <c r="X62" s="7"/>
      <c r="Z62" s="8"/>
      <c r="AA62" s="7"/>
      <c r="AB62" s="38"/>
      <c r="AC62" s="38"/>
      <c r="AD62" s="38"/>
      <c r="AE62" s="38"/>
      <c r="AF62" s="38"/>
      <c r="AG62" s="46" t="str">
        <f>N105</f>
        <v>Liiketoiminnan muut kulut</v>
      </c>
      <c r="AH62" s="38"/>
      <c r="AI62" s="42">
        <f>IF(O114&gt;0,O114,IF(N114&gt;0,N114*-1,0))</f>
        <v>0</v>
      </c>
      <c r="AJ62" s="38"/>
      <c r="AK62" s="38"/>
      <c r="AL62" s="38"/>
      <c r="AM62" s="38"/>
      <c r="AN62" s="38"/>
      <c r="AO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row>
    <row r="63" spans="4:88" x14ac:dyDescent="0.25">
      <c r="E63" s="8"/>
      <c r="F63" s="7"/>
      <c r="H63" s="8"/>
      <c r="I63" s="7"/>
      <c r="K63" s="8"/>
      <c r="L63" s="7"/>
      <c r="N63" s="8"/>
      <c r="O63" s="7"/>
      <c r="Q63" s="8"/>
      <c r="R63" s="7"/>
      <c r="T63" s="8"/>
      <c r="U63" s="7"/>
      <c r="W63" s="8"/>
      <c r="X63" s="7"/>
      <c r="Z63" s="8"/>
      <c r="AA63" s="7"/>
      <c r="AB63" s="38"/>
      <c r="AC63" s="38"/>
      <c r="AD63" s="38"/>
      <c r="AE63" s="38"/>
      <c r="AF63" s="38"/>
      <c r="AG63" s="44" t="str">
        <f>K105</f>
        <v>Korkomenot</v>
      </c>
      <c r="AH63" s="38"/>
      <c r="AI63" s="42">
        <f>L114</f>
        <v>0</v>
      </c>
      <c r="AJ63" s="38"/>
      <c r="AK63" s="38"/>
      <c r="AL63" s="38"/>
      <c r="AM63" s="38"/>
      <c r="AN63" s="38"/>
      <c r="AO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row>
    <row r="64" spans="4:88" x14ac:dyDescent="0.25">
      <c r="E64" s="8"/>
      <c r="F64" s="7"/>
      <c r="H64" s="8"/>
      <c r="I64" s="7"/>
      <c r="K64" s="8"/>
      <c r="L64" s="7"/>
      <c r="N64" s="8"/>
      <c r="O64" s="7"/>
      <c r="Q64" s="8"/>
      <c r="R64" s="7"/>
      <c r="T64" s="8"/>
      <c r="U64" s="7"/>
      <c r="W64" s="8"/>
      <c r="X64" s="7"/>
      <c r="Z64" s="8"/>
      <c r="AA64" s="7"/>
      <c r="AB64" s="38"/>
      <c r="AC64" s="38"/>
      <c r="AD64" s="38"/>
      <c r="AE64" s="38"/>
      <c r="AF64" s="38"/>
      <c r="AG64" s="44" t="str">
        <f>Q105</f>
        <v>Poistot</v>
      </c>
      <c r="AH64" s="38"/>
      <c r="AI64" s="42">
        <f>IF(R114&gt;0,R114,IF(Q114&gt;0,Q114*-1,0))</f>
        <v>0</v>
      </c>
      <c r="AJ64" s="38"/>
      <c r="AK64" s="38"/>
      <c r="AL64" s="38"/>
      <c r="AM64" s="38"/>
      <c r="AN64" s="38"/>
      <c r="AO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row>
    <row r="65" spans="1:88" x14ac:dyDescent="0.25">
      <c r="E65" s="8"/>
      <c r="F65" s="7"/>
      <c r="H65" s="8"/>
      <c r="I65" s="7"/>
      <c r="K65" s="8"/>
      <c r="L65" s="7"/>
      <c r="N65" s="8"/>
      <c r="O65" s="7"/>
      <c r="Q65" s="8"/>
      <c r="R65" s="7"/>
      <c r="T65" s="8"/>
      <c r="U65" s="7"/>
      <c r="W65" s="8"/>
      <c r="X65" s="7"/>
      <c r="Z65" s="8"/>
      <c r="AA65" s="7"/>
      <c r="AB65" s="38"/>
      <c r="AC65" s="38"/>
      <c r="AD65" s="38"/>
      <c r="AE65" s="38"/>
      <c r="AF65" s="38"/>
      <c r="AG65" s="44"/>
      <c r="AH65" s="38"/>
      <c r="AI65" s="42"/>
      <c r="AJ65" s="38"/>
      <c r="AK65" s="38"/>
      <c r="AL65" s="38"/>
      <c r="AM65" s="38"/>
      <c r="AN65" s="38"/>
      <c r="AO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row>
    <row r="66" spans="1:88" x14ac:dyDescent="0.25">
      <c r="E66" s="8"/>
      <c r="F66" s="7"/>
      <c r="H66" s="8"/>
      <c r="I66" s="7"/>
      <c r="K66" s="8"/>
      <c r="L66" s="7"/>
      <c r="N66" s="8"/>
      <c r="O66" s="7"/>
      <c r="Q66" s="8"/>
      <c r="R66" s="7"/>
      <c r="T66" s="8"/>
      <c r="U66" s="7"/>
      <c r="W66" s="8"/>
      <c r="X66" s="7"/>
      <c r="Z66" s="8"/>
      <c r="AA66" s="7"/>
      <c r="AB66" s="38"/>
      <c r="AC66" s="38"/>
      <c r="AD66" s="38"/>
      <c r="AE66" s="38"/>
      <c r="AF66" s="38"/>
      <c r="AG66" s="79" t="str">
        <f>T105</f>
        <v>Tilinpäätössiirrot</v>
      </c>
      <c r="AH66" s="38"/>
      <c r="AI66" s="42">
        <f>IF(U114&gt;0,U114,IF(T114&gt;0,T114*-1,0))</f>
        <v>0</v>
      </c>
      <c r="AJ66" s="38"/>
      <c r="AK66" s="38"/>
      <c r="AL66" s="38"/>
      <c r="AM66" s="38"/>
      <c r="AN66" s="38"/>
      <c r="AO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row>
    <row r="67" spans="1:88" x14ac:dyDescent="0.25">
      <c r="E67" s="8"/>
      <c r="F67" s="7"/>
      <c r="H67" s="8"/>
      <c r="I67" s="7"/>
      <c r="K67" s="8"/>
      <c r="L67" s="7"/>
      <c r="N67" s="8"/>
      <c r="O67" s="7"/>
      <c r="Q67" s="8"/>
      <c r="R67" s="7"/>
      <c r="T67" s="8"/>
      <c r="U67" s="7"/>
      <c r="W67" s="8"/>
      <c r="X67" s="7"/>
      <c r="Z67" s="8"/>
      <c r="AA67" s="7"/>
      <c r="AB67" s="38"/>
      <c r="AC67" s="38"/>
      <c r="AD67" s="38"/>
      <c r="AE67" s="38"/>
      <c r="AF67" s="38"/>
      <c r="AG67" s="44"/>
      <c r="AH67" s="38"/>
      <c r="AI67" s="42"/>
      <c r="AJ67" s="38"/>
      <c r="AK67" s="38"/>
      <c r="AL67" s="38"/>
      <c r="AM67" s="38"/>
      <c r="AN67" s="38"/>
      <c r="AO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row>
    <row r="68" spans="1:88" x14ac:dyDescent="0.25">
      <c r="E68" s="8"/>
      <c r="F68" s="7"/>
      <c r="H68" s="8"/>
      <c r="I68" s="7"/>
      <c r="K68" s="60"/>
      <c r="L68" s="7"/>
      <c r="N68" s="8"/>
      <c r="O68" s="7"/>
      <c r="Q68" s="8"/>
      <c r="R68" s="7"/>
      <c r="T68" s="8"/>
      <c r="U68" s="7"/>
      <c r="W68" s="8"/>
      <c r="X68" s="7"/>
      <c r="Z68" s="8"/>
      <c r="AA68" s="7"/>
      <c r="AB68" s="38"/>
      <c r="AC68" s="38"/>
      <c r="AD68" s="38"/>
      <c r="AE68" s="38"/>
      <c r="AF68" s="38"/>
      <c r="AG68" s="44" t="str">
        <f>W105</f>
        <v>Aine ja tarvikevarasto 1 muutos</v>
      </c>
      <c r="AH68" s="38"/>
      <c r="AI68" s="42">
        <f>IF(X114&gt;0,X114,IF(W114&gt;0,W114*-1,0))</f>
        <v>0</v>
      </c>
      <c r="AJ68" s="38"/>
      <c r="AK68" s="38"/>
      <c r="AL68" s="38"/>
      <c r="AM68" s="38"/>
      <c r="AN68" s="38"/>
      <c r="AO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row>
    <row r="69" spans="1:88" x14ac:dyDescent="0.25">
      <c r="E69" s="8"/>
      <c r="F69" s="7"/>
      <c r="H69" s="8"/>
      <c r="I69" s="7"/>
      <c r="K69" s="60"/>
      <c r="L69" s="7"/>
      <c r="N69" s="8"/>
      <c r="O69" s="7"/>
      <c r="Q69" s="8"/>
      <c r="R69" s="7"/>
      <c r="T69" s="8"/>
      <c r="U69" s="7"/>
      <c r="W69" s="8"/>
      <c r="X69" s="7"/>
      <c r="Z69" s="8"/>
      <c r="AA69" s="7"/>
      <c r="AB69" s="38"/>
      <c r="AC69" s="38"/>
      <c r="AD69" s="38"/>
      <c r="AE69" s="2" t="str">
        <f>IF(AI68&lt;0,"Varasto kasvoi, pienentää kuluja: "&amp;TEXT(W105,"€ #,##0"),IF(AI68&gt;0,"Varasto väheni, kasvattaa kuluja: "&amp;TEXT(W105,"€ #,##0"),""))</f>
        <v/>
      </c>
      <c r="AF69" s="38"/>
      <c r="AG69" s="44"/>
      <c r="AH69" s="38"/>
      <c r="AI69" s="42"/>
      <c r="AJ69" s="38"/>
      <c r="AK69" s="38"/>
      <c r="AL69" s="38"/>
      <c r="AM69" s="38"/>
      <c r="AN69" s="38"/>
      <c r="AO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row>
    <row r="70" spans="1:88" x14ac:dyDescent="0.25">
      <c r="E70" s="8"/>
      <c r="F70" s="7"/>
      <c r="H70" s="8"/>
      <c r="I70" s="7"/>
      <c r="K70" s="60"/>
      <c r="L70" s="7"/>
      <c r="N70" s="8"/>
      <c r="O70" s="7"/>
      <c r="Q70" s="8"/>
      <c r="R70" s="7"/>
      <c r="T70" s="8"/>
      <c r="U70" s="7"/>
      <c r="W70" s="8"/>
      <c r="X70" s="7"/>
      <c r="Z70" s="8"/>
      <c r="AA70" s="7"/>
      <c r="AB70" s="38"/>
      <c r="AC70" s="38"/>
      <c r="AD70" s="38"/>
      <c r="AE70" s="38"/>
      <c r="AF70" s="38"/>
      <c r="AG70" s="76" t="str">
        <f>Z105</f>
        <v>Valmiit tuotteet varasto 2 muutos</v>
      </c>
      <c r="AI70" s="42">
        <f>IF(AA114&gt;0,AA114,IF(Z114&gt;0,Z114*-1,0))</f>
        <v>0</v>
      </c>
      <c r="AJ70" s="38"/>
      <c r="AK70" s="38"/>
      <c r="AL70" s="38"/>
      <c r="AM70" s="38"/>
      <c r="AN70" s="38"/>
      <c r="AO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row>
    <row r="71" spans="1:88" ht="15.75" thickBot="1" x14ac:dyDescent="0.3">
      <c r="A71" t="s">
        <v>12</v>
      </c>
      <c r="E71" s="16">
        <f>SUM(E55:E70)</f>
        <v>0</v>
      </c>
      <c r="F71" s="16">
        <f>SUM(F55:F70)</f>
        <v>0</v>
      </c>
      <c r="H71" s="16">
        <f>SUM(H55:H70)</f>
        <v>0</v>
      </c>
      <c r="I71" s="16">
        <f>SUM(I55:I70)</f>
        <v>0</v>
      </c>
      <c r="K71" s="16">
        <f>SUM(K55:K70)</f>
        <v>0</v>
      </c>
      <c r="L71" s="16">
        <f>SUM(L55:L70)</f>
        <v>0</v>
      </c>
      <c r="N71" s="16">
        <f>SUM(N55:N70)</f>
        <v>0</v>
      </c>
      <c r="O71" s="16">
        <f>SUM(O55:O70)</f>
        <v>0</v>
      </c>
      <c r="Q71" s="16">
        <f>SUM(Q55:Q70)</f>
        <v>0</v>
      </c>
      <c r="R71" s="16">
        <f>SUM(R55:R70)</f>
        <v>0</v>
      </c>
      <c r="T71" s="16">
        <f>SUM(T55:T70)</f>
        <v>0</v>
      </c>
      <c r="U71" s="16">
        <f>SUM(U55:U70)</f>
        <v>0</v>
      </c>
      <c r="W71" s="16">
        <f>SUM(W55:W70)</f>
        <v>0</v>
      </c>
      <c r="X71" s="16">
        <f>SUM(X55:X70)</f>
        <v>0</v>
      </c>
      <c r="Z71" s="16">
        <f>SUM(Z55:Z70)</f>
        <v>0</v>
      </c>
      <c r="AA71" s="16">
        <f>SUM(AA55:AA70)</f>
        <v>0</v>
      </c>
      <c r="AB71" s="38"/>
      <c r="AC71" s="38"/>
      <c r="AD71" s="38"/>
      <c r="AE71" s="2" t="str">
        <f>IF(AI70&lt;0,"Varasto kasvoi, pienentää kuluja: "&amp;TEXT(AI70,"€ #,##0"),IF(AI70&gt;0,"Varasto väheni, kasvattaa kuluja: "&amp;TEXT(AI70,"€ #,##0"),""))</f>
        <v/>
      </c>
      <c r="AF71" s="38"/>
      <c r="AI71" s="69"/>
      <c r="AJ71" s="38"/>
      <c r="AK71" s="38"/>
      <c r="AL71" s="38"/>
      <c r="AM71" s="38"/>
      <c r="AN71" s="38"/>
      <c r="AO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row>
    <row r="72" spans="1:88" ht="15.75" thickTop="1" x14ac:dyDescent="0.25">
      <c r="A72" s="13">
        <f>SUM(E50:AA50,E72:AA72)</f>
        <v>2000</v>
      </c>
      <c r="B72" s="13"/>
      <c r="E72" s="10">
        <f>IF(E71&lt;F71,F71-E71,0)</f>
        <v>0</v>
      </c>
      <c r="F72" s="10">
        <f>IF(F71&lt;E71,E71-F71,0)</f>
        <v>0</v>
      </c>
      <c r="H72" s="10">
        <f>IF(H71&lt;I71,I71-H71,0)</f>
        <v>0</v>
      </c>
      <c r="I72" s="10">
        <f>IF(I71&lt;H71,H71-I71,0)</f>
        <v>0</v>
      </c>
      <c r="K72" s="10">
        <f>IF(K71&lt;L71,L71-K71,0)</f>
        <v>0</v>
      </c>
      <c r="L72" s="10">
        <f>IF(L71&lt;K71,K71-L71,0)</f>
        <v>0</v>
      </c>
      <c r="N72" s="10">
        <f>IF(N71&lt;O71,O71-N71,0)</f>
        <v>0</v>
      </c>
      <c r="O72" s="10">
        <f>IF(O71&lt;N71,N71-O71,0)</f>
        <v>0</v>
      </c>
      <c r="Q72" s="10">
        <f>IF(Q71&lt;R71,R71-Q71,0)</f>
        <v>0</v>
      </c>
      <c r="R72" s="10">
        <f>IF(R71&lt;Q71,Q71-R71,0)</f>
        <v>0</v>
      </c>
      <c r="T72" s="10">
        <f>IF(T71&lt;U71,U71-T71,0)</f>
        <v>0</v>
      </c>
      <c r="U72" s="10">
        <f>IF(U71&lt;T71,T71-U71,0)</f>
        <v>0</v>
      </c>
      <c r="W72" s="10">
        <f>IF(W71&lt;X71,X71-W71,0)</f>
        <v>0</v>
      </c>
      <c r="X72" s="10">
        <f>IF(X71&lt;W71,W71-X71,0)</f>
        <v>0</v>
      </c>
      <c r="Z72" s="10">
        <f>IF(Z71&lt;AA71,AA71-Z71,0)</f>
        <v>0</v>
      </c>
      <c r="AA72" s="10">
        <f>IF(AA71&lt;Z71,Z71-AA71,0)</f>
        <v>0</v>
      </c>
      <c r="AB72" s="38"/>
      <c r="AC72" s="38"/>
      <c r="AD72" s="38"/>
      <c r="AE72" s="38"/>
      <c r="AF72" s="38"/>
      <c r="AG72" s="44" t="str">
        <f>AC105</f>
        <v>Tuloverot</v>
      </c>
      <c r="AH72" s="38"/>
      <c r="AI72" s="42">
        <f>IF(AD114&gt;0,AD114,IF(AC114&gt;0,AC114*-1,0))</f>
        <v>0</v>
      </c>
      <c r="AJ72" s="38"/>
      <c r="AK72" s="38"/>
      <c r="AL72" s="38"/>
      <c r="AM72" s="38"/>
      <c r="AN72" s="38"/>
      <c r="AO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row>
    <row r="73" spans="1:88" x14ac:dyDescent="0.25">
      <c r="A73" t="s">
        <v>23</v>
      </c>
      <c r="C73" s="17">
        <f>A34-A72</f>
        <v>-2000</v>
      </c>
      <c r="D73" s="13"/>
      <c r="Y73" s="38"/>
      <c r="Z73" s="38"/>
      <c r="AA73" s="38"/>
      <c r="AB73" s="38"/>
      <c r="AC73" s="38"/>
      <c r="AD73" s="38"/>
      <c r="AE73" s="38"/>
      <c r="AF73" s="38"/>
      <c r="AG73" s="38"/>
      <c r="AH73" s="38"/>
      <c r="AI73" s="42"/>
      <c r="AJ73" s="38"/>
      <c r="AK73" s="38"/>
      <c r="AL73" s="38"/>
      <c r="AM73" s="38"/>
      <c r="AN73" s="38"/>
      <c r="AO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row>
    <row r="74" spans="1:88" x14ac:dyDescent="0.25">
      <c r="Y74" s="38"/>
      <c r="Z74" s="38"/>
      <c r="AA74" s="38"/>
      <c r="AB74" s="38"/>
      <c r="AC74" s="38"/>
      <c r="AD74" s="38"/>
      <c r="AE74" s="38"/>
      <c r="AF74" s="38"/>
      <c r="AG74" s="38"/>
      <c r="AH74" s="38"/>
      <c r="AI74" s="42"/>
      <c r="AJ74" s="38"/>
      <c r="AK74" s="38"/>
      <c r="AL74" s="38"/>
      <c r="AM74" s="38"/>
      <c r="AN74" s="38"/>
      <c r="AO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row>
    <row r="75" spans="1:88" ht="24.75" thickBot="1" x14ac:dyDescent="0.3">
      <c r="Y75" s="38"/>
      <c r="Z75" s="38"/>
      <c r="AA75" s="38"/>
      <c r="AB75" s="38"/>
      <c r="AC75" s="38"/>
      <c r="AD75" s="38"/>
      <c r="AE75" s="38"/>
      <c r="AF75" s="38"/>
      <c r="AG75" s="38"/>
      <c r="AH75" s="63" t="s">
        <v>90</v>
      </c>
      <c r="AI75" s="45">
        <f>SUM(AI41:AI74)</f>
        <v>0</v>
      </c>
      <c r="AJ75" s="48">
        <f>SUM(AJ41:AJ74)</f>
        <v>-2000</v>
      </c>
      <c r="AK75" s="38"/>
      <c r="AL75" s="38"/>
      <c r="AM75" s="38"/>
      <c r="AN75" s="38"/>
      <c r="AO75" s="38"/>
      <c r="AP75" s="38"/>
      <c r="AQ75" s="38"/>
      <c r="AR75" s="38"/>
      <c r="AS75" s="38"/>
      <c r="AT75" s="38"/>
      <c r="AU75" s="38"/>
      <c r="AV75" s="49"/>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row>
    <row r="76" spans="1:88" ht="20.25" thickTop="1" thickBot="1" x14ac:dyDescent="0.35">
      <c r="A76" s="1" t="s">
        <v>24</v>
      </c>
      <c r="B76" s="1"/>
      <c r="Y76" s="38"/>
      <c r="Z76" s="38"/>
      <c r="AA76" s="38"/>
      <c r="AB76" s="38"/>
      <c r="AC76" s="38"/>
      <c r="AD76" s="38"/>
      <c r="AE76" s="38"/>
      <c r="AF76" s="38"/>
      <c r="AG76" s="87" t="s">
        <v>47</v>
      </c>
      <c r="AH76" s="88"/>
      <c r="AI76" s="131">
        <f>IF(AI75&lt;AJ75,AJ75-AI75,0)</f>
        <v>0</v>
      </c>
      <c r="AJ76" s="132">
        <f>IF(AJ75&lt;AI75,AI75-AJ75,0)</f>
        <v>2000</v>
      </c>
      <c r="AK76" s="38"/>
      <c r="AL76" s="38"/>
      <c r="AM76" s="38"/>
      <c r="AN76" s="38"/>
      <c r="AO76" s="38"/>
      <c r="AP76" s="2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row>
    <row r="77" spans="1:88" ht="19.5" thickBot="1" x14ac:dyDescent="0.35">
      <c r="E77" s="178"/>
      <c r="F77" s="179"/>
      <c r="H77" s="178"/>
      <c r="I77" s="179"/>
      <c r="K77" s="178"/>
      <c r="L77" s="179"/>
      <c r="N77" s="178"/>
      <c r="O77" s="179"/>
      <c r="Q77" s="178"/>
      <c r="R77" s="179"/>
      <c r="T77" s="178"/>
      <c r="U77" s="179"/>
      <c r="W77" s="178"/>
      <c r="X77" s="179"/>
      <c r="Y77" s="38"/>
      <c r="Z77" s="178"/>
      <c r="AA77" s="179"/>
      <c r="AB77" s="38"/>
      <c r="AC77" s="178"/>
      <c r="AD77" s="179"/>
      <c r="AE77" s="38"/>
      <c r="AF77" s="38"/>
      <c r="AI77" s="210" t="str">
        <f>IF(AI76&gt;0,"Tulos voitollinen",IF(AJ76&gt;0,"Tulos tappiollinen",""))</f>
        <v>Tulos tappiollinen</v>
      </c>
      <c r="AJ77" s="211"/>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row>
    <row r="78" spans="1:88" ht="15.75" thickBot="1" x14ac:dyDescent="0.3">
      <c r="E78" s="180" t="s">
        <v>92</v>
      </c>
      <c r="F78" s="181"/>
      <c r="H78" s="180" t="s">
        <v>112</v>
      </c>
      <c r="I78" s="181"/>
      <c r="K78" s="180" t="s">
        <v>93</v>
      </c>
      <c r="L78" s="181"/>
      <c r="N78" s="180" t="s">
        <v>25</v>
      </c>
      <c r="O78" s="181"/>
      <c r="Q78" s="180" t="s">
        <v>26</v>
      </c>
      <c r="R78" s="181"/>
      <c r="T78" s="180" t="s">
        <v>27</v>
      </c>
      <c r="U78" s="181"/>
      <c r="W78" s="180" t="s">
        <v>123</v>
      </c>
      <c r="X78" s="181"/>
      <c r="Z78" s="180" t="s">
        <v>96</v>
      </c>
      <c r="AA78" s="181"/>
      <c r="AB78" s="38"/>
      <c r="AC78" s="180" t="s">
        <v>124</v>
      </c>
      <c r="AD78" s="172"/>
      <c r="AE78" s="56"/>
      <c r="AF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row>
    <row r="79" spans="1:88" ht="15.75" thickBot="1" x14ac:dyDescent="0.3">
      <c r="A79" s="18" t="s">
        <v>29</v>
      </c>
      <c r="D79" s="3" t="s">
        <v>10</v>
      </c>
      <c r="E79" s="4" t="s">
        <v>95</v>
      </c>
      <c r="F79" s="5" t="s">
        <v>94</v>
      </c>
      <c r="G79" s="3" t="s">
        <v>10</v>
      </c>
      <c r="H79" s="4" t="s">
        <v>95</v>
      </c>
      <c r="I79" s="5" t="s">
        <v>94</v>
      </c>
      <c r="J79" s="14" t="s">
        <v>10</v>
      </c>
      <c r="K79" s="4" t="s">
        <v>95</v>
      </c>
      <c r="L79" s="5" t="s">
        <v>94</v>
      </c>
      <c r="M79" s="14" t="s">
        <v>10</v>
      </c>
      <c r="N79" s="4" t="s">
        <v>95</v>
      </c>
      <c r="O79" s="5" t="s">
        <v>94</v>
      </c>
      <c r="P79" s="14" t="s">
        <v>10</v>
      </c>
      <c r="Q79" s="4" t="s">
        <v>95</v>
      </c>
      <c r="R79" s="5" t="s">
        <v>94</v>
      </c>
      <c r="S79" s="14" t="s">
        <v>10</v>
      </c>
      <c r="T79" s="4" t="s">
        <v>95</v>
      </c>
      <c r="U79" s="5" t="s">
        <v>94</v>
      </c>
      <c r="V79" s="14" t="s">
        <v>10</v>
      </c>
      <c r="W79" s="4" t="s">
        <v>95</v>
      </c>
      <c r="X79" s="5" t="s">
        <v>94</v>
      </c>
      <c r="Y79" s="14" t="s">
        <v>10</v>
      </c>
      <c r="Z79" s="4" t="s">
        <v>95</v>
      </c>
      <c r="AA79" s="5" t="s">
        <v>94</v>
      </c>
      <c r="AB79" s="39" t="s">
        <v>10</v>
      </c>
      <c r="AC79" s="4" t="s">
        <v>95</v>
      </c>
      <c r="AD79" s="5" t="s">
        <v>94</v>
      </c>
      <c r="AE79" s="54"/>
      <c r="AF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row>
    <row r="80" spans="1:88" x14ac:dyDescent="0.25">
      <c r="D80" s="33"/>
      <c r="E80" s="6"/>
      <c r="F80" s="7"/>
      <c r="G80" s="33"/>
      <c r="H80" s="6"/>
      <c r="I80" s="7"/>
      <c r="K80" s="6"/>
      <c r="L80" s="7"/>
      <c r="M80" s="19"/>
      <c r="N80" s="6"/>
      <c r="O80" s="7"/>
      <c r="P80" s="9"/>
      <c r="Q80" s="6"/>
      <c r="R80" s="7"/>
      <c r="S80" s="19"/>
      <c r="T80" s="6"/>
      <c r="U80" s="7"/>
      <c r="W80" s="6"/>
      <c r="X80" s="7"/>
      <c r="Y80" s="19"/>
      <c r="Z80" s="6"/>
      <c r="AA80" s="7"/>
      <c r="AB80" s="43"/>
      <c r="AC80" s="40"/>
      <c r="AD80" s="41"/>
      <c r="AE80" s="41"/>
      <c r="AF80" s="38"/>
      <c r="AW80" s="83" t="s">
        <v>153</v>
      </c>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row>
    <row r="81" spans="4:88" x14ac:dyDescent="0.25">
      <c r="D81" s="33"/>
      <c r="E81" s="8">
        <v>2000</v>
      </c>
      <c r="F81" s="7"/>
      <c r="G81" s="33"/>
      <c r="H81" s="8"/>
      <c r="I81" s="7"/>
      <c r="K81" s="8"/>
      <c r="L81" s="7"/>
      <c r="N81" s="8"/>
      <c r="O81" s="7"/>
      <c r="Q81" s="7"/>
      <c r="R81" s="12"/>
      <c r="T81" s="8"/>
      <c r="U81" s="7"/>
      <c r="W81" s="8"/>
      <c r="X81" s="7"/>
      <c r="Z81" s="8"/>
      <c r="AA81" s="7"/>
      <c r="AB81" s="38"/>
      <c r="AC81" s="42"/>
      <c r="AD81" s="41"/>
      <c r="AE81" s="41"/>
      <c r="AF81" s="38"/>
      <c r="AW81" s="83" t="s">
        <v>154</v>
      </c>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row>
    <row r="82" spans="4:88" x14ac:dyDescent="0.25">
      <c r="D82" s="33"/>
      <c r="E82" s="8"/>
      <c r="F82" s="7"/>
      <c r="G82" s="33"/>
      <c r="H82" s="8"/>
      <c r="I82" s="7"/>
      <c r="K82" s="8"/>
      <c r="L82" s="7"/>
      <c r="N82" s="8"/>
      <c r="O82" s="7"/>
      <c r="Q82" s="7"/>
      <c r="R82" s="12"/>
      <c r="T82" s="8"/>
      <c r="U82" s="7"/>
      <c r="W82" s="8"/>
      <c r="X82" s="7"/>
      <c r="Z82" s="8"/>
      <c r="AA82" s="7"/>
      <c r="AB82" s="38"/>
      <c r="AC82" s="42"/>
      <c r="AD82" s="41"/>
      <c r="AE82" s="41"/>
      <c r="AF82" s="38"/>
      <c r="AW82" s="83" t="s">
        <v>155</v>
      </c>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row>
    <row r="83" spans="4:88" x14ac:dyDescent="0.25">
      <c r="D83" s="33"/>
      <c r="E83" s="8"/>
      <c r="F83" s="7"/>
      <c r="G83" s="33"/>
      <c r="H83" s="8"/>
      <c r="I83" s="7"/>
      <c r="K83" s="8"/>
      <c r="L83" s="7"/>
      <c r="N83" s="8"/>
      <c r="O83" s="7"/>
      <c r="Q83" s="8"/>
      <c r="R83" s="7"/>
      <c r="T83" s="8"/>
      <c r="U83" s="7"/>
      <c r="W83" s="8"/>
      <c r="X83" s="7"/>
      <c r="Z83" s="8"/>
      <c r="AA83" s="7"/>
      <c r="AB83" s="38"/>
      <c r="AC83" s="42"/>
      <c r="AD83" s="41"/>
      <c r="AE83" s="41"/>
      <c r="AF83" s="38"/>
      <c r="AW83" s="85"/>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row>
    <row r="84" spans="4:88" x14ac:dyDescent="0.25">
      <c r="D84" s="33"/>
      <c r="E84" s="8"/>
      <c r="F84" s="7"/>
      <c r="G84" s="33"/>
      <c r="H84" s="8"/>
      <c r="I84" s="7"/>
      <c r="K84" s="8"/>
      <c r="L84" s="7"/>
      <c r="N84" s="8"/>
      <c r="O84" s="7"/>
      <c r="Q84" s="8"/>
      <c r="R84" s="7"/>
      <c r="T84" s="8"/>
      <c r="U84" s="7"/>
      <c r="W84" s="8"/>
      <c r="X84" s="7"/>
      <c r="Z84" s="8"/>
      <c r="AA84" s="7"/>
      <c r="AB84" s="38"/>
      <c r="AC84" s="42"/>
      <c r="AD84" s="41"/>
      <c r="AE84" s="41"/>
      <c r="AF84" s="38"/>
      <c r="AW84" s="85"/>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row>
    <row r="85" spans="4:88" x14ac:dyDescent="0.25">
      <c r="D85" s="33"/>
      <c r="E85" s="8"/>
      <c r="F85" s="7"/>
      <c r="G85" s="33"/>
      <c r="H85" s="8"/>
      <c r="I85" s="7"/>
      <c r="K85" s="8"/>
      <c r="L85" s="7"/>
      <c r="N85" s="8"/>
      <c r="O85" s="7"/>
      <c r="Q85" s="8"/>
      <c r="R85" s="7"/>
      <c r="T85" s="8"/>
      <c r="U85" s="7"/>
      <c r="W85" s="8"/>
      <c r="X85" s="7"/>
      <c r="Z85" s="8"/>
      <c r="AA85" s="7"/>
      <c r="AB85" s="38"/>
      <c r="AC85" s="42"/>
      <c r="AD85" s="41"/>
      <c r="AE85" s="41"/>
      <c r="AF85" s="38"/>
      <c r="AW85" s="83" t="s">
        <v>154</v>
      </c>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row>
    <row r="86" spans="4:88" x14ac:dyDescent="0.25">
      <c r="D86" s="33"/>
      <c r="E86" s="8"/>
      <c r="F86" s="7"/>
      <c r="G86" s="33"/>
      <c r="H86" s="8"/>
      <c r="I86" s="7"/>
      <c r="K86" s="8"/>
      <c r="L86" s="7"/>
      <c r="N86" s="8"/>
      <c r="O86" s="7"/>
      <c r="Q86" s="8"/>
      <c r="R86" s="7"/>
      <c r="T86" s="8"/>
      <c r="U86" s="7"/>
      <c r="W86" s="8"/>
      <c r="X86" s="7"/>
      <c r="Z86" s="8"/>
      <c r="AA86" s="7"/>
      <c r="AB86" s="38"/>
      <c r="AC86" s="42"/>
      <c r="AD86" s="41"/>
      <c r="AE86" s="41"/>
      <c r="AF86" s="38"/>
      <c r="AW86" s="83" t="s">
        <v>155</v>
      </c>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row>
    <row r="87" spans="4:88" x14ac:dyDescent="0.25">
      <c r="D87" s="33"/>
      <c r="E87" s="8"/>
      <c r="F87" s="7"/>
      <c r="G87" s="33"/>
      <c r="H87" s="8"/>
      <c r="I87" s="7"/>
      <c r="K87" s="8"/>
      <c r="L87" s="7"/>
      <c r="N87" s="8"/>
      <c r="O87" s="7"/>
      <c r="Q87" s="8"/>
      <c r="R87" s="7"/>
      <c r="T87" s="8"/>
      <c r="U87" s="7"/>
      <c r="W87" s="8"/>
      <c r="X87" s="7"/>
      <c r="Z87" s="8"/>
      <c r="AA87" s="7"/>
      <c r="AB87" s="38"/>
      <c r="AC87" s="42"/>
      <c r="AD87" s="41"/>
      <c r="AE87" s="41"/>
      <c r="AF87" s="38"/>
      <c r="AW87" s="83" t="s">
        <v>156</v>
      </c>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row>
    <row r="88" spans="4:88" x14ac:dyDescent="0.25">
      <c r="D88" s="33"/>
      <c r="E88" s="8">
        <v>0</v>
      </c>
      <c r="F88" s="7"/>
      <c r="G88" s="33"/>
      <c r="H88" s="8">
        <v>0</v>
      </c>
      <c r="I88" s="7"/>
      <c r="K88" s="8"/>
      <c r="L88" s="7"/>
      <c r="N88" s="8"/>
      <c r="O88" s="7"/>
      <c r="Q88" s="8"/>
      <c r="R88" s="7"/>
      <c r="T88" s="8"/>
      <c r="U88" s="7"/>
      <c r="W88" s="8"/>
      <c r="X88" s="7"/>
      <c r="Z88" s="8"/>
      <c r="AA88" s="7"/>
      <c r="AB88" s="38"/>
      <c r="AC88" s="42"/>
      <c r="AD88" s="41"/>
      <c r="AE88" s="41"/>
      <c r="AF88" s="38"/>
      <c r="AW88" s="83" t="s">
        <v>154</v>
      </c>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row>
    <row r="89" spans="4:88" ht="15.75" thickBot="1" x14ac:dyDescent="0.3">
      <c r="D89" s="29"/>
      <c r="E89" s="16">
        <f>SUM(E80:E88)</f>
        <v>2000</v>
      </c>
      <c r="F89" s="16">
        <f>SUM(F80:F88)</f>
        <v>0</v>
      </c>
      <c r="G89" s="29"/>
      <c r="H89" s="16">
        <f>SUM(H80:H88)</f>
        <v>0</v>
      </c>
      <c r="I89" s="16">
        <f>SUM(I80:I88)</f>
        <v>0</v>
      </c>
      <c r="K89" s="16">
        <f>SUM(K80:K88)</f>
        <v>0</v>
      </c>
      <c r="L89" s="16">
        <f>SUM(L80:L88)</f>
        <v>0</v>
      </c>
      <c r="N89" s="16">
        <f>SUM(N80:N88)</f>
        <v>0</v>
      </c>
      <c r="O89" s="16">
        <f>SUM(O80:O88)</f>
        <v>0</v>
      </c>
      <c r="Q89" s="16">
        <f>SUM(Q80:Q88)</f>
        <v>0</v>
      </c>
      <c r="R89" s="16">
        <f>SUM(R80:R88)</f>
        <v>0</v>
      </c>
      <c r="T89" s="16">
        <f>SUM(T80:T88)</f>
        <v>0</v>
      </c>
      <c r="U89" s="16">
        <f>SUM(U80:U88)</f>
        <v>0</v>
      </c>
      <c r="W89" s="16">
        <f>SUM(W80:W88)</f>
        <v>0</v>
      </c>
      <c r="X89" s="16">
        <f>SUM(X80:X88)</f>
        <v>0</v>
      </c>
      <c r="Z89" s="16">
        <f>SUM(Z80:Z88)</f>
        <v>0</v>
      </c>
      <c r="AA89" s="16">
        <f>SUM(AA80:AA88)</f>
        <v>0</v>
      </c>
      <c r="AB89" s="38"/>
      <c r="AC89" s="16">
        <f>SUM(AC80:AC88)</f>
        <v>0</v>
      </c>
      <c r="AD89" s="16">
        <f>SUM(AD80:AD88)</f>
        <v>0</v>
      </c>
      <c r="AE89" s="57"/>
      <c r="AF89" s="38"/>
      <c r="AW89" s="85"/>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row>
    <row r="90" spans="4:88" ht="15.75" thickTop="1" x14ac:dyDescent="0.25">
      <c r="D90" s="29"/>
      <c r="E90" s="10">
        <f>IF(E89&lt;F89,F89-E89,0)</f>
        <v>0</v>
      </c>
      <c r="F90" s="10">
        <f>IF(F89&lt;E89,E89-F89,0)</f>
        <v>2000</v>
      </c>
      <c r="G90" s="29"/>
      <c r="H90" s="10">
        <f>IF(H89&lt;I89,I89-H89,0)</f>
        <v>0</v>
      </c>
      <c r="I90" s="10">
        <f>IF(I89&lt;H89,H89-I89,0)</f>
        <v>0</v>
      </c>
      <c r="K90" s="10">
        <f>IF(K89&lt;L89,L89-K89,0)</f>
        <v>0</v>
      </c>
      <c r="L90" s="10">
        <f>IF(L89&lt;K89,K89-L89,0)</f>
        <v>0</v>
      </c>
      <c r="N90" s="10">
        <f>IF(N89&lt;O89,O89-N89,0)</f>
        <v>0</v>
      </c>
      <c r="O90" s="10">
        <f>IF(O89&lt;N89,N89-O89,0)</f>
        <v>0</v>
      </c>
      <c r="Q90" s="10">
        <f>IF(Q89&lt;R89,R89-Q89,0)</f>
        <v>0</v>
      </c>
      <c r="R90" s="10">
        <f>IF(R89&lt;Q89,Q89-R89,0)</f>
        <v>0</v>
      </c>
      <c r="T90" s="10">
        <f>IF(T89&lt;U89,U89-T89,0)</f>
        <v>0</v>
      </c>
      <c r="U90" s="10">
        <f>IF(U89&lt;T89,T89-U89,0)</f>
        <v>0</v>
      </c>
      <c r="W90" s="10">
        <f>IF(W89&lt;X89,X89-W89,0)</f>
        <v>0</v>
      </c>
      <c r="X90" s="10">
        <f>IF(X89&lt;W89,W89-X89,0)</f>
        <v>0</v>
      </c>
      <c r="Z90" s="10">
        <f>IF(Z89&lt;AA89,AA89-Z89,0)</f>
        <v>0</v>
      </c>
      <c r="AA90" s="10">
        <f>IF(AA89&lt;Z89,Z89-AA89,0)</f>
        <v>0</v>
      </c>
      <c r="AB90" s="38"/>
      <c r="AC90" s="10">
        <f>IF(AC89&lt;AD89,AD89-AC89,0)</f>
        <v>0</v>
      </c>
      <c r="AD90" s="10">
        <f>IF(AD89&lt;AC89,AC89-AD89,0)</f>
        <v>0</v>
      </c>
      <c r="AE90" s="47"/>
      <c r="AF90" s="38"/>
      <c r="AW90" s="83" t="s">
        <v>154</v>
      </c>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row>
    <row r="91" spans="4:88" x14ac:dyDescent="0.25">
      <c r="D91" s="29"/>
      <c r="E91" s="20"/>
      <c r="F91" s="20"/>
      <c r="H91" s="20"/>
      <c r="I91" s="20"/>
      <c r="K91" s="20"/>
      <c r="L91" s="20"/>
      <c r="N91" s="20"/>
      <c r="O91" s="20"/>
      <c r="Q91" s="20"/>
      <c r="R91" s="20"/>
      <c r="T91" s="20"/>
      <c r="U91" s="20"/>
      <c r="W91" s="20"/>
      <c r="X91" s="20"/>
      <c r="Y91" s="38"/>
      <c r="Z91" s="47"/>
      <c r="AA91" s="47"/>
      <c r="AB91" s="47"/>
      <c r="AC91" s="47"/>
      <c r="AD91" s="47"/>
      <c r="AE91" s="47"/>
      <c r="AF91" s="38"/>
      <c r="AW91" s="83" t="s">
        <v>154</v>
      </c>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row>
    <row r="92" spans="4:88" ht="15.75" thickBot="1" x14ac:dyDescent="0.3">
      <c r="D92" s="29"/>
      <c r="E92" s="178"/>
      <c r="F92" s="179"/>
      <c r="H92" s="178"/>
      <c r="I92" s="179"/>
      <c r="K92" s="178"/>
      <c r="L92" s="179"/>
      <c r="N92" s="178"/>
      <c r="O92" s="179"/>
      <c r="Q92" s="178"/>
      <c r="R92" s="179"/>
      <c r="T92" s="178"/>
      <c r="U92" s="179"/>
      <c r="W92" s="178"/>
      <c r="X92" s="179"/>
      <c r="Y92" s="38"/>
      <c r="Z92" s="178"/>
      <c r="AA92" s="179"/>
      <c r="AB92" s="38"/>
      <c r="AC92" s="178"/>
      <c r="AD92" s="179"/>
      <c r="AE92" s="38"/>
      <c r="AF92" s="38"/>
      <c r="AW92" s="85"/>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row>
    <row r="93" spans="4:88" ht="15.75" thickBot="1" x14ac:dyDescent="0.3">
      <c r="E93" s="180" t="s">
        <v>32</v>
      </c>
      <c r="F93" s="181"/>
      <c r="H93" s="180" t="s">
        <v>33</v>
      </c>
      <c r="I93" s="181"/>
      <c r="K93" s="180" t="s">
        <v>116</v>
      </c>
      <c r="L93" s="181"/>
      <c r="N93" s="188" t="s">
        <v>117</v>
      </c>
      <c r="O93" s="189"/>
      <c r="Q93" s="188" t="s">
        <v>118</v>
      </c>
      <c r="R93" s="189"/>
      <c r="T93" s="188" t="s">
        <v>119</v>
      </c>
      <c r="U93" s="189"/>
      <c r="W93" s="188" t="s">
        <v>120</v>
      </c>
      <c r="X93" s="189"/>
      <c r="Z93" s="191" t="s">
        <v>121</v>
      </c>
      <c r="AA93" s="192"/>
      <c r="AB93" s="58"/>
      <c r="AC93" s="188" t="s">
        <v>122</v>
      </c>
      <c r="AD93" s="189"/>
      <c r="AE93" s="58"/>
      <c r="AF93" s="38"/>
      <c r="AW93" s="85"/>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row>
    <row r="94" spans="4:88" ht="15.75" thickBot="1" x14ac:dyDescent="0.3">
      <c r="D94" s="3" t="s">
        <v>10</v>
      </c>
      <c r="E94" s="4" t="s">
        <v>95</v>
      </c>
      <c r="F94" s="5" t="s">
        <v>94</v>
      </c>
      <c r="G94" s="14" t="s">
        <v>10</v>
      </c>
      <c r="H94" s="4" t="s">
        <v>95</v>
      </c>
      <c r="I94" s="5" t="s">
        <v>94</v>
      </c>
      <c r="J94" s="14" t="s">
        <v>10</v>
      </c>
      <c r="K94" s="4" t="s">
        <v>95</v>
      </c>
      <c r="L94" s="5" t="s">
        <v>94</v>
      </c>
      <c r="M94" s="14" t="s">
        <v>10</v>
      </c>
      <c r="N94" s="4" t="s">
        <v>95</v>
      </c>
      <c r="O94" s="5" t="s">
        <v>94</v>
      </c>
      <c r="P94" s="14" t="s">
        <v>10</v>
      </c>
      <c r="Q94" s="4" t="s">
        <v>95</v>
      </c>
      <c r="R94" s="5" t="s">
        <v>94</v>
      </c>
      <c r="S94" s="14" t="s">
        <v>10</v>
      </c>
      <c r="T94" s="4" t="s">
        <v>95</v>
      </c>
      <c r="U94" s="5" t="s">
        <v>94</v>
      </c>
      <c r="V94" s="14" t="s">
        <v>10</v>
      </c>
      <c r="W94" s="4" t="s">
        <v>95</v>
      </c>
      <c r="X94" s="5" t="s">
        <v>94</v>
      </c>
      <c r="Y94" s="14" t="s">
        <v>10</v>
      </c>
      <c r="Z94" s="4" t="s">
        <v>95</v>
      </c>
      <c r="AA94" s="5" t="s">
        <v>94</v>
      </c>
      <c r="AB94" s="14" t="s">
        <v>10</v>
      </c>
      <c r="AC94" s="4" t="s">
        <v>95</v>
      </c>
      <c r="AD94" s="5" t="s">
        <v>94</v>
      </c>
      <c r="AE94" s="54"/>
      <c r="AF94" s="38"/>
      <c r="AW94" s="83" t="s">
        <v>154</v>
      </c>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row>
    <row r="95" spans="4:88" x14ac:dyDescent="0.25">
      <c r="E95" s="6"/>
      <c r="F95" s="7"/>
      <c r="H95" s="6"/>
      <c r="I95" s="7"/>
      <c r="K95" s="6"/>
      <c r="L95" s="7"/>
      <c r="M95" s="19"/>
      <c r="N95" s="6"/>
      <c r="O95" s="7"/>
      <c r="P95" s="9"/>
      <c r="Q95" s="6"/>
      <c r="R95" s="7"/>
      <c r="S95" s="9"/>
      <c r="T95" s="6"/>
      <c r="U95" s="7"/>
      <c r="V95" s="9"/>
      <c r="W95" s="6"/>
      <c r="X95" s="7"/>
      <c r="Y95" s="9"/>
      <c r="Z95" s="6"/>
      <c r="AA95" s="7"/>
      <c r="AB95" s="61"/>
      <c r="AC95" s="6"/>
      <c r="AD95" s="7"/>
      <c r="AE95" s="7"/>
      <c r="AF95" s="38"/>
      <c r="AW95" s="85"/>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row>
    <row r="96" spans="4:88" x14ac:dyDescent="0.25">
      <c r="E96" s="8"/>
      <c r="F96" s="7"/>
      <c r="H96" s="8"/>
      <c r="I96" s="7"/>
      <c r="K96" s="8"/>
      <c r="L96" s="7"/>
      <c r="N96" s="8"/>
      <c r="O96" s="7"/>
      <c r="Q96" s="8"/>
      <c r="R96" s="7"/>
      <c r="T96" s="8"/>
      <c r="U96" s="7"/>
      <c r="W96" s="8"/>
      <c r="X96" s="7"/>
      <c r="Z96" s="8"/>
      <c r="AA96" s="7"/>
      <c r="AB96" s="61"/>
      <c r="AC96" s="8"/>
      <c r="AD96" s="7"/>
      <c r="AE96" s="7"/>
      <c r="AF96" s="38"/>
      <c r="AW96" s="85"/>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row>
    <row r="97" spans="4:88" x14ac:dyDescent="0.25">
      <c r="E97" s="8"/>
      <c r="F97" s="7"/>
      <c r="H97" s="8"/>
      <c r="I97" s="7"/>
      <c r="K97" s="8"/>
      <c r="L97" s="7"/>
      <c r="N97" s="8"/>
      <c r="O97" s="7"/>
      <c r="Q97" s="8"/>
      <c r="R97" s="7"/>
      <c r="T97" s="8"/>
      <c r="U97" s="7"/>
      <c r="W97" s="8"/>
      <c r="X97" s="7"/>
      <c r="Z97" s="8"/>
      <c r="AA97" s="7"/>
      <c r="AB97" s="61"/>
      <c r="AC97" s="8"/>
      <c r="AD97" s="7"/>
      <c r="AE97" s="7"/>
      <c r="AF97" s="38"/>
      <c r="AW97" s="83" t="s">
        <v>154</v>
      </c>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row>
    <row r="98" spans="4:88" x14ac:dyDescent="0.25">
      <c r="E98" s="8"/>
      <c r="F98" s="7"/>
      <c r="H98" s="8"/>
      <c r="I98" s="7"/>
      <c r="K98" s="8"/>
      <c r="L98" s="7"/>
      <c r="N98" s="8"/>
      <c r="O98" s="7"/>
      <c r="Q98" s="8"/>
      <c r="R98" s="7"/>
      <c r="T98" s="8"/>
      <c r="U98" s="7"/>
      <c r="W98" s="8"/>
      <c r="X98" s="7"/>
      <c r="Z98" s="8"/>
      <c r="AA98" s="7"/>
      <c r="AB98" s="61"/>
      <c r="AC98" s="8"/>
      <c r="AD98" s="7"/>
      <c r="AE98" s="7"/>
      <c r="AF98" s="38"/>
      <c r="AW98" s="83" t="s">
        <v>154</v>
      </c>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row>
    <row r="99" spans="4:88" x14ac:dyDescent="0.25">
      <c r="E99" s="8"/>
      <c r="F99" s="7"/>
      <c r="H99" s="8"/>
      <c r="I99" s="7"/>
      <c r="K99" s="8"/>
      <c r="L99" s="7"/>
      <c r="N99" s="8"/>
      <c r="O99" s="7"/>
      <c r="Q99" s="8"/>
      <c r="R99" s="7"/>
      <c r="T99" s="8"/>
      <c r="U99" s="7"/>
      <c r="W99" s="8"/>
      <c r="X99" s="7"/>
      <c r="Z99" s="8"/>
      <c r="AA99" s="7"/>
      <c r="AB99" s="61"/>
      <c r="AC99" s="8"/>
      <c r="AD99" s="7"/>
      <c r="AE99" s="7"/>
      <c r="AF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row>
    <row r="100" spans="4:88" x14ac:dyDescent="0.25">
      <c r="E100" s="8"/>
      <c r="F100" s="7"/>
      <c r="H100" s="8"/>
      <c r="I100" s="7"/>
      <c r="K100" s="8"/>
      <c r="L100" s="7"/>
      <c r="N100" s="8"/>
      <c r="O100" s="7"/>
      <c r="Q100" s="8"/>
      <c r="R100" s="7"/>
      <c r="T100" s="8"/>
      <c r="U100" s="7"/>
      <c r="W100" s="8"/>
      <c r="X100" s="7"/>
      <c r="Z100" s="8"/>
      <c r="AA100" s="7"/>
      <c r="AB100" s="61"/>
      <c r="AC100" s="8"/>
      <c r="AD100" s="7"/>
      <c r="AE100" s="7"/>
      <c r="AF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row>
    <row r="101" spans="4:88" ht="15.75" thickBot="1" x14ac:dyDescent="0.3">
      <c r="E101" s="16">
        <f>SUM(E95:E100)</f>
        <v>0</v>
      </c>
      <c r="F101" s="16">
        <f>SUM(F95:F100)</f>
        <v>0</v>
      </c>
      <c r="H101" s="16">
        <f>SUM(H95:H100)</f>
        <v>0</v>
      </c>
      <c r="I101" s="16">
        <f>SUM(I95:I100)</f>
        <v>0</v>
      </c>
      <c r="K101" s="16">
        <f>SUM(K95:K100)</f>
        <v>0</v>
      </c>
      <c r="L101" s="16">
        <f>SUM(L95:L100)</f>
        <v>0</v>
      </c>
      <c r="N101" s="16">
        <f>SUM(N95:N100)</f>
        <v>0</v>
      </c>
      <c r="O101" s="16">
        <f>SUM(O95:O100)</f>
        <v>0</v>
      </c>
      <c r="Q101" s="16">
        <f>SUM(Q95:Q100)</f>
        <v>0</v>
      </c>
      <c r="R101" s="16">
        <f>SUM(R95:R100)</f>
        <v>0</v>
      </c>
      <c r="T101" s="16">
        <f>SUM(T95:T100)</f>
        <v>0</v>
      </c>
      <c r="U101" s="16">
        <f>SUM(U95:U100)</f>
        <v>0</v>
      </c>
      <c r="W101" s="16">
        <f>SUM(W95:W100)</f>
        <v>0</v>
      </c>
      <c r="X101" s="16">
        <f>SUM(X95:X100)</f>
        <v>0</v>
      </c>
      <c r="Z101" s="16">
        <f>SUM(Z95:Z100)</f>
        <v>0</v>
      </c>
      <c r="AA101" s="16">
        <f>SUM(AA95:AA100)</f>
        <v>0</v>
      </c>
      <c r="AB101" s="11"/>
      <c r="AC101" s="16">
        <f>SUM(AC95:AC100)</f>
        <v>0</v>
      </c>
      <c r="AD101" s="16">
        <f>SUM(AD95:AD100)</f>
        <v>0</v>
      </c>
      <c r="AE101" s="11"/>
      <c r="AF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row>
    <row r="102" spans="4:88" ht="15.75" thickTop="1" x14ac:dyDescent="0.25">
      <c r="E102" s="10">
        <f>IF(E101&lt;F101,F101-E101,0)</f>
        <v>0</v>
      </c>
      <c r="F102" s="10">
        <f>IF(F101&lt;E101,E101-F101,0)</f>
        <v>0</v>
      </c>
      <c r="H102" s="10">
        <f>IF(H101&lt;I101,I101-H101,0)</f>
        <v>0</v>
      </c>
      <c r="I102" s="10">
        <f>IF(I101&lt;H101,H101-I101,0)</f>
        <v>0</v>
      </c>
      <c r="K102" s="10">
        <f>IF(K101&lt;L101,L101-K101,0)</f>
        <v>0</v>
      </c>
      <c r="L102" s="10">
        <f>IF(L101&lt;K101,K101-L101,0)</f>
        <v>0</v>
      </c>
      <c r="N102" s="10">
        <f>IF(N101&lt;O101,O101-N101,0)</f>
        <v>0</v>
      </c>
      <c r="O102" s="10">
        <f>IF(O101&lt;N101,N101-O101,0)</f>
        <v>0</v>
      </c>
      <c r="Q102" s="10">
        <f>IF(Q101&lt;R101,R101-Q101,0)</f>
        <v>0</v>
      </c>
      <c r="R102" s="10">
        <f>IF(R101&lt;Q101,Q101-R101,0)</f>
        <v>0</v>
      </c>
      <c r="T102" s="10">
        <f>IF(T101&lt;U101,U101-T101,0)</f>
        <v>0</v>
      </c>
      <c r="U102" s="10">
        <f>IF(U101&lt;T101,T101-U101,0)</f>
        <v>0</v>
      </c>
      <c r="W102" s="10">
        <f>IF(W101&lt;X101,X101-W101,0)</f>
        <v>0</v>
      </c>
      <c r="X102" s="10">
        <f>IF(X101&lt;W101,W101-X101,0)</f>
        <v>0</v>
      </c>
      <c r="Z102" s="10">
        <f>IF(Z101&lt;AA101,AA101-Z101,0)</f>
        <v>0</v>
      </c>
      <c r="AA102" s="10">
        <f>IF(AA101&lt;Z101,Z101-AA101,0)</f>
        <v>0</v>
      </c>
      <c r="AB102" s="20"/>
      <c r="AC102" s="10">
        <f>IF(AC101&lt;AD101,AD101-AC101,0)</f>
        <v>0</v>
      </c>
      <c r="AD102" s="10">
        <f>IF(AD101&lt;AC101,AC101-AD101,0)</f>
        <v>0</v>
      </c>
      <c r="AE102" s="20"/>
      <c r="AF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row>
    <row r="104" spans="4:88" ht="15.75" thickBot="1" x14ac:dyDescent="0.3">
      <c r="E104" s="178"/>
      <c r="F104" s="179"/>
      <c r="H104" s="178"/>
      <c r="I104" s="179"/>
      <c r="K104" s="178"/>
      <c r="L104" s="179"/>
      <c r="N104" s="178"/>
      <c r="O104" s="179"/>
      <c r="Q104" s="178"/>
      <c r="R104" s="179"/>
      <c r="T104" s="178"/>
      <c r="U104" s="179"/>
      <c r="W104" s="178"/>
      <c r="X104" s="179"/>
      <c r="Z104" s="178"/>
      <c r="AA104" s="179"/>
      <c r="AB104" s="20"/>
      <c r="AC104" s="178"/>
      <c r="AD104" s="179"/>
      <c r="AE104" s="20"/>
      <c r="AF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row>
    <row r="105" spans="4:88" ht="26.25" customHeight="1" thickBot="1" x14ac:dyDescent="0.3">
      <c r="E105" s="180" t="s">
        <v>114</v>
      </c>
      <c r="F105" s="181"/>
      <c r="H105" s="180" t="s">
        <v>115</v>
      </c>
      <c r="I105" s="181"/>
      <c r="K105" s="180" t="s">
        <v>34</v>
      </c>
      <c r="L105" s="181"/>
      <c r="N105" s="188" t="s">
        <v>35</v>
      </c>
      <c r="O105" s="189"/>
      <c r="Q105" s="188" t="s">
        <v>36</v>
      </c>
      <c r="R105" s="189"/>
      <c r="T105" s="188" t="s">
        <v>46</v>
      </c>
      <c r="U105" s="189"/>
      <c r="W105" s="188" t="str">
        <f>N4&amp;" muutos"</f>
        <v>Aine ja tarvikevarasto 1 muutos</v>
      </c>
      <c r="X105" s="189"/>
      <c r="Z105" s="205" t="str">
        <f>Q4&amp;" muutos"</f>
        <v>Valmiit tuotteet varasto 2 muutos</v>
      </c>
      <c r="AA105" s="206"/>
      <c r="AB105" s="58"/>
      <c r="AC105" s="188" t="s">
        <v>48</v>
      </c>
      <c r="AD105" s="189"/>
      <c r="AE105" s="38"/>
      <c r="AF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row>
    <row r="106" spans="4:88" ht="15.75" thickBot="1" x14ac:dyDescent="0.3">
      <c r="D106" s="3" t="s">
        <v>10</v>
      </c>
      <c r="E106" s="4" t="s">
        <v>95</v>
      </c>
      <c r="F106" s="5" t="s">
        <v>94</v>
      </c>
      <c r="H106" s="4" t="s">
        <v>95</v>
      </c>
      <c r="I106" s="5" t="s">
        <v>94</v>
      </c>
      <c r="J106" s="14" t="s">
        <v>10</v>
      </c>
      <c r="K106" s="4" t="s">
        <v>95</v>
      </c>
      <c r="L106" s="5" t="s">
        <v>94</v>
      </c>
      <c r="M106" s="14" t="s">
        <v>10</v>
      </c>
      <c r="N106" s="4" t="s">
        <v>95</v>
      </c>
      <c r="O106" s="5" t="s">
        <v>94</v>
      </c>
      <c r="P106" s="14" t="s">
        <v>10</v>
      </c>
      <c r="Q106" s="4" t="s">
        <v>95</v>
      </c>
      <c r="R106" s="5" t="s">
        <v>94</v>
      </c>
      <c r="S106" s="14" t="s">
        <v>10</v>
      </c>
      <c r="T106" s="4" t="s">
        <v>95</v>
      </c>
      <c r="U106" s="5" t="s">
        <v>94</v>
      </c>
      <c r="V106" s="14" t="s">
        <v>10</v>
      </c>
      <c r="W106" s="4" t="s">
        <v>95</v>
      </c>
      <c r="X106" s="5" t="s">
        <v>94</v>
      </c>
      <c r="Y106" s="14" t="s">
        <v>10</v>
      </c>
      <c r="Z106" s="4" t="s">
        <v>95</v>
      </c>
      <c r="AA106" s="5" t="s">
        <v>94</v>
      </c>
      <c r="AB106" s="14" t="s">
        <v>10</v>
      </c>
      <c r="AC106" s="4" t="s">
        <v>95</v>
      </c>
      <c r="AD106" s="5" t="s">
        <v>94</v>
      </c>
      <c r="AE106" s="38"/>
      <c r="AF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row>
    <row r="107" spans="4:88" x14ac:dyDescent="0.25">
      <c r="E107" s="6"/>
      <c r="F107" s="7"/>
      <c r="H107" s="6"/>
      <c r="I107" s="7"/>
      <c r="K107" s="6"/>
      <c r="L107" s="7"/>
      <c r="M107" s="19"/>
      <c r="N107" s="6"/>
      <c r="O107" s="7"/>
      <c r="P107" s="9"/>
      <c r="Q107" s="6"/>
      <c r="R107" s="7"/>
      <c r="S107" s="9"/>
      <c r="T107" s="6"/>
      <c r="U107" s="7"/>
      <c r="V107" s="9"/>
      <c r="W107" s="6"/>
      <c r="X107" s="7"/>
      <c r="Y107" s="9"/>
      <c r="Z107" s="6"/>
      <c r="AA107" s="7"/>
      <c r="AB107" s="61"/>
      <c r="AC107" s="6"/>
      <c r="AD107" s="7"/>
      <c r="AE107" s="38"/>
      <c r="AF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row>
    <row r="108" spans="4:88" x14ac:dyDescent="0.25">
      <c r="E108" s="8"/>
      <c r="F108" s="7"/>
      <c r="H108" s="8"/>
      <c r="I108" s="7"/>
      <c r="K108" s="8"/>
      <c r="L108" s="7"/>
      <c r="N108" s="8"/>
      <c r="O108" s="7"/>
      <c r="Q108" s="8"/>
      <c r="R108" s="7"/>
      <c r="T108" s="8"/>
      <c r="U108" s="7"/>
      <c r="W108" s="8"/>
      <c r="X108" s="7"/>
      <c r="Z108" s="8"/>
      <c r="AA108" s="7"/>
      <c r="AB108" s="61"/>
      <c r="AC108" s="8"/>
      <c r="AD108" s="7"/>
      <c r="AE108" s="38"/>
      <c r="AF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row>
    <row r="109" spans="4:88" x14ac:dyDescent="0.25">
      <c r="E109" s="8"/>
      <c r="F109" s="7"/>
      <c r="H109" s="8"/>
      <c r="I109" s="7"/>
      <c r="K109" s="8"/>
      <c r="L109" s="7"/>
      <c r="N109" s="8"/>
      <c r="O109" s="7"/>
      <c r="Q109" s="8"/>
      <c r="R109" s="7"/>
      <c r="T109" s="8"/>
      <c r="U109" s="7"/>
      <c r="W109" s="8"/>
      <c r="X109" s="7"/>
      <c r="Z109" s="8"/>
      <c r="AA109" s="7"/>
      <c r="AB109" s="61"/>
      <c r="AC109" s="8"/>
      <c r="AD109" s="7"/>
      <c r="AE109" s="38"/>
      <c r="AF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row>
    <row r="110" spans="4:88" x14ac:dyDescent="0.25">
      <c r="E110" s="8"/>
      <c r="F110" s="7"/>
      <c r="H110" s="8"/>
      <c r="I110" s="7"/>
      <c r="K110" s="8"/>
      <c r="L110" s="7"/>
      <c r="N110" s="8"/>
      <c r="O110" s="7"/>
      <c r="Q110" s="8"/>
      <c r="R110" s="7"/>
      <c r="T110" s="8"/>
      <c r="U110" s="7"/>
      <c r="W110" s="8"/>
      <c r="X110" s="7"/>
      <c r="Z110" s="8"/>
      <c r="AA110" s="7"/>
      <c r="AB110" s="61"/>
      <c r="AC110" s="8"/>
      <c r="AD110" s="7"/>
      <c r="AE110" s="38"/>
      <c r="AF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row>
    <row r="111" spans="4:88" x14ac:dyDescent="0.25">
      <c r="E111" s="8"/>
      <c r="F111" s="7"/>
      <c r="H111" s="8"/>
      <c r="I111" s="7"/>
      <c r="K111" s="8"/>
      <c r="L111" s="7"/>
      <c r="N111" s="8"/>
      <c r="O111" s="7"/>
      <c r="Q111" s="8"/>
      <c r="R111" s="7"/>
      <c r="T111" s="8"/>
      <c r="U111" s="7"/>
      <c r="W111" s="8"/>
      <c r="X111" s="7"/>
      <c r="Z111" s="8"/>
      <c r="AA111" s="7"/>
      <c r="AB111" s="61"/>
      <c r="AC111" s="8"/>
      <c r="AD111" s="7"/>
      <c r="AE111" s="38"/>
      <c r="AF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row>
    <row r="112" spans="4:88" x14ac:dyDescent="0.25">
      <c r="E112" s="8"/>
      <c r="F112" s="7"/>
      <c r="H112" s="8"/>
      <c r="I112" s="7"/>
      <c r="K112" s="8"/>
      <c r="L112" s="7"/>
      <c r="N112" s="8"/>
      <c r="O112" s="7"/>
      <c r="Q112" s="8"/>
      <c r="R112" s="7"/>
      <c r="T112" s="8"/>
      <c r="U112" s="7"/>
      <c r="W112" s="8"/>
      <c r="X112" s="7"/>
      <c r="Z112" s="8"/>
      <c r="AA112" s="7"/>
      <c r="AB112" s="61"/>
      <c r="AC112" s="8"/>
      <c r="AD112" s="7"/>
      <c r="AE112" s="38"/>
      <c r="AF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row>
    <row r="113" spans="1:88" ht="15.75" thickBot="1" x14ac:dyDescent="0.3">
      <c r="E113" s="16">
        <f>SUM(E107:E112)</f>
        <v>0</v>
      </c>
      <c r="F113" s="16">
        <f>SUM(F107:F112)</f>
        <v>0</v>
      </c>
      <c r="H113" s="16">
        <f>SUM(H107:H112)</f>
        <v>0</v>
      </c>
      <c r="I113" s="16">
        <f>SUM(I107:I112)</f>
        <v>0</v>
      </c>
      <c r="K113" s="16">
        <f>SUM(K107:K112)</f>
        <v>0</v>
      </c>
      <c r="L113" s="16">
        <f>SUM(L107:L112)</f>
        <v>0</v>
      </c>
      <c r="N113" s="16">
        <f>SUM(N107:N112)</f>
        <v>0</v>
      </c>
      <c r="O113" s="16">
        <f>SUM(O107:O112)</f>
        <v>0</v>
      </c>
      <c r="Q113" s="16">
        <f>SUM(Q107:Q112)</f>
        <v>0</v>
      </c>
      <c r="R113" s="16">
        <f>SUM(R107:R112)</f>
        <v>0</v>
      </c>
      <c r="T113" s="16">
        <f>SUM(T107:T112)</f>
        <v>0</v>
      </c>
      <c r="U113" s="16">
        <f>SUM(U107:U112)</f>
        <v>0</v>
      </c>
      <c r="W113" s="16">
        <f>SUM(W107:W112)</f>
        <v>0</v>
      </c>
      <c r="X113" s="16">
        <f>SUM(X107:X112)</f>
        <v>0</v>
      </c>
      <c r="Z113" s="16">
        <f>SUM(Z107:Z112)</f>
        <v>0</v>
      </c>
      <c r="AA113" s="16">
        <f>SUM(AA107:AA112)</f>
        <v>0</v>
      </c>
      <c r="AB113" s="11"/>
      <c r="AC113" s="16">
        <f>SUM(AC107:AC112)</f>
        <v>0</v>
      </c>
      <c r="AD113" s="16">
        <f>SUM(AD107:AD112)</f>
        <v>0</v>
      </c>
      <c r="AE113" s="38"/>
      <c r="AF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row>
    <row r="114" spans="1:88" ht="15.75" thickTop="1" x14ac:dyDescent="0.25">
      <c r="E114" s="10">
        <f>IF(E113&lt;F113,F113-E113,0)</f>
        <v>0</v>
      </c>
      <c r="F114" s="10">
        <f>IF(F113&lt;E113,E113-F113,0)</f>
        <v>0</v>
      </c>
      <c r="H114" s="10">
        <f>IF(H113&lt;I113,I113-H113,0)</f>
        <v>0</v>
      </c>
      <c r="I114" s="10">
        <f>IF(I113&lt;H113,H113-I113,0)</f>
        <v>0</v>
      </c>
      <c r="K114" s="10">
        <f>IF(K113&lt;L113,L113-K113,0)</f>
        <v>0</v>
      </c>
      <c r="L114" s="10">
        <f>IF(L113&lt;K113,K113-L113,0)</f>
        <v>0</v>
      </c>
      <c r="N114" s="10">
        <f>IF(N113&lt;O113,O113-N113,0)</f>
        <v>0</v>
      </c>
      <c r="O114" s="10">
        <f>IF(O113&lt;N113,N113-O113,0)</f>
        <v>0</v>
      </c>
      <c r="Q114" s="10">
        <f>IF(Q113&lt;R113,R113-Q113,0)</f>
        <v>0</v>
      </c>
      <c r="R114" s="10">
        <f>IF(R113&lt;Q113,Q113-R113,0)</f>
        <v>0</v>
      </c>
      <c r="T114" s="10">
        <f>IF(T113&lt;U113,U113-T113,0)</f>
        <v>0</v>
      </c>
      <c r="U114" s="10">
        <f>IF(U113&lt;T113,T113-U113,0)</f>
        <v>0</v>
      </c>
      <c r="W114" s="10">
        <f>IF(W113&lt;X113,X113-W113,0)</f>
        <v>0</v>
      </c>
      <c r="X114" s="10">
        <f>IF(X113&lt;W113,W113-X113,0)</f>
        <v>0</v>
      </c>
      <c r="Z114" s="10">
        <f>IF(Z113&lt;AA113,AA113-Z113,0)</f>
        <v>0</v>
      </c>
      <c r="AA114" s="10">
        <f>IF(AA113&lt;Z113,Z113-AA113,0)</f>
        <v>0</v>
      </c>
      <c r="AB114" s="20"/>
      <c r="AC114" s="10">
        <f>IF(AC113&lt;AD113,AD113-AC113,0)</f>
        <v>0</v>
      </c>
      <c r="AD114" s="10">
        <f>IF(AD113&lt;AC113,AC113-AD113,0)</f>
        <v>0</v>
      </c>
      <c r="AE114" s="38"/>
      <c r="AF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row>
    <row r="115" spans="1:88" x14ac:dyDescent="0.25">
      <c r="M115" s="35"/>
      <c r="N115" s="35"/>
      <c r="O115" s="35"/>
      <c r="P115" s="35"/>
      <c r="Q115" s="35"/>
      <c r="R115" s="35"/>
      <c r="S115" s="35"/>
      <c r="T115" s="35"/>
      <c r="U115" s="35"/>
      <c r="V115" s="35"/>
      <c r="W115" s="35"/>
      <c r="Y115" s="38"/>
      <c r="Z115" s="38"/>
      <c r="AA115" s="38"/>
      <c r="AB115" s="38"/>
      <c r="AC115" s="38"/>
      <c r="AD115" s="38"/>
      <c r="AE115" s="38"/>
      <c r="AF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row>
    <row r="116" spans="1:88" x14ac:dyDescent="0.25">
      <c r="M116" s="35"/>
      <c r="N116" s="35"/>
      <c r="O116" s="35"/>
      <c r="P116" s="35"/>
      <c r="Q116" s="35"/>
      <c r="R116" s="35"/>
      <c r="S116" s="35"/>
      <c r="T116" s="35"/>
      <c r="U116" s="35"/>
      <c r="V116" s="35"/>
      <c r="W116" s="35"/>
      <c r="Y116" s="38"/>
      <c r="Z116" s="38"/>
      <c r="AA116" s="38"/>
      <c r="AB116" s="38"/>
      <c r="AC116" s="38"/>
      <c r="AD116" s="38"/>
      <c r="AE116" s="38"/>
      <c r="AF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row>
    <row r="117" spans="1:88" ht="45" x14ac:dyDescent="0.25">
      <c r="A117" s="23" t="s">
        <v>37</v>
      </c>
      <c r="B117" s="29"/>
      <c r="D117" s="22" t="s">
        <v>38</v>
      </c>
      <c r="E117" s="23" t="s">
        <v>39</v>
      </c>
      <c r="F117" s="24" t="s">
        <v>40</v>
      </c>
      <c r="H117" s="25" t="s">
        <v>41</v>
      </c>
      <c r="I117" s="25" t="s">
        <v>42</v>
      </c>
      <c r="K117" s="22" t="s">
        <v>180</v>
      </c>
      <c r="L117" s="34" t="s">
        <v>43</v>
      </c>
      <c r="M117" s="35"/>
      <c r="N117" s="35"/>
      <c r="O117" s="35"/>
      <c r="P117" s="35"/>
      <c r="Q117" s="35"/>
      <c r="R117" s="35"/>
      <c r="S117" s="35"/>
      <c r="T117" s="35"/>
      <c r="U117" s="35"/>
      <c r="V117" s="35"/>
      <c r="W117" s="35"/>
      <c r="Y117" s="38"/>
      <c r="Z117" s="38"/>
      <c r="AA117" s="38"/>
      <c r="AB117" s="38"/>
      <c r="AC117" s="38"/>
      <c r="AD117" s="38"/>
      <c r="AE117" s="38"/>
      <c r="AF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row>
    <row r="118" spans="1:88" x14ac:dyDescent="0.25">
      <c r="A118" s="21"/>
      <c r="D118" s="29"/>
      <c r="E118" s="23"/>
      <c r="F118" s="24"/>
      <c r="H118" s="29"/>
      <c r="I118" s="29"/>
      <c r="K118" s="29"/>
      <c r="L118" s="34"/>
      <c r="M118" s="35"/>
      <c r="N118" s="35"/>
      <c r="O118" s="35"/>
      <c r="P118" s="35"/>
      <c r="Q118" s="35"/>
      <c r="R118" s="35"/>
      <c r="S118" s="35"/>
      <c r="T118" s="35"/>
      <c r="U118" s="35"/>
      <c r="V118" s="35"/>
      <c r="W118" s="35"/>
      <c r="Y118" s="38"/>
      <c r="Z118" s="38"/>
      <c r="AA118" s="38"/>
      <c r="AB118" s="38"/>
      <c r="AC118" s="38"/>
      <c r="AD118" s="38"/>
      <c r="AE118" s="38"/>
      <c r="AF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row>
    <row r="119" spans="1:88" x14ac:dyDescent="0.25">
      <c r="A119" s="182" t="s">
        <v>170</v>
      </c>
      <c r="B119" s="183"/>
      <c r="C119" s="184"/>
      <c r="D119" s="30">
        <v>1</v>
      </c>
      <c r="E119" s="31"/>
      <c r="F119" s="26"/>
      <c r="H119" s="36">
        <v>0</v>
      </c>
      <c r="I119" s="37">
        <f>F119/(1+H119)</f>
        <v>0</v>
      </c>
      <c r="K119" s="37">
        <f>F119-I119</f>
        <v>0</v>
      </c>
      <c r="L119" s="37">
        <f>I119*H119</f>
        <v>0</v>
      </c>
      <c r="M119" s="35"/>
      <c r="N119" s="35"/>
      <c r="O119" s="35"/>
      <c r="P119" s="35"/>
      <c r="Q119" s="35"/>
      <c r="R119" s="35"/>
      <c r="S119" s="35"/>
      <c r="T119" s="35"/>
      <c r="U119" s="35"/>
      <c r="V119" s="35"/>
      <c r="W119" s="35"/>
      <c r="Y119" s="38"/>
      <c r="Z119" s="38"/>
      <c r="AA119" s="38"/>
      <c r="AB119" s="38"/>
      <c r="AC119" s="38"/>
      <c r="AD119" s="38"/>
      <c r="AE119" s="38"/>
      <c r="AF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row>
    <row r="120" spans="1:88" ht="30" customHeight="1" x14ac:dyDescent="0.25">
      <c r="A120" s="185"/>
      <c r="B120" s="186"/>
      <c r="C120" s="187"/>
      <c r="D120" s="30">
        <f>D119+1</f>
        <v>2</v>
      </c>
      <c r="E120" s="31"/>
      <c r="F120" s="26"/>
      <c r="H120" s="36">
        <v>0.255</v>
      </c>
      <c r="I120" s="37">
        <f>F120/(1+H120)</f>
        <v>0</v>
      </c>
      <c r="K120" s="37">
        <f>F120-I120</f>
        <v>0</v>
      </c>
      <c r="L120" s="37">
        <f t="shared" ref="L120:L159" si="0">I120*H120</f>
        <v>0</v>
      </c>
      <c r="M120" s="35"/>
      <c r="N120" s="35"/>
      <c r="O120" s="35"/>
      <c r="P120" s="35"/>
      <c r="Q120" s="35"/>
      <c r="R120" s="35"/>
      <c r="S120" s="35"/>
      <c r="T120" s="35"/>
      <c r="U120" s="35"/>
      <c r="V120" s="35"/>
      <c r="W120" s="35"/>
      <c r="Y120" s="38"/>
      <c r="Z120" s="38"/>
      <c r="AA120" s="38"/>
      <c r="AB120" s="38"/>
      <c r="AC120" s="38"/>
      <c r="AD120" s="38"/>
      <c r="AE120" s="38"/>
      <c r="AF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row>
    <row r="121" spans="1:88" x14ac:dyDescent="0.25">
      <c r="A121" s="182"/>
      <c r="B121" s="183"/>
      <c r="C121" s="184"/>
      <c r="D121" s="30">
        <f t="shared" ref="D121:D159" si="1">D120+1</f>
        <v>3</v>
      </c>
      <c r="E121" s="32"/>
      <c r="F121" s="26"/>
      <c r="H121" s="36">
        <f>H120</f>
        <v>0.255</v>
      </c>
      <c r="I121" s="37">
        <f t="shared" ref="I121:I159" si="2">F121/(1+H121)</f>
        <v>0</v>
      </c>
      <c r="K121" s="37">
        <f t="shared" ref="K121:K159" si="3">F121-I121</f>
        <v>0</v>
      </c>
      <c r="L121" s="37">
        <f t="shared" si="0"/>
        <v>0</v>
      </c>
      <c r="M121" s="35"/>
      <c r="N121" s="35"/>
      <c r="O121" s="35"/>
      <c r="P121" s="35"/>
      <c r="Q121" s="35"/>
      <c r="R121" s="35"/>
      <c r="S121" s="35"/>
      <c r="T121" s="35"/>
      <c r="U121" s="35"/>
      <c r="V121" s="35"/>
      <c r="W121" s="35"/>
      <c r="Y121" s="38"/>
      <c r="Z121" s="38"/>
      <c r="AA121" s="38"/>
      <c r="AB121" s="38"/>
      <c r="AC121" s="38"/>
      <c r="AD121" s="38"/>
      <c r="AE121" s="38"/>
      <c r="AF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row>
    <row r="122" spans="1:88" x14ac:dyDescent="0.25">
      <c r="A122" s="182"/>
      <c r="B122" s="183"/>
      <c r="C122" s="184"/>
      <c r="D122" s="30">
        <f t="shared" si="1"/>
        <v>4</v>
      </c>
      <c r="E122" s="32"/>
      <c r="F122" s="26"/>
      <c r="H122" s="36">
        <f t="shared" ref="H122:H142" si="4">H121</f>
        <v>0.255</v>
      </c>
      <c r="I122" s="37">
        <f t="shared" si="2"/>
        <v>0</v>
      </c>
      <c r="K122" s="37">
        <f t="shared" si="3"/>
        <v>0</v>
      </c>
      <c r="L122" s="37">
        <f t="shared" si="0"/>
        <v>0</v>
      </c>
      <c r="M122" s="35"/>
      <c r="N122" s="35"/>
      <c r="O122" s="35"/>
      <c r="P122" s="35"/>
      <c r="Q122" s="35"/>
      <c r="R122" s="35"/>
      <c r="S122" s="35"/>
      <c r="T122" s="35"/>
      <c r="U122" s="35"/>
      <c r="V122" s="35"/>
      <c r="W122" s="35"/>
      <c r="Y122" s="38"/>
      <c r="Z122" s="38"/>
      <c r="AA122" s="38"/>
      <c r="AB122" s="38"/>
      <c r="AC122" s="38"/>
      <c r="AD122" s="38"/>
      <c r="AE122" s="38"/>
      <c r="AF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row>
    <row r="123" spans="1:88" x14ac:dyDescent="0.25">
      <c r="A123" s="182"/>
      <c r="B123" s="183"/>
      <c r="C123" s="184"/>
      <c r="D123" s="30">
        <f t="shared" si="1"/>
        <v>5</v>
      </c>
      <c r="E123" s="32"/>
      <c r="F123" s="26"/>
      <c r="H123" s="36">
        <f t="shared" si="4"/>
        <v>0.255</v>
      </c>
      <c r="I123" s="37">
        <f t="shared" si="2"/>
        <v>0</v>
      </c>
      <c r="K123" s="37">
        <f t="shared" si="3"/>
        <v>0</v>
      </c>
      <c r="L123" s="37">
        <f t="shared" si="0"/>
        <v>0</v>
      </c>
      <c r="M123" s="35"/>
      <c r="N123" s="35"/>
      <c r="O123" s="35"/>
      <c r="P123" s="35"/>
      <c r="Q123" s="35"/>
      <c r="R123" s="35"/>
      <c r="S123" s="35"/>
      <c r="T123" s="35"/>
      <c r="U123" s="35"/>
      <c r="V123" s="35"/>
      <c r="W123" s="35"/>
      <c r="Y123" s="38"/>
      <c r="Z123" s="38"/>
      <c r="AA123" s="38"/>
      <c r="AB123" s="38"/>
      <c r="AC123" s="38"/>
      <c r="AD123" s="38"/>
      <c r="AE123" s="38"/>
      <c r="AF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row>
    <row r="124" spans="1:88" x14ac:dyDescent="0.25">
      <c r="A124" s="182"/>
      <c r="B124" s="183"/>
      <c r="C124" s="184"/>
      <c r="D124" s="30">
        <f t="shared" si="1"/>
        <v>6</v>
      </c>
      <c r="E124" s="32"/>
      <c r="F124" s="26"/>
      <c r="H124" s="36">
        <f t="shared" si="4"/>
        <v>0.255</v>
      </c>
      <c r="I124" s="37">
        <f t="shared" si="2"/>
        <v>0</v>
      </c>
      <c r="K124" s="37">
        <f t="shared" si="3"/>
        <v>0</v>
      </c>
      <c r="L124" s="37">
        <f t="shared" si="0"/>
        <v>0</v>
      </c>
      <c r="M124" s="35"/>
      <c r="N124" s="35"/>
      <c r="O124" s="35"/>
      <c r="P124" s="35"/>
      <c r="Q124" s="35"/>
      <c r="R124" s="35"/>
      <c r="S124" s="35"/>
      <c r="T124" s="35"/>
      <c r="U124" s="35"/>
      <c r="V124" s="35"/>
      <c r="W124" s="35"/>
      <c r="Y124" s="38"/>
      <c r="Z124" s="38"/>
      <c r="AA124" s="38"/>
      <c r="AB124" s="38"/>
      <c r="AC124" s="38"/>
      <c r="AD124" s="38"/>
      <c r="AE124" s="38"/>
      <c r="AF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row>
    <row r="125" spans="1:88" x14ac:dyDescent="0.25">
      <c r="A125" s="73"/>
      <c r="B125" s="74"/>
      <c r="C125" s="75"/>
      <c r="D125" s="30">
        <f t="shared" si="1"/>
        <v>7</v>
      </c>
      <c r="E125" s="32"/>
      <c r="F125" s="26"/>
      <c r="H125" s="36">
        <f t="shared" si="4"/>
        <v>0.255</v>
      </c>
      <c r="I125" s="37">
        <f t="shared" si="2"/>
        <v>0</v>
      </c>
      <c r="K125" s="37">
        <f t="shared" si="3"/>
        <v>0</v>
      </c>
      <c r="L125" s="37">
        <f t="shared" si="0"/>
        <v>0</v>
      </c>
      <c r="M125" s="35"/>
      <c r="N125" s="35"/>
      <c r="O125" s="35"/>
      <c r="P125" s="35"/>
      <c r="Q125" s="35"/>
      <c r="R125" s="35"/>
      <c r="S125" s="35"/>
      <c r="T125" s="35"/>
      <c r="U125" s="35"/>
      <c r="V125" s="35"/>
      <c r="W125" s="35"/>
      <c r="Y125" s="38"/>
      <c r="Z125" s="38"/>
      <c r="AA125" s="38"/>
      <c r="AB125" s="38"/>
      <c r="AC125" s="38"/>
      <c r="AD125" s="38"/>
      <c r="AE125" s="38"/>
      <c r="AF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row>
    <row r="126" spans="1:88" ht="28.5" customHeight="1" x14ac:dyDescent="0.25">
      <c r="A126" s="185"/>
      <c r="B126" s="186"/>
      <c r="C126" s="187"/>
      <c r="D126" s="30">
        <f t="shared" si="1"/>
        <v>8</v>
      </c>
      <c r="E126" s="32"/>
      <c r="F126" s="26"/>
      <c r="H126" s="36">
        <f t="shared" si="4"/>
        <v>0.255</v>
      </c>
      <c r="I126" s="37">
        <f t="shared" si="2"/>
        <v>0</v>
      </c>
      <c r="K126" s="37">
        <f t="shared" si="3"/>
        <v>0</v>
      </c>
      <c r="L126" s="37">
        <f t="shared" si="0"/>
        <v>0</v>
      </c>
      <c r="M126" s="35"/>
      <c r="N126" s="35"/>
      <c r="O126" s="35"/>
      <c r="P126" s="35"/>
      <c r="Q126" s="35"/>
      <c r="R126" s="35"/>
      <c r="S126" s="35"/>
      <c r="T126" s="35"/>
      <c r="U126" s="35"/>
      <c r="V126" s="35"/>
      <c r="W126" s="35"/>
      <c r="Y126" s="38"/>
      <c r="Z126" s="38"/>
      <c r="AA126" s="38"/>
      <c r="AB126" s="38"/>
      <c r="AC126" s="38"/>
      <c r="AD126" s="38"/>
      <c r="AE126" s="38"/>
      <c r="AF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row>
    <row r="127" spans="1:88" ht="29.1" customHeight="1" x14ac:dyDescent="0.25">
      <c r="A127" s="182"/>
      <c r="B127" s="183"/>
      <c r="C127" s="184"/>
      <c r="D127" s="30">
        <f t="shared" si="1"/>
        <v>9</v>
      </c>
      <c r="E127" s="32"/>
      <c r="F127" s="26"/>
      <c r="H127" s="36">
        <f t="shared" si="4"/>
        <v>0.255</v>
      </c>
      <c r="I127" s="37">
        <f t="shared" si="2"/>
        <v>0</v>
      </c>
      <c r="K127" s="37">
        <f t="shared" si="3"/>
        <v>0</v>
      </c>
      <c r="L127" s="37">
        <f t="shared" si="0"/>
        <v>0</v>
      </c>
      <c r="M127" s="35"/>
      <c r="N127" s="35"/>
      <c r="O127" s="35"/>
      <c r="P127" s="35"/>
      <c r="Q127" s="35"/>
      <c r="R127" s="35"/>
      <c r="S127" s="35"/>
      <c r="T127" s="35"/>
      <c r="U127" s="35"/>
      <c r="V127" s="35"/>
      <c r="W127" s="35"/>
      <c r="Y127" s="38"/>
      <c r="Z127" s="38"/>
      <c r="AA127" s="38"/>
      <c r="AB127" s="38"/>
      <c r="AC127" s="38"/>
      <c r="AD127" s="38"/>
      <c r="AE127" s="38"/>
      <c r="AF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row>
    <row r="128" spans="1:88" x14ac:dyDescent="0.25">
      <c r="A128" s="182"/>
      <c r="B128" s="183"/>
      <c r="C128" s="184"/>
      <c r="D128" s="30">
        <f t="shared" si="1"/>
        <v>10</v>
      </c>
      <c r="E128" s="32"/>
      <c r="F128" s="26"/>
      <c r="H128" s="36">
        <f t="shared" si="4"/>
        <v>0.255</v>
      </c>
      <c r="I128" s="37">
        <f t="shared" si="2"/>
        <v>0</v>
      </c>
      <c r="K128" s="37">
        <f t="shared" si="3"/>
        <v>0</v>
      </c>
      <c r="L128" s="37">
        <f t="shared" si="0"/>
        <v>0</v>
      </c>
      <c r="M128" s="35"/>
      <c r="N128" s="35"/>
      <c r="O128" s="35"/>
      <c r="P128" s="35"/>
      <c r="Q128" s="35"/>
      <c r="R128" s="35"/>
      <c r="S128" s="35"/>
      <c r="T128" s="35"/>
      <c r="U128" s="35"/>
      <c r="V128" s="35"/>
      <c r="W128" s="35"/>
      <c r="Y128" s="38"/>
      <c r="Z128" s="38"/>
      <c r="AA128" s="38"/>
      <c r="AB128" s="38"/>
      <c r="AC128" s="38"/>
      <c r="AD128" s="38"/>
      <c r="AE128" s="38"/>
      <c r="AF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row>
    <row r="129" spans="1:88" ht="32.1" customHeight="1" x14ac:dyDescent="0.25">
      <c r="A129" s="182"/>
      <c r="B129" s="183"/>
      <c r="C129" s="184"/>
      <c r="D129" s="30">
        <f t="shared" si="1"/>
        <v>11</v>
      </c>
      <c r="E129" s="32"/>
      <c r="F129" s="26"/>
      <c r="H129" s="36">
        <f t="shared" si="4"/>
        <v>0.255</v>
      </c>
      <c r="I129" s="37">
        <f t="shared" si="2"/>
        <v>0</v>
      </c>
      <c r="K129" s="37">
        <f t="shared" si="3"/>
        <v>0</v>
      </c>
      <c r="L129" s="37">
        <f t="shared" si="0"/>
        <v>0</v>
      </c>
      <c r="M129" s="35"/>
      <c r="N129" s="35"/>
      <c r="O129" s="35"/>
      <c r="P129" s="35"/>
      <c r="Q129" s="35"/>
      <c r="R129" s="35"/>
      <c r="S129" s="35"/>
      <c r="T129" s="35"/>
      <c r="U129" s="35"/>
      <c r="V129" s="35"/>
      <c r="W129" s="35"/>
      <c r="Y129" s="38"/>
      <c r="Z129" s="38"/>
      <c r="AA129" s="38"/>
      <c r="AB129" s="38"/>
      <c r="AC129" s="38"/>
      <c r="AD129" s="38"/>
      <c r="AE129" s="38"/>
      <c r="AF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row>
    <row r="130" spans="1:88" x14ac:dyDescent="0.25">
      <c r="A130" s="182"/>
      <c r="B130" s="183"/>
      <c r="C130" s="184"/>
      <c r="D130" s="30">
        <f t="shared" si="1"/>
        <v>12</v>
      </c>
      <c r="E130" s="32"/>
      <c r="F130" s="26"/>
      <c r="H130" s="36">
        <f t="shared" si="4"/>
        <v>0.255</v>
      </c>
      <c r="I130" s="37">
        <f t="shared" si="2"/>
        <v>0</v>
      </c>
      <c r="K130" s="37">
        <f t="shared" si="3"/>
        <v>0</v>
      </c>
      <c r="L130" s="37">
        <f t="shared" si="0"/>
        <v>0</v>
      </c>
      <c r="M130" s="35"/>
      <c r="N130" s="35"/>
      <c r="O130" s="35"/>
      <c r="P130" s="35"/>
      <c r="Q130" s="35"/>
      <c r="R130" s="35"/>
      <c r="S130" s="35"/>
      <c r="T130" s="35"/>
      <c r="U130" s="35"/>
      <c r="V130" s="35"/>
      <c r="W130" s="35"/>
      <c r="Y130" s="38"/>
      <c r="Z130" s="38"/>
      <c r="AA130" s="38"/>
      <c r="AB130" s="38"/>
      <c r="AC130" s="38"/>
      <c r="AD130" s="38"/>
      <c r="AE130" s="38"/>
      <c r="AF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row>
    <row r="131" spans="1:88" x14ac:dyDescent="0.25">
      <c r="A131" s="182"/>
      <c r="B131" s="183"/>
      <c r="C131" s="184"/>
      <c r="D131" s="30">
        <f t="shared" si="1"/>
        <v>13</v>
      </c>
      <c r="E131" s="32"/>
      <c r="F131" s="26"/>
      <c r="H131" s="36">
        <f t="shared" si="4"/>
        <v>0.255</v>
      </c>
      <c r="I131" s="37">
        <f t="shared" si="2"/>
        <v>0</v>
      </c>
      <c r="K131" s="37">
        <f t="shared" si="3"/>
        <v>0</v>
      </c>
      <c r="L131" s="37">
        <f t="shared" si="0"/>
        <v>0</v>
      </c>
      <c r="M131" s="35"/>
      <c r="N131" s="35"/>
      <c r="O131" s="35"/>
      <c r="P131" s="35"/>
      <c r="Q131" s="35"/>
      <c r="R131" s="35"/>
      <c r="S131" s="35"/>
      <c r="T131" s="35"/>
      <c r="U131" s="35"/>
      <c r="V131" s="35"/>
      <c r="W131" s="35"/>
      <c r="Y131" s="38"/>
      <c r="Z131" s="38"/>
      <c r="AA131" s="38"/>
      <c r="AB131" s="38"/>
      <c r="AC131" s="38"/>
      <c r="AD131" s="38"/>
      <c r="AE131" s="38"/>
      <c r="AF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row>
    <row r="132" spans="1:88" ht="29.25" customHeight="1" x14ac:dyDescent="0.25">
      <c r="A132" s="196"/>
      <c r="B132" s="197"/>
      <c r="C132" s="198"/>
      <c r="D132" s="30">
        <f t="shared" si="1"/>
        <v>14</v>
      </c>
      <c r="E132" s="32"/>
      <c r="F132" s="26"/>
      <c r="H132" s="36">
        <f t="shared" si="4"/>
        <v>0.255</v>
      </c>
      <c r="I132" s="37">
        <f t="shared" si="2"/>
        <v>0</v>
      </c>
      <c r="K132" s="37">
        <f t="shared" si="3"/>
        <v>0</v>
      </c>
      <c r="L132" s="37">
        <f t="shared" si="0"/>
        <v>0</v>
      </c>
      <c r="M132" s="35"/>
      <c r="N132" s="35"/>
      <c r="O132" s="35"/>
      <c r="P132" s="35"/>
      <c r="Q132" s="35"/>
      <c r="R132" s="35"/>
      <c r="S132" s="35"/>
      <c r="T132" s="35"/>
      <c r="U132" s="35"/>
      <c r="V132" s="35"/>
      <c r="W132" s="35"/>
      <c r="Y132" s="38"/>
      <c r="Z132" s="38"/>
      <c r="AA132" s="38"/>
      <c r="AB132" s="38"/>
      <c r="AC132" s="38"/>
      <c r="AD132" s="38"/>
      <c r="AE132" s="38"/>
      <c r="AF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row>
    <row r="133" spans="1:88" x14ac:dyDescent="0.25">
      <c r="A133" s="182"/>
      <c r="B133" s="183"/>
      <c r="C133" s="184"/>
      <c r="D133" s="30">
        <f t="shared" si="1"/>
        <v>15</v>
      </c>
      <c r="E133" s="32"/>
      <c r="F133" s="26"/>
      <c r="H133" s="36">
        <f t="shared" si="4"/>
        <v>0.255</v>
      </c>
      <c r="I133" s="37">
        <f t="shared" si="2"/>
        <v>0</v>
      </c>
      <c r="K133" s="37">
        <f t="shared" si="3"/>
        <v>0</v>
      </c>
      <c r="L133" s="37">
        <f t="shared" si="0"/>
        <v>0</v>
      </c>
      <c r="M133" s="35"/>
      <c r="N133" s="35"/>
      <c r="O133" s="35"/>
      <c r="P133" s="35"/>
      <c r="Q133" s="35"/>
      <c r="R133" s="35"/>
      <c r="S133" s="35"/>
      <c r="T133" s="35"/>
      <c r="U133" s="35"/>
      <c r="V133" s="35"/>
      <c r="W133" s="35"/>
      <c r="Y133" s="38"/>
      <c r="Z133" s="38"/>
      <c r="AA133" s="38"/>
      <c r="AB133" s="38"/>
      <c r="AC133" s="38"/>
      <c r="AD133" s="38"/>
      <c r="AE133" s="38"/>
      <c r="AF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row>
    <row r="134" spans="1:88" ht="22.5" customHeight="1" x14ac:dyDescent="0.25">
      <c r="A134" s="182"/>
      <c r="B134" s="183"/>
      <c r="C134" s="184"/>
      <c r="D134" s="30">
        <f t="shared" si="1"/>
        <v>16</v>
      </c>
      <c r="E134" s="32"/>
      <c r="F134" s="26"/>
      <c r="H134" s="36">
        <f t="shared" si="4"/>
        <v>0.255</v>
      </c>
      <c r="I134" s="37">
        <f t="shared" si="2"/>
        <v>0</v>
      </c>
      <c r="K134" s="37">
        <f t="shared" si="3"/>
        <v>0</v>
      </c>
      <c r="L134" s="37">
        <f t="shared" si="0"/>
        <v>0</v>
      </c>
      <c r="M134" s="35"/>
      <c r="N134" s="35"/>
      <c r="O134" s="35"/>
      <c r="P134" s="35"/>
      <c r="Q134" s="35"/>
      <c r="R134" s="35"/>
      <c r="S134" s="35"/>
      <c r="T134" s="35"/>
      <c r="U134" s="35"/>
      <c r="V134" s="35"/>
      <c r="W134" s="35"/>
      <c r="Y134" s="38"/>
      <c r="Z134" s="38"/>
      <c r="AA134" s="38"/>
      <c r="AB134" s="38"/>
      <c r="AC134" s="38"/>
      <c r="AD134" s="38"/>
      <c r="AE134" s="38"/>
      <c r="AF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row>
    <row r="135" spans="1:88" ht="31.5" customHeight="1" x14ac:dyDescent="0.25">
      <c r="A135" s="185"/>
      <c r="B135" s="186"/>
      <c r="C135" s="187"/>
      <c r="D135" s="30">
        <f t="shared" si="1"/>
        <v>17</v>
      </c>
      <c r="E135" s="32"/>
      <c r="F135" s="26"/>
      <c r="H135" s="36">
        <f t="shared" si="4"/>
        <v>0.255</v>
      </c>
      <c r="I135" s="37">
        <f t="shared" si="2"/>
        <v>0</v>
      </c>
      <c r="K135" s="37">
        <f t="shared" si="3"/>
        <v>0</v>
      </c>
      <c r="L135" s="37">
        <f t="shared" si="0"/>
        <v>0</v>
      </c>
      <c r="M135" s="35"/>
      <c r="N135" s="35"/>
      <c r="O135" s="35"/>
      <c r="P135" s="35"/>
      <c r="Q135" s="35"/>
      <c r="R135" s="35"/>
      <c r="S135" s="35"/>
      <c r="T135" s="35"/>
      <c r="U135" s="35"/>
      <c r="V135" s="35"/>
      <c r="W135" s="35"/>
      <c r="Y135" s="38"/>
      <c r="Z135" s="38"/>
      <c r="AA135" s="38"/>
      <c r="AB135" s="38"/>
      <c r="AC135" s="38"/>
      <c r="AD135" s="38"/>
      <c r="AE135" s="38"/>
      <c r="AF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row>
    <row r="136" spans="1:88" ht="28.5" customHeight="1" x14ac:dyDescent="0.25">
      <c r="A136" s="196"/>
      <c r="B136" s="197"/>
      <c r="C136" s="198"/>
      <c r="D136" s="30">
        <f t="shared" si="1"/>
        <v>18</v>
      </c>
      <c r="E136" s="32"/>
      <c r="F136" s="26"/>
      <c r="H136" s="36">
        <f t="shared" si="4"/>
        <v>0.255</v>
      </c>
      <c r="I136" s="37">
        <f t="shared" si="2"/>
        <v>0</v>
      </c>
      <c r="K136" s="37">
        <f t="shared" si="3"/>
        <v>0</v>
      </c>
      <c r="L136" s="37">
        <f t="shared" si="0"/>
        <v>0</v>
      </c>
      <c r="M136" s="35"/>
      <c r="N136" s="35"/>
      <c r="O136" s="35"/>
      <c r="P136" s="35"/>
      <c r="Q136" s="35"/>
      <c r="R136" s="35"/>
      <c r="S136" s="35"/>
      <c r="T136" s="35"/>
      <c r="U136" s="35"/>
      <c r="V136" s="35"/>
      <c r="W136" s="35"/>
      <c r="Y136" s="38"/>
      <c r="Z136" s="38"/>
      <c r="AA136" s="38"/>
      <c r="AB136" s="38"/>
      <c r="AC136" s="38"/>
      <c r="AD136" s="38"/>
      <c r="AE136" s="38"/>
      <c r="AF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row>
    <row r="137" spans="1:88" ht="24" customHeight="1" x14ac:dyDescent="0.25">
      <c r="A137" s="182"/>
      <c r="B137" s="183"/>
      <c r="C137" s="184"/>
      <c r="D137" s="30">
        <f t="shared" si="1"/>
        <v>19</v>
      </c>
      <c r="E137" s="32"/>
      <c r="F137" s="26"/>
      <c r="H137" s="36">
        <f t="shared" si="4"/>
        <v>0.255</v>
      </c>
      <c r="I137" s="37">
        <f t="shared" si="2"/>
        <v>0</v>
      </c>
      <c r="K137" s="37">
        <f t="shared" si="3"/>
        <v>0</v>
      </c>
      <c r="L137" s="37">
        <f t="shared" si="0"/>
        <v>0</v>
      </c>
      <c r="M137" s="35"/>
      <c r="N137" s="35"/>
      <c r="O137" s="35"/>
      <c r="P137" s="35"/>
      <c r="Q137" s="35"/>
      <c r="R137" s="35"/>
      <c r="S137" s="35"/>
      <c r="T137" s="35"/>
      <c r="U137" s="35"/>
      <c r="V137" s="35"/>
      <c r="W137" s="35"/>
      <c r="Y137" s="38"/>
      <c r="Z137" s="38"/>
      <c r="AA137" s="38"/>
      <c r="AB137" s="38"/>
      <c r="AC137" s="38"/>
      <c r="AD137" s="38"/>
      <c r="AE137" s="38"/>
      <c r="AF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row>
    <row r="138" spans="1:88" ht="50.25" customHeight="1" x14ac:dyDescent="0.25">
      <c r="A138" s="185"/>
      <c r="B138" s="186"/>
      <c r="C138" s="187"/>
      <c r="D138" s="30">
        <f t="shared" si="1"/>
        <v>20</v>
      </c>
      <c r="E138" s="32"/>
      <c r="F138" s="27"/>
      <c r="H138" s="36">
        <f t="shared" si="4"/>
        <v>0.255</v>
      </c>
      <c r="I138" s="37">
        <f t="shared" si="2"/>
        <v>0</v>
      </c>
      <c r="K138" s="37">
        <f t="shared" si="3"/>
        <v>0</v>
      </c>
      <c r="L138" s="37">
        <f t="shared" si="0"/>
        <v>0</v>
      </c>
      <c r="M138" s="35"/>
      <c r="N138" s="35"/>
      <c r="O138" s="35"/>
      <c r="P138" s="35"/>
      <c r="Q138" s="35"/>
      <c r="R138" s="35"/>
      <c r="S138" s="35"/>
      <c r="T138" s="35"/>
      <c r="U138" s="35"/>
      <c r="V138" s="35"/>
      <c r="W138" s="35"/>
      <c r="Y138" s="38"/>
      <c r="Z138" s="38"/>
      <c r="AA138" s="38"/>
      <c r="AB138" s="38"/>
      <c r="AC138" s="38"/>
      <c r="AD138" s="38"/>
      <c r="AE138" s="38"/>
      <c r="AF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row>
    <row r="139" spans="1:88" ht="31.5" customHeight="1" x14ac:dyDescent="0.25">
      <c r="A139" s="185"/>
      <c r="B139" s="186"/>
      <c r="C139" s="187"/>
      <c r="D139" s="30">
        <f t="shared" si="1"/>
        <v>21</v>
      </c>
      <c r="E139" s="32"/>
      <c r="F139" s="26"/>
      <c r="H139" s="36">
        <f t="shared" si="4"/>
        <v>0.255</v>
      </c>
      <c r="I139" s="37">
        <f t="shared" si="2"/>
        <v>0</v>
      </c>
      <c r="K139" s="37">
        <f t="shared" si="3"/>
        <v>0</v>
      </c>
      <c r="L139" s="37">
        <f t="shared" si="0"/>
        <v>0</v>
      </c>
      <c r="M139" s="35"/>
      <c r="N139" s="35"/>
      <c r="O139" s="35"/>
      <c r="P139" s="35"/>
      <c r="Q139" s="35"/>
      <c r="R139" s="35"/>
      <c r="S139" s="35"/>
      <c r="T139" s="35"/>
      <c r="U139" s="35"/>
      <c r="V139" s="35"/>
      <c r="W139" s="35"/>
      <c r="Y139" s="38"/>
      <c r="Z139" s="38"/>
      <c r="AA139" s="38"/>
      <c r="AB139" s="38"/>
      <c r="AC139" s="38"/>
      <c r="AD139" s="38"/>
      <c r="AE139" s="38"/>
      <c r="AF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row>
    <row r="140" spans="1:88" x14ac:dyDescent="0.25">
      <c r="A140" s="182"/>
      <c r="B140" s="183"/>
      <c r="C140" s="184"/>
      <c r="D140" s="30">
        <f t="shared" si="1"/>
        <v>22</v>
      </c>
      <c r="E140" s="32"/>
      <c r="F140" s="26"/>
      <c r="H140" s="36">
        <f t="shared" si="4"/>
        <v>0.255</v>
      </c>
      <c r="I140" s="37">
        <f t="shared" si="2"/>
        <v>0</v>
      </c>
      <c r="K140" s="37">
        <f t="shared" si="3"/>
        <v>0</v>
      </c>
      <c r="L140" s="37">
        <f t="shared" si="0"/>
        <v>0</v>
      </c>
      <c r="M140" s="35"/>
      <c r="N140" s="35"/>
      <c r="O140" s="35"/>
      <c r="P140" s="35"/>
      <c r="Q140" s="35"/>
      <c r="R140" s="35"/>
      <c r="S140" s="35"/>
      <c r="T140" s="35"/>
      <c r="U140" s="35"/>
      <c r="V140" s="35"/>
      <c r="W140" s="35"/>
      <c r="Y140" s="38"/>
      <c r="Z140" s="38"/>
      <c r="AA140" s="38"/>
      <c r="AB140" s="38"/>
      <c r="AC140" s="38"/>
      <c r="AD140" s="38"/>
      <c r="AE140" s="38"/>
      <c r="AF140" s="38"/>
      <c r="AG140" s="62"/>
      <c r="AI140" s="42"/>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row>
    <row r="141" spans="1:88" ht="37.5" customHeight="1" x14ac:dyDescent="0.25">
      <c r="A141" s="182"/>
      <c r="B141" s="183"/>
      <c r="C141" s="184"/>
      <c r="D141" s="30">
        <f t="shared" si="1"/>
        <v>23</v>
      </c>
      <c r="E141" s="32"/>
      <c r="F141" s="27"/>
      <c r="H141" s="36">
        <f t="shared" si="4"/>
        <v>0.255</v>
      </c>
      <c r="I141" s="37">
        <f t="shared" si="2"/>
        <v>0</v>
      </c>
      <c r="K141" s="37">
        <f t="shared" si="3"/>
        <v>0</v>
      </c>
      <c r="L141" s="37">
        <f t="shared" si="0"/>
        <v>0</v>
      </c>
      <c r="M141" s="35"/>
      <c r="N141" s="35"/>
      <c r="O141" s="35"/>
      <c r="P141" s="35"/>
      <c r="Q141" s="35"/>
      <c r="R141" s="35"/>
      <c r="S141" s="35"/>
      <c r="T141" s="35"/>
      <c r="U141" s="35"/>
      <c r="V141" s="35"/>
      <c r="W141" s="35"/>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row>
    <row r="142" spans="1:88" x14ac:dyDescent="0.25">
      <c r="A142" s="182"/>
      <c r="B142" s="183"/>
      <c r="C142" s="184"/>
      <c r="D142" s="30">
        <f t="shared" si="1"/>
        <v>24</v>
      </c>
      <c r="E142" s="32"/>
      <c r="F142" s="26"/>
      <c r="H142" s="36">
        <f t="shared" si="4"/>
        <v>0.255</v>
      </c>
      <c r="I142" s="37">
        <f t="shared" si="2"/>
        <v>0</v>
      </c>
      <c r="K142" s="37">
        <f t="shared" si="3"/>
        <v>0</v>
      </c>
      <c r="L142" s="37">
        <f t="shared" si="0"/>
        <v>0</v>
      </c>
      <c r="M142" s="35"/>
      <c r="N142" s="35"/>
      <c r="O142" s="35"/>
      <c r="P142" s="35"/>
      <c r="Q142" s="35"/>
      <c r="R142" s="35"/>
      <c r="S142" s="35"/>
      <c r="T142" s="35"/>
      <c r="U142" s="35"/>
      <c r="V142" s="35"/>
      <c r="W142" s="35"/>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row>
    <row r="143" spans="1:88" ht="31.5" customHeight="1" x14ac:dyDescent="0.25">
      <c r="A143" s="202" t="s">
        <v>45</v>
      </c>
      <c r="B143" s="203"/>
      <c r="C143" s="204"/>
      <c r="D143" s="30"/>
      <c r="E143" s="32"/>
      <c r="F143" s="26"/>
      <c r="H143" s="36"/>
      <c r="I143" s="37"/>
      <c r="K143" s="37"/>
      <c r="L143" s="37"/>
      <c r="M143" s="35"/>
      <c r="N143" s="35"/>
      <c r="O143" s="35"/>
      <c r="P143" s="35"/>
      <c r="Q143" s="35"/>
      <c r="R143" s="35"/>
      <c r="S143" s="35"/>
      <c r="T143" s="35"/>
      <c r="U143" s="35"/>
      <c r="V143" s="35"/>
      <c r="W143" s="35"/>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row>
    <row r="144" spans="1:88" ht="29.25" customHeight="1" x14ac:dyDescent="0.25">
      <c r="A144" s="199"/>
      <c r="B144" s="200"/>
      <c r="C144" s="201"/>
      <c r="D144" s="30">
        <f>D142+1</f>
        <v>25</v>
      </c>
      <c r="E144" s="32"/>
      <c r="F144" s="26"/>
      <c r="H144" s="36">
        <v>0</v>
      </c>
      <c r="I144" s="37">
        <f t="shared" si="2"/>
        <v>0</v>
      </c>
      <c r="K144" s="37">
        <f t="shared" si="3"/>
        <v>0</v>
      </c>
      <c r="L144" s="37">
        <f t="shared" si="0"/>
        <v>0</v>
      </c>
      <c r="M144" s="35"/>
      <c r="N144" s="35"/>
      <c r="O144" s="35"/>
      <c r="P144" s="35"/>
      <c r="Q144" s="35"/>
      <c r="R144" s="35"/>
      <c r="S144" s="35"/>
      <c r="T144" s="35"/>
      <c r="U144" s="35"/>
      <c r="V144" s="35"/>
      <c r="W144" s="35"/>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row>
    <row r="145" spans="1:88" ht="36" customHeight="1" x14ac:dyDescent="0.25">
      <c r="A145" s="207"/>
      <c r="B145" s="208"/>
      <c r="C145" s="209"/>
      <c r="D145" s="30">
        <f>D144+1</f>
        <v>26</v>
      </c>
      <c r="E145" s="32"/>
      <c r="F145" s="26"/>
      <c r="H145" s="36">
        <v>0</v>
      </c>
      <c r="I145" s="37">
        <f t="shared" si="2"/>
        <v>0</v>
      </c>
      <c r="K145" s="37">
        <f t="shared" si="3"/>
        <v>0</v>
      </c>
      <c r="L145" s="37">
        <f t="shared" si="0"/>
        <v>0</v>
      </c>
      <c r="M145" s="35"/>
      <c r="N145" s="35"/>
      <c r="O145" s="35"/>
      <c r="P145" s="35"/>
      <c r="Q145" s="35"/>
      <c r="R145" s="35"/>
      <c r="S145" s="35"/>
      <c r="T145" s="35"/>
      <c r="U145" s="35"/>
      <c r="V145" s="35"/>
      <c r="W145" s="35"/>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row>
    <row r="146" spans="1:88" ht="60" customHeight="1" x14ac:dyDescent="0.25">
      <c r="A146" s="207"/>
      <c r="B146" s="208"/>
      <c r="C146" s="209"/>
      <c r="D146" s="30">
        <f t="shared" si="1"/>
        <v>27</v>
      </c>
      <c r="E146" s="32"/>
      <c r="F146" s="26"/>
      <c r="H146" s="36">
        <v>0</v>
      </c>
      <c r="I146" s="37">
        <f t="shared" si="2"/>
        <v>0</v>
      </c>
      <c r="K146" s="37">
        <f t="shared" si="3"/>
        <v>0</v>
      </c>
      <c r="L146" s="37">
        <f t="shared" si="0"/>
        <v>0</v>
      </c>
      <c r="M146" s="35"/>
      <c r="N146" s="35"/>
      <c r="O146" s="35"/>
      <c r="P146" s="35"/>
      <c r="Q146" s="35"/>
      <c r="R146" s="35"/>
      <c r="S146" s="35"/>
      <c r="T146" s="35"/>
      <c r="U146" s="35"/>
      <c r="V146" s="35"/>
      <c r="W146" s="35"/>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row>
    <row r="147" spans="1:88" ht="39.75" customHeight="1" x14ac:dyDescent="0.25">
      <c r="A147" s="207"/>
      <c r="B147" s="208"/>
      <c r="C147" s="209"/>
      <c r="D147" s="30">
        <f t="shared" si="1"/>
        <v>28</v>
      </c>
      <c r="E147" s="32"/>
      <c r="F147" s="26"/>
      <c r="H147" s="36">
        <v>0</v>
      </c>
      <c r="I147" s="37">
        <f t="shared" si="2"/>
        <v>0</v>
      </c>
      <c r="K147" s="37">
        <f t="shared" si="3"/>
        <v>0</v>
      </c>
      <c r="L147" s="37">
        <f t="shared" si="0"/>
        <v>0</v>
      </c>
      <c r="M147" s="35"/>
      <c r="N147" s="35"/>
      <c r="O147" s="35"/>
      <c r="P147" s="35"/>
      <c r="Q147" s="35"/>
      <c r="R147" s="35"/>
      <c r="S147" s="35"/>
      <c r="T147" s="35"/>
      <c r="U147" s="35"/>
      <c r="V147" s="35"/>
      <c r="W147" s="35"/>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row>
    <row r="148" spans="1:88" x14ac:dyDescent="0.25">
      <c r="A148" s="199"/>
      <c r="B148" s="200"/>
      <c r="C148" s="201"/>
      <c r="D148" s="30">
        <f t="shared" si="1"/>
        <v>29</v>
      </c>
      <c r="E148" s="32"/>
      <c r="F148" s="27"/>
      <c r="H148" s="36">
        <v>0</v>
      </c>
      <c r="I148" s="37">
        <f t="shared" si="2"/>
        <v>0</v>
      </c>
      <c r="K148" s="37">
        <f t="shared" si="3"/>
        <v>0</v>
      </c>
      <c r="L148" s="37">
        <f t="shared" si="0"/>
        <v>0</v>
      </c>
      <c r="M148" s="35"/>
      <c r="N148" s="35"/>
      <c r="O148" s="35"/>
      <c r="P148" s="35"/>
      <c r="Q148" s="35"/>
      <c r="R148" s="35"/>
      <c r="S148" s="35"/>
      <c r="T148" s="35"/>
      <c r="U148" s="35"/>
      <c r="V148" s="35"/>
      <c r="W148" s="35"/>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row>
    <row r="149" spans="1:88" x14ac:dyDescent="0.25">
      <c r="A149" s="199"/>
      <c r="B149" s="200"/>
      <c r="C149" s="201"/>
      <c r="D149" s="30">
        <f t="shared" si="1"/>
        <v>30</v>
      </c>
      <c r="E149" s="32"/>
      <c r="F149" s="27"/>
      <c r="H149" s="36">
        <v>0</v>
      </c>
      <c r="I149" s="37">
        <f t="shared" si="2"/>
        <v>0</v>
      </c>
      <c r="K149" s="37">
        <f t="shared" si="3"/>
        <v>0</v>
      </c>
      <c r="L149" s="37">
        <f t="shared" si="0"/>
        <v>0</v>
      </c>
      <c r="M149" s="35"/>
      <c r="N149" s="35"/>
      <c r="O149" s="35"/>
      <c r="P149" s="35"/>
      <c r="Q149" s="35"/>
      <c r="R149" s="35"/>
      <c r="S149" s="35"/>
      <c r="T149" s="35"/>
      <c r="U149" s="35"/>
      <c r="V149" s="35"/>
      <c r="W149" s="35"/>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row>
    <row r="150" spans="1:88" x14ac:dyDescent="0.25">
      <c r="A150" s="199"/>
      <c r="B150" s="200"/>
      <c r="C150" s="201"/>
      <c r="D150" s="30">
        <f t="shared" si="1"/>
        <v>31</v>
      </c>
      <c r="E150" s="32"/>
      <c r="F150" s="26"/>
      <c r="H150" s="36">
        <v>0</v>
      </c>
      <c r="I150" s="37">
        <f t="shared" si="2"/>
        <v>0</v>
      </c>
      <c r="K150" s="37">
        <f t="shared" si="3"/>
        <v>0</v>
      </c>
      <c r="L150" s="37">
        <f t="shared" si="0"/>
        <v>0</v>
      </c>
      <c r="M150" s="35"/>
      <c r="N150" s="35"/>
      <c r="O150" s="35"/>
      <c r="P150" s="35"/>
      <c r="Q150" s="35"/>
      <c r="R150" s="35"/>
      <c r="S150" s="35"/>
      <c r="T150" s="35"/>
      <c r="U150" s="35"/>
      <c r="V150" s="35"/>
      <c r="W150" s="35"/>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row>
    <row r="151" spans="1:88" x14ac:dyDescent="0.25">
      <c r="A151" s="199"/>
      <c r="B151" s="200"/>
      <c r="C151" s="201"/>
      <c r="D151" s="30">
        <f t="shared" si="1"/>
        <v>32</v>
      </c>
      <c r="E151" s="32"/>
      <c r="F151" s="26"/>
      <c r="H151" s="36">
        <v>0</v>
      </c>
      <c r="I151" s="37">
        <f t="shared" si="2"/>
        <v>0</v>
      </c>
      <c r="K151" s="37">
        <f t="shared" si="3"/>
        <v>0</v>
      </c>
      <c r="L151" s="37">
        <f t="shared" si="0"/>
        <v>0</v>
      </c>
      <c r="M151" s="35"/>
      <c r="N151" s="35"/>
      <c r="O151" s="35"/>
      <c r="P151" s="35"/>
      <c r="Q151" s="35"/>
      <c r="R151" s="35"/>
      <c r="S151" s="35"/>
      <c r="T151" s="35"/>
      <c r="U151" s="35"/>
      <c r="V151" s="35"/>
      <c r="W151" s="35"/>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row>
    <row r="152" spans="1:88" x14ac:dyDescent="0.25">
      <c r="A152" s="199"/>
      <c r="B152" s="200"/>
      <c r="C152" s="201"/>
      <c r="D152" s="30">
        <f t="shared" si="1"/>
        <v>33</v>
      </c>
      <c r="E152" s="32"/>
      <c r="F152" s="26"/>
      <c r="H152" s="36">
        <v>0</v>
      </c>
      <c r="I152" s="37">
        <f t="shared" si="2"/>
        <v>0</v>
      </c>
      <c r="K152" s="37">
        <f t="shared" si="3"/>
        <v>0</v>
      </c>
      <c r="L152" s="37">
        <f t="shared" si="0"/>
        <v>0</v>
      </c>
      <c r="M152" s="35"/>
      <c r="N152" s="35"/>
      <c r="O152" s="35"/>
      <c r="P152" s="35"/>
      <c r="Q152" s="35"/>
      <c r="R152" s="35"/>
      <c r="S152" s="35"/>
      <c r="T152" s="35"/>
      <c r="U152" s="35"/>
      <c r="V152" s="35"/>
      <c r="W152" s="35"/>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row>
    <row r="153" spans="1:88" x14ac:dyDescent="0.25">
      <c r="A153" s="199"/>
      <c r="B153" s="200"/>
      <c r="C153" s="201"/>
      <c r="D153" s="30">
        <f t="shared" si="1"/>
        <v>34</v>
      </c>
      <c r="E153" s="32"/>
      <c r="F153" s="27"/>
      <c r="H153" s="36">
        <v>0</v>
      </c>
      <c r="I153" s="37">
        <f t="shared" si="2"/>
        <v>0</v>
      </c>
      <c r="K153" s="37">
        <f t="shared" si="3"/>
        <v>0</v>
      </c>
      <c r="L153" s="37">
        <f t="shared" si="0"/>
        <v>0</v>
      </c>
      <c r="M153" s="35"/>
      <c r="N153" s="35"/>
      <c r="O153" s="35"/>
      <c r="P153" s="35"/>
      <c r="Q153" s="35"/>
      <c r="R153" s="35"/>
      <c r="S153" s="35"/>
      <c r="T153" s="35"/>
      <c r="U153" s="35"/>
      <c r="V153" s="35"/>
      <c r="W153" s="35"/>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row>
    <row r="154" spans="1:88" x14ac:dyDescent="0.25">
      <c r="A154" s="199"/>
      <c r="B154" s="200"/>
      <c r="C154" s="201"/>
      <c r="D154" s="30">
        <f t="shared" si="1"/>
        <v>35</v>
      </c>
      <c r="E154" s="32"/>
      <c r="F154" s="26"/>
      <c r="H154" s="36">
        <v>0</v>
      </c>
      <c r="I154" s="37">
        <f t="shared" si="2"/>
        <v>0</v>
      </c>
      <c r="K154" s="37">
        <f t="shared" si="3"/>
        <v>0</v>
      </c>
      <c r="L154" s="37">
        <f t="shared" si="0"/>
        <v>0</v>
      </c>
      <c r="M154" s="35"/>
      <c r="N154" s="35"/>
      <c r="O154" s="35"/>
      <c r="P154" s="35"/>
      <c r="Q154" s="35"/>
      <c r="R154" s="35"/>
      <c r="S154" s="35"/>
      <c r="T154" s="35"/>
      <c r="U154" s="35"/>
      <c r="V154" s="35"/>
      <c r="W154" s="35"/>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row>
    <row r="155" spans="1:88" x14ac:dyDescent="0.25">
      <c r="A155" s="199"/>
      <c r="B155" s="200"/>
      <c r="C155" s="201"/>
      <c r="D155" s="30">
        <f t="shared" si="1"/>
        <v>36</v>
      </c>
      <c r="E155" s="32"/>
      <c r="F155" s="27"/>
      <c r="H155" s="36">
        <v>0</v>
      </c>
      <c r="I155" s="37">
        <f t="shared" si="2"/>
        <v>0</v>
      </c>
      <c r="K155" s="37">
        <f t="shared" si="3"/>
        <v>0</v>
      </c>
      <c r="L155" s="37">
        <f t="shared" si="0"/>
        <v>0</v>
      </c>
      <c r="M155" s="35"/>
      <c r="N155" s="35"/>
      <c r="O155" s="35"/>
      <c r="P155" s="35"/>
      <c r="Q155" s="35"/>
      <c r="R155" s="35"/>
      <c r="S155" s="35"/>
      <c r="T155" s="35"/>
      <c r="U155" s="35"/>
      <c r="V155" s="35"/>
      <c r="W155" s="35"/>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row>
    <row r="156" spans="1:88" x14ac:dyDescent="0.25">
      <c r="A156" s="199"/>
      <c r="B156" s="200"/>
      <c r="C156" s="201"/>
      <c r="D156" s="30">
        <f t="shared" si="1"/>
        <v>37</v>
      </c>
      <c r="E156" s="32"/>
      <c r="F156" s="27"/>
      <c r="H156" s="36">
        <v>0</v>
      </c>
      <c r="I156" s="37">
        <f t="shared" si="2"/>
        <v>0</v>
      </c>
      <c r="K156" s="37">
        <f t="shared" si="3"/>
        <v>0</v>
      </c>
      <c r="L156" s="37">
        <f t="shared" si="0"/>
        <v>0</v>
      </c>
      <c r="M156" s="35"/>
      <c r="N156" s="35"/>
      <c r="O156" s="35"/>
      <c r="P156" s="35"/>
      <c r="Q156" s="35"/>
      <c r="R156" s="35"/>
      <c r="S156" s="35"/>
      <c r="T156" s="35"/>
      <c r="U156" s="35"/>
      <c r="V156" s="35"/>
      <c r="W156" s="35"/>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row>
    <row r="157" spans="1:88" x14ac:dyDescent="0.25">
      <c r="A157" s="199"/>
      <c r="B157" s="200"/>
      <c r="C157" s="201"/>
      <c r="D157" s="30">
        <f t="shared" si="1"/>
        <v>38</v>
      </c>
      <c r="E157" s="32"/>
      <c r="F157" s="26"/>
      <c r="H157" s="36">
        <v>0</v>
      </c>
      <c r="I157" s="37">
        <f t="shared" si="2"/>
        <v>0</v>
      </c>
      <c r="K157" s="37">
        <f t="shared" si="3"/>
        <v>0</v>
      </c>
      <c r="L157" s="37">
        <f t="shared" si="0"/>
        <v>0</v>
      </c>
      <c r="M157" s="35"/>
      <c r="N157" s="35"/>
      <c r="O157" s="35"/>
      <c r="P157" s="35"/>
      <c r="Q157" s="35"/>
      <c r="R157" s="35"/>
      <c r="S157" s="35"/>
      <c r="T157" s="35"/>
      <c r="U157" s="35"/>
      <c r="V157" s="35"/>
      <c r="W157" s="35"/>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row>
    <row r="158" spans="1:88" x14ac:dyDescent="0.25">
      <c r="A158" s="199"/>
      <c r="B158" s="200"/>
      <c r="C158" s="201"/>
      <c r="D158" s="30">
        <f t="shared" si="1"/>
        <v>39</v>
      </c>
      <c r="E158" s="32"/>
      <c r="F158" s="26"/>
      <c r="H158" s="36">
        <v>0</v>
      </c>
      <c r="I158" s="37">
        <f t="shared" si="2"/>
        <v>0</v>
      </c>
      <c r="K158" s="37">
        <f t="shared" si="3"/>
        <v>0</v>
      </c>
      <c r="L158" s="37">
        <f t="shared" si="0"/>
        <v>0</v>
      </c>
      <c r="M158" s="35"/>
      <c r="N158" s="35"/>
      <c r="O158" s="35"/>
      <c r="P158" s="35"/>
      <c r="Q158" s="35"/>
      <c r="R158" s="35"/>
      <c r="S158" s="35"/>
      <c r="T158" s="35"/>
      <c r="U158" s="35"/>
      <c r="V158" s="35"/>
      <c r="W158" s="35"/>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row>
    <row r="159" spans="1:88" x14ac:dyDescent="0.25">
      <c r="A159" s="199"/>
      <c r="B159" s="200"/>
      <c r="C159" s="201"/>
      <c r="D159" s="30">
        <f t="shared" si="1"/>
        <v>40</v>
      </c>
      <c r="E159" s="32"/>
      <c r="F159" s="26"/>
      <c r="H159" s="36">
        <v>0</v>
      </c>
      <c r="I159" s="37">
        <f t="shared" si="2"/>
        <v>0</v>
      </c>
      <c r="K159" s="37">
        <f t="shared" si="3"/>
        <v>0</v>
      </c>
      <c r="L159" s="37">
        <f t="shared" si="0"/>
        <v>0</v>
      </c>
      <c r="M159" s="35"/>
      <c r="N159" s="35"/>
      <c r="O159" s="35"/>
      <c r="P159" s="35"/>
      <c r="Q159" s="35"/>
      <c r="R159" s="35"/>
      <c r="S159" s="35"/>
      <c r="T159" s="35"/>
      <c r="U159" s="35"/>
      <c r="V159" s="35"/>
      <c r="W159" s="35"/>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row>
    <row r="160" spans="1:88" x14ac:dyDescent="0.25">
      <c r="M160" s="35"/>
      <c r="N160" s="35"/>
      <c r="O160" s="35"/>
      <c r="P160" s="35"/>
      <c r="Q160" s="35"/>
      <c r="R160" s="35"/>
      <c r="S160" s="35"/>
      <c r="T160" s="35"/>
      <c r="U160" s="35"/>
      <c r="V160" s="35"/>
      <c r="W160" s="35"/>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row>
    <row r="161" spans="6:88" x14ac:dyDescent="0.25">
      <c r="M161" s="35"/>
      <c r="N161" s="35"/>
      <c r="O161" s="35"/>
      <c r="P161" s="35"/>
      <c r="Q161" s="35"/>
      <c r="R161" s="35"/>
      <c r="S161" s="35"/>
      <c r="T161" s="35"/>
      <c r="U161" s="35"/>
      <c r="V161" s="35"/>
      <c r="W161" s="35"/>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row>
    <row r="162" spans="6:88" x14ac:dyDescent="0.25">
      <c r="M162" s="35"/>
      <c r="N162" s="35"/>
      <c r="O162" s="35"/>
      <c r="P162" s="35"/>
      <c r="Q162" s="35"/>
      <c r="R162" s="35"/>
      <c r="S162" s="35"/>
      <c r="T162" s="35"/>
      <c r="U162" s="35"/>
      <c r="V162" s="35"/>
      <c r="W162" s="35"/>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row>
    <row r="163" spans="6:88" x14ac:dyDescent="0.25">
      <c r="M163" s="35"/>
      <c r="N163" s="35"/>
      <c r="O163" s="35"/>
      <c r="P163" s="35"/>
      <c r="Q163" s="35"/>
      <c r="R163" s="35"/>
      <c r="S163" s="35"/>
      <c r="T163" s="35"/>
      <c r="U163" s="35"/>
      <c r="V163" s="35"/>
      <c r="W163" s="35"/>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row>
    <row r="164" spans="6:88" ht="15.75" thickBot="1" x14ac:dyDescent="0.3">
      <c r="M164" s="35"/>
      <c r="N164" s="35"/>
      <c r="O164" s="35"/>
      <c r="P164" s="35"/>
      <c r="Q164" s="35"/>
      <c r="R164" s="35"/>
      <c r="S164" s="35"/>
      <c r="T164" s="35"/>
      <c r="U164" s="35"/>
      <c r="V164" s="35"/>
      <c r="W164" s="35"/>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row>
    <row r="165" spans="6:88" ht="15.75" thickBot="1" x14ac:dyDescent="0.3">
      <c r="F165" s="64">
        <f>SUM(F119:F159)</f>
        <v>0</v>
      </c>
      <c r="H165" s="13"/>
      <c r="I165" s="64">
        <f>SUM(I119:I159)</f>
        <v>0</v>
      </c>
      <c r="K165" s="64">
        <f>SUM(K119:K159)</f>
        <v>0</v>
      </c>
      <c r="M165" s="35"/>
      <c r="N165" s="35"/>
      <c r="O165" s="35"/>
      <c r="P165" s="35"/>
      <c r="Q165" s="35"/>
      <c r="R165" s="35"/>
      <c r="S165" s="35"/>
      <c r="T165" s="35"/>
      <c r="U165" s="35"/>
      <c r="V165" s="35"/>
      <c r="W165" s="35"/>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row>
    <row r="166" spans="6:88" x14ac:dyDescent="0.25">
      <c r="M166" s="35"/>
      <c r="N166" s="35"/>
      <c r="O166" s="35"/>
      <c r="P166" s="35"/>
      <c r="Q166" s="35"/>
      <c r="R166" s="35"/>
      <c r="S166" s="35"/>
      <c r="T166" s="35"/>
      <c r="U166" s="35"/>
      <c r="V166" s="35"/>
      <c r="W166" s="35"/>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row>
    <row r="167" spans="6:88" x14ac:dyDescent="0.25">
      <c r="M167" s="35"/>
      <c r="N167" s="35"/>
      <c r="O167" s="35"/>
      <c r="P167" s="35"/>
      <c r="Q167" s="35"/>
      <c r="R167" s="35"/>
      <c r="S167" s="35"/>
      <c r="T167" s="35"/>
      <c r="U167" s="35"/>
      <c r="V167" s="35"/>
      <c r="W167" s="35"/>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row>
    <row r="168" spans="6:88" x14ac:dyDescent="0.25">
      <c r="M168" s="35"/>
      <c r="N168" s="35"/>
      <c r="O168" s="35"/>
      <c r="P168" s="35"/>
      <c r="Q168" s="35"/>
      <c r="R168" s="35"/>
      <c r="S168" s="35"/>
      <c r="T168" s="35"/>
      <c r="U168" s="35"/>
      <c r="V168" s="35"/>
      <c r="W168" s="35"/>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row>
    <row r="169" spans="6:88" x14ac:dyDescent="0.25">
      <c r="M169" s="35"/>
      <c r="N169" s="35"/>
      <c r="O169" s="35"/>
      <c r="P169" s="35"/>
      <c r="Q169" s="35"/>
      <c r="R169" s="35"/>
      <c r="S169" s="35"/>
      <c r="T169" s="35"/>
      <c r="U169" s="35"/>
      <c r="V169" s="35"/>
      <c r="W169" s="35"/>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row>
    <row r="170" spans="6:88" x14ac:dyDescent="0.25">
      <c r="M170" s="35"/>
      <c r="N170" s="35"/>
      <c r="O170" s="35"/>
      <c r="P170" s="35"/>
      <c r="Q170" s="35"/>
      <c r="R170" s="35"/>
      <c r="S170" s="35"/>
      <c r="T170" s="35"/>
      <c r="U170" s="35"/>
      <c r="V170" s="35"/>
      <c r="W170" s="35"/>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row>
    <row r="171" spans="6:88" x14ac:dyDescent="0.25">
      <c r="M171" s="35"/>
      <c r="N171" s="35"/>
      <c r="O171" s="35"/>
      <c r="P171" s="35"/>
      <c r="Q171" s="35"/>
      <c r="R171" s="35"/>
      <c r="S171" s="35"/>
      <c r="T171" s="35"/>
      <c r="U171" s="35"/>
      <c r="V171" s="35"/>
      <c r="W171" s="35"/>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row>
    <row r="172" spans="6:88" x14ac:dyDescent="0.25">
      <c r="M172" s="35"/>
      <c r="N172" s="35"/>
      <c r="O172" s="35"/>
      <c r="P172" s="35"/>
      <c r="Q172" s="35"/>
      <c r="R172" s="35"/>
      <c r="S172" s="35"/>
      <c r="T172" s="35"/>
      <c r="U172" s="35"/>
      <c r="V172" s="35"/>
      <c r="W172" s="35"/>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row>
    <row r="173" spans="6:88" x14ac:dyDescent="0.25">
      <c r="M173" s="35"/>
      <c r="N173" s="35"/>
      <c r="O173" s="35"/>
      <c r="P173" s="35"/>
      <c r="Q173" s="35"/>
      <c r="R173" s="35"/>
      <c r="S173" s="35"/>
      <c r="T173" s="35"/>
      <c r="U173" s="35"/>
      <c r="V173" s="35"/>
      <c r="W173" s="35"/>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row>
    <row r="174" spans="6:88" x14ac:dyDescent="0.25">
      <c r="M174" s="35"/>
      <c r="N174" s="35"/>
      <c r="O174" s="35"/>
      <c r="P174" s="35"/>
      <c r="Q174" s="35"/>
      <c r="R174" s="35"/>
      <c r="S174" s="35"/>
      <c r="T174" s="35"/>
      <c r="U174" s="35"/>
      <c r="V174" s="35"/>
      <c r="W174" s="35"/>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row>
    <row r="175" spans="6:88" x14ac:dyDescent="0.25">
      <c r="M175" s="35"/>
      <c r="N175" s="35"/>
      <c r="O175" s="35"/>
      <c r="P175" s="35"/>
      <c r="Q175" s="35"/>
      <c r="R175" s="35"/>
      <c r="S175" s="35"/>
      <c r="T175" s="35"/>
      <c r="U175" s="35"/>
      <c r="V175" s="35"/>
      <c r="W175" s="35"/>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row>
    <row r="176" spans="6:88" x14ac:dyDescent="0.25">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row>
    <row r="177" spans="25:88" x14ac:dyDescent="0.25">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row>
    <row r="178" spans="25:88" x14ac:dyDescent="0.25">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row>
    <row r="179" spans="25:88" x14ac:dyDescent="0.25">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row>
    <row r="180" spans="25:88" x14ac:dyDescent="0.25">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row>
    <row r="181" spans="25:88" x14ac:dyDescent="0.25">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row>
  </sheetData>
  <mergeCells count="154">
    <mergeCell ref="T3:U3"/>
    <mergeCell ref="E4:F4"/>
    <mergeCell ref="H4:I4"/>
    <mergeCell ref="K4:L4"/>
    <mergeCell ref="N4:O4"/>
    <mergeCell ref="Q4:R4"/>
    <mergeCell ref="T4:U4"/>
    <mergeCell ref="B1:E1"/>
    <mergeCell ref="E3:F3"/>
    <mergeCell ref="H3:I3"/>
    <mergeCell ref="K3:L3"/>
    <mergeCell ref="N3:O3"/>
    <mergeCell ref="Q3:R3"/>
    <mergeCell ref="E15:F15"/>
    <mergeCell ref="H15:I15"/>
    <mergeCell ref="K15:L15"/>
    <mergeCell ref="N15:O15"/>
    <mergeCell ref="E36:F36"/>
    <mergeCell ref="H36:I36"/>
    <mergeCell ref="K36:L36"/>
    <mergeCell ref="N36:O36"/>
    <mergeCell ref="AH4:AK4"/>
    <mergeCell ref="AH5:AI5"/>
    <mergeCell ref="AJ5:AK5"/>
    <mergeCell ref="E14:F14"/>
    <mergeCell ref="H14:I14"/>
    <mergeCell ref="K14:L14"/>
    <mergeCell ref="N14:O14"/>
    <mergeCell ref="Q36:R36"/>
    <mergeCell ref="T36:U36"/>
    <mergeCell ref="W36:X36"/>
    <mergeCell ref="Z36:AA36"/>
    <mergeCell ref="E37:F37"/>
    <mergeCell ref="H37:I37"/>
    <mergeCell ref="K37:L37"/>
    <mergeCell ref="N37:O37"/>
    <mergeCell ref="Q37:R37"/>
    <mergeCell ref="T37:U37"/>
    <mergeCell ref="W37:X37"/>
    <mergeCell ref="Z37:AA37"/>
    <mergeCell ref="AH39:AK39"/>
    <mergeCell ref="AH40:AI40"/>
    <mergeCell ref="AJ40:AK40"/>
    <mergeCell ref="E52:F52"/>
    <mergeCell ref="H52:I52"/>
    <mergeCell ref="K52:L52"/>
    <mergeCell ref="N52:O52"/>
    <mergeCell ref="Q52:R52"/>
    <mergeCell ref="T52:U52"/>
    <mergeCell ref="W52:X52"/>
    <mergeCell ref="Z52:AA52"/>
    <mergeCell ref="E53:F53"/>
    <mergeCell ref="H53:I53"/>
    <mergeCell ref="K53:L53"/>
    <mergeCell ref="N53:O53"/>
    <mergeCell ref="Q53:R53"/>
    <mergeCell ref="T53:U53"/>
    <mergeCell ref="W53:X53"/>
    <mergeCell ref="Z53:AA53"/>
    <mergeCell ref="E77:F77"/>
    <mergeCell ref="H77:I77"/>
    <mergeCell ref="K77:L77"/>
    <mergeCell ref="N77:O77"/>
    <mergeCell ref="Q77:R77"/>
    <mergeCell ref="T77:U77"/>
    <mergeCell ref="W77:X77"/>
    <mergeCell ref="Z77:AA77"/>
    <mergeCell ref="AC77:AD77"/>
    <mergeCell ref="E78:F78"/>
    <mergeCell ref="H78:I78"/>
    <mergeCell ref="K78:L78"/>
    <mergeCell ref="N78:O78"/>
    <mergeCell ref="Q78:R78"/>
    <mergeCell ref="T78:U78"/>
    <mergeCell ref="W78:X78"/>
    <mergeCell ref="Z78:AA78"/>
    <mergeCell ref="AC78:AD78"/>
    <mergeCell ref="W92:X92"/>
    <mergeCell ref="Z92:AA92"/>
    <mergeCell ref="AC92:AD92"/>
    <mergeCell ref="E93:F93"/>
    <mergeCell ref="H93:I93"/>
    <mergeCell ref="K93:L93"/>
    <mergeCell ref="N93:O93"/>
    <mergeCell ref="Q93:R93"/>
    <mergeCell ref="T93:U93"/>
    <mergeCell ref="W93:X93"/>
    <mergeCell ref="E92:F92"/>
    <mergeCell ref="H92:I92"/>
    <mergeCell ref="K92:L92"/>
    <mergeCell ref="N92:O92"/>
    <mergeCell ref="Q92:R92"/>
    <mergeCell ref="T92:U92"/>
    <mergeCell ref="Z93:AA93"/>
    <mergeCell ref="AC93:AD93"/>
    <mergeCell ref="A120:C120"/>
    <mergeCell ref="A121:C121"/>
    <mergeCell ref="A122:C122"/>
    <mergeCell ref="A123:C123"/>
    <mergeCell ref="A124:C124"/>
    <mergeCell ref="AC104:AD104"/>
    <mergeCell ref="E105:F105"/>
    <mergeCell ref="H105:I105"/>
    <mergeCell ref="K105:L105"/>
    <mergeCell ref="N105:O105"/>
    <mergeCell ref="Q105:R105"/>
    <mergeCell ref="T105:U105"/>
    <mergeCell ref="W105:X105"/>
    <mergeCell ref="Z105:AA105"/>
    <mergeCell ref="AC105:AD105"/>
    <mergeCell ref="E104:F104"/>
    <mergeCell ref="H104:I104"/>
    <mergeCell ref="K104:L104"/>
    <mergeCell ref="N104:O104"/>
    <mergeCell ref="Q104:R104"/>
    <mergeCell ref="T104:U104"/>
    <mergeCell ref="W104:X104"/>
    <mergeCell ref="Z104:AA104"/>
    <mergeCell ref="A119:C119"/>
    <mergeCell ref="A133:C133"/>
    <mergeCell ref="A134:C134"/>
    <mergeCell ref="A135:C135"/>
    <mergeCell ref="A136:C136"/>
    <mergeCell ref="A137:C137"/>
    <mergeCell ref="A126:C126"/>
    <mergeCell ref="A127:C127"/>
    <mergeCell ref="A128:C128"/>
    <mergeCell ref="A129:C129"/>
    <mergeCell ref="A130:C130"/>
    <mergeCell ref="A131:C131"/>
    <mergeCell ref="AI77:AJ77"/>
    <mergeCell ref="A156:C156"/>
    <mergeCell ref="A157:C157"/>
    <mergeCell ref="A158:C158"/>
    <mergeCell ref="A159:C159"/>
    <mergeCell ref="A150:C150"/>
    <mergeCell ref="A151:C151"/>
    <mergeCell ref="A152:C152"/>
    <mergeCell ref="A153:C153"/>
    <mergeCell ref="A154:C154"/>
    <mergeCell ref="A155:C155"/>
    <mergeCell ref="A144:C144"/>
    <mergeCell ref="A145:C145"/>
    <mergeCell ref="A146:C146"/>
    <mergeCell ref="A147:C147"/>
    <mergeCell ref="A148:C148"/>
    <mergeCell ref="A149:C149"/>
    <mergeCell ref="A138:C138"/>
    <mergeCell ref="A139:C139"/>
    <mergeCell ref="A140:C140"/>
    <mergeCell ref="A141:C141"/>
    <mergeCell ref="A142:C142"/>
    <mergeCell ref="A143:C143"/>
    <mergeCell ref="A132:C132"/>
  </mergeCells>
  <conditionalFormatting sqref="AI6:AI15 AI45:AI70 AI72">
    <cfRule type="cellIs" dxfId="5" priority="3" operator="lessThan">
      <formula>0</formula>
    </cfRule>
  </conditionalFormatting>
  <conditionalFormatting sqref="AJ19:AJ34">
    <cfRule type="cellIs" dxfId="4" priority="2" operator="lessThan">
      <formula>0</formula>
    </cfRule>
  </conditionalFormatting>
  <conditionalFormatting sqref="AJ41:AJ45">
    <cfRule type="cellIs" dxfId="3" priority="1" operator="lessThan">
      <formula>0</formula>
    </cfRule>
  </conditionalFormatting>
  <dataValidations count="1">
    <dataValidation type="list" allowBlank="1" showInputMessage="1" showErrorMessage="1" sqref="T115:T144 N115:N131 N133:N144 O115:P144 R115:R144 Q123:Q144 Q115:Q121" xr:uid="{A93E74FC-C39E-43B8-AC58-3A962C841DB4}">
      <formula1>#REF!</formula1>
    </dataValidation>
  </dataValidations>
  <hyperlinks>
    <hyperlink ref="A79" r:id="rId1" xr:uid="{8590DFA2-37E1-448C-9225-FF09F495819D}"/>
    <hyperlink ref="A8" r:id="rId2" xr:uid="{862FFEE1-6FC6-4E4A-8D35-98AA1435C6F0}"/>
  </hyperlinks>
  <pageMargins left="0.7" right="0.7" top="0.75" bottom="0.75" header="0.3" footer="0.3"/>
  <pageSetup paperSize="9" orientation="portrait" horizontalDpi="0" verticalDpi="0"/>
  <legacyDrawing r:id="rId3"/>
  <extLst>
    <ext xmlns:x14="http://schemas.microsoft.com/office/spreadsheetml/2009/9/main" uri="{CCE6A557-97BC-4b89-ADB6-D9C93CAAB3DF}">
      <x14:dataValidations xmlns:xm="http://schemas.microsoft.com/office/excel/2006/main" count="5">
        <x14:dataValidation type="list" errorStyle="warning" allowBlank="1" showInputMessage="1" showErrorMessage="1" errorTitle="Tasetili Vastaavaa: Nrot 1-1999" xr:uid="{318EEA3D-308C-4AB8-B32A-70B12B2C1DE3}">
          <x14:formula1>
            <xm:f>Tilikartta!$A$7:$A$124</xm:f>
          </x14:formula1>
          <xm:sqref>E3:F3 H3:I3 K3:L3 N3:O3 Q3:R3 T3:U3 E14:F14 H14:I14 K14:L14 N14:O14</xm:sqref>
        </x14:dataValidation>
        <x14:dataValidation type="list" errorStyle="warning" allowBlank="1" showInputMessage="1" showErrorMessage="1" errorTitle="Tasetili Vastattava: Nrot 2-2999" xr:uid="{891FE7CC-29F9-43BE-92E1-08649408BD11}">
          <x14:formula1>
            <xm:f>Tilikartta!$A$129:$A$278</xm:f>
          </x14:formula1>
          <xm:sqref>E36:F36 H36:I36 K36:L36 N36:O36 Q36:R36 T36:U36 W36:X36 Z36:AA36 Q52:R52 N52:O52 K52:L52 H52:I52 E52:F52</xm:sqref>
        </x14:dataValidation>
        <x14:dataValidation type="list" errorStyle="warning" allowBlank="1" showInputMessage="1" showErrorMessage="1" errorTitle="Tuloslaskkelman tulot 3-3999" xr:uid="{01BF3962-44EE-441E-9590-2A02508CA8F9}">
          <x14:formula1>
            <xm:f>Tilikartta!$A$283:$A$317</xm:f>
          </x14:formula1>
          <xm:sqref>E77:F77 E92:F92 E104:F104</xm:sqref>
        </x14:dataValidation>
        <x14:dataValidation type="list" errorStyle="warning" allowBlank="1" showInputMessage="1" showErrorMessage="1" xr:uid="{63B9042D-7499-4349-9FA9-09D0EDFE5A6E}">
          <x14:formula1>
            <xm:f>Tilikartta!$A$300</xm:f>
          </x14:formula1>
          <xm:sqref>H77:I77</xm:sqref>
        </x14:dataValidation>
        <x14:dataValidation type="list" errorStyle="warning" allowBlank="1" showInputMessage="1" showErrorMessage="1" errorTitle="Kulut 4-" xr:uid="{93D6959E-B9BB-4773-8F23-C2B67AE2B8F1}">
          <x14:formula1>
            <xm:f>Tilikartta!$A$322:$A$509</xm:f>
          </x14:formula1>
          <xm:sqref>K77:L77 N77:O77 Q77:R77 T77:U77 W77:X77 Z77:AA77 AC77:AD77 H92:I92 K92:L92 N92:O92 Q92:R92 T92:U92 W92:X92 Z92:AA92 AC92:AD92 K104:L104 N104:O104 Q104:R104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F000-D797-44CE-9415-64FDB0354AE8}">
  <dimension ref="A1:CJ181"/>
  <sheetViews>
    <sheetView zoomScale="85" zoomScaleNormal="85" workbookViewId="0">
      <selection activeCell="H114" sqref="H114"/>
    </sheetView>
  </sheetViews>
  <sheetFormatPr defaultColWidth="8.85546875" defaultRowHeight="15" x14ac:dyDescent="0.25"/>
  <cols>
    <col min="1" max="1" width="24.140625" customWidth="1"/>
    <col min="2" max="2" width="9.28515625" customWidth="1"/>
    <col min="3" max="3" width="11.5703125" customWidth="1"/>
    <col min="4" max="4" width="9.7109375" customWidth="1"/>
    <col min="5" max="5" width="12.5703125" customWidth="1"/>
    <col min="6" max="6" width="14.5703125" customWidth="1"/>
    <col min="7" max="7" width="5.140625" customWidth="1"/>
    <col min="8" max="8" width="13.7109375" customWidth="1"/>
    <col min="9" max="9" width="11.85546875" customWidth="1"/>
    <col min="10" max="10" width="6.140625" customWidth="1"/>
    <col min="11" max="11" width="12.85546875" bestFit="1" customWidth="1"/>
    <col min="12" max="12" width="12.28515625" customWidth="1"/>
    <col min="13" max="13" width="4.85546875" customWidth="1"/>
    <col min="14" max="14" width="13.5703125" customWidth="1"/>
    <col min="15" max="15" width="13.28515625" customWidth="1"/>
    <col min="16" max="16" width="5.28515625" customWidth="1"/>
    <col min="17" max="17" width="15.85546875" customWidth="1"/>
    <col min="18" max="18" width="16.28515625" customWidth="1"/>
    <col min="19" max="19" width="5.28515625" customWidth="1"/>
    <col min="20" max="20" width="11.85546875" bestFit="1" customWidth="1"/>
    <col min="21" max="21" width="11.85546875" customWidth="1"/>
    <col min="22" max="22" width="4.7109375" customWidth="1"/>
    <col min="23" max="23" width="12.28515625" customWidth="1"/>
    <col min="24" max="24" width="15.28515625" customWidth="1"/>
    <col min="25" max="25" width="5.85546875" customWidth="1"/>
    <col min="26" max="26" width="12" customWidth="1"/>
    <col min="27" max="27" width="12.28515625" customWidth="1"/>
    <col min="28" max="28" width="5.28515625" customWidth="1"/>
    <col min="29" max="30" width="12.28515625" customWidth="1"/>
    <col min="31" max="31" width="7.85546875" customWidth="1"/>
    <col min="32" max="32" width="3.85546875" customWidth="1"/>
    <col min="33" max="33" width="19.28515625" customWidth="1"/>
    <col min="34" max="34" width="8" customWidth="1"/>
    <col min="35" max="35" width="17.28515625" customWidth="1"/>
    <col min="36" max="36" width="21" customWidth="1"/>
    <col min="37" max="37" width="3.85546875" customWidth="1"/>
    <col min="42" max="42" width="4.28515625" customWidth="1"/>
    <col min="43" max="43" width="4.140625" customWidth="1"/>
    <col min="47" max="47" width="14.140625" customWidth="1"/>
    <col min="48" max="48" width="14.28515625" customWidth="1"/>
    <col min="49" max="49" width="14.7109375" customWidth="1"/>
  </cols>
  <sheetData>
    <row r="1" spans="1:49" x14ac:dyDescent="0.25">
      <c r="A1" t="s">
        <v>89</v>
      </c>
      <c r="B1" s="190" t="s">
        <v>171</v>
      </c>
      <c r="C1" s="190"/>
      <c r="D1" s="190"/>
      <c r="E1" s="190"/>
    </row>
    <row r="2" spans="1:49" x14ac:dyDescent="0.25">
      <c r="A2" s="1" t="s">
        <v>0</v>
      </c>
      <c r="B2" s="1"/>
    </row>
    <row r="3" spans="1:49" ht="15.75" thickBot="1" x14ac:dyDescent="0.3">
      <c r="E3" s="178"/>
      <c r="F3" s="179"/>
      <c r="H3" s="178"/>
      <c r="I3" s="179"/>
      <c r="K3" s="178"/>
      <c r="L3" s="179"/>
      <c r="N3" s="178"/>
      <c r="O3" s="179"/>
      <c r="Q3" s="178"/>
      <c r="R3" s="179"/>
      <c r="T3" s="178"/>
      <c r="U3" s="179"/>
    </row>
    <row r="4" spans="1:49" ht="15.75" thickBot="1" x14ac:dyDescent="0.3">
      <c r="A4" s="1" t="s">
        <v>1</v>
      </c>
      <c r="B4" s="1"/>
      <c r="E4" s="180" t="s">
        <v>2</v>
      </c>
      <c r="F4" s="181"/>
      <c r="H4" s="180" t="s">
        <v>3</v>
      </c>
      <c r="I4" s="181"/>
      <c r="K4" s="180" t="s">
        <v>70</v>
      </c>
      <c r="L4" s="181"/>
      <c r="N4" s="188" t="s">
        <v>125</v>
      </c>
      <c r="O4" s="189"/>
      <c r="Q4" s="180" t="s">
        <v>97</v>
      </c>
      <c r="R4" s="181"/>
      <c r="T4" s="180" t="s">
        <v>6</v>
      </c>
      <c r="U4" s="181"/>
      <c r="AB4" s="25"/>
      <c r="AC4" s="25"/>
      <c r="AD4" s="25"/>
      <c r="AE4" s="25"/>
      <c r="AG4" s="38"/>
      <c r="AH4" s="170" t="s">
        <v>44</v>
      </c>
      <c r="AI4" s="171"/>
      <c r="AJ4" s="171"/>
      <c r="AK4" s="172"/>
      <c r="AL4" s="38"/>
      <c r="AM4" s="38"/>
      <c r="AN4" s="38"/>
      <c r="AO4" s="38"/>
      <c r="AP4" s="28" t="s">
        <v>44</v>
      </c>
      <c r="AQ4" s="38"/>
      <c r="AR4" s="38"/>
      <c r="AS4" s="38"/>
      <c r="AT4" s="38"/>
      <c r="AU4" s="38"/>
      <c r="AV4" s="38"/>
      <c r="AW4" s="38"/>
    </row>
    <row r="5" spans="1:49" ht="15.75" thickBot="1" x14ac:dyDescent="0.3">
      <c r="A5" s="2" t="s">
        <v>9</v>
      </c>
      <c r="D5" s="3" t="s">
        <v>10</v>
      </c>
      <c r="E5" s="4" t="s">
        <v>95</v>
      </c>
      <c r="F5" s="5" t="s">
        <v>94</v>
      </c>
      <c r="G5" s="3" t="s">
        <v>10</v>
      </c>
      <c r="H5" s="4" t="s">
        <v>95</v>
      </c>
      <c r="I5" s="5" t="s">
        <v>94</v>
      </c>
      <c r="J5" s="3" t="s">
        <v>10</v>
      </c>
      <c r="K5" s="4" t="s">
        <v>95</v>
      </c>
      <c r="L5" s="5" t="s">
        <v>94</v>
      </c>
      <c r="M5" s="3" t="s">
        <v>10</v>
      </c>
      <c r="N5" s="77" t="s">
        <v>95</v>
      </c>
      <c r="O5" s="5" t="s">
        <v>94</v>
      </c>
      <c r="P5" s="3" t="s">
        <v>10</v>
      </c>
      <c r="Q5" s="4" t="s">
        <v>95</v>
      </c>
      <c r="R5" s="5" t="s">
        <v>94</v>
      </c>
      <c r="S5" s="3" t="s">
        <v>10</v>
      </c>
      <c r="T5" s="4" t="s">
        <v>95</v>
      </c>
      <c r="U5" s="5" t="s">
        <v>94</v>
      </c>
      <c r="AB5" s="54"/>
      <c r="AC5" s="54"/>
      <c r="AD5" s="54"/>
      <c r="AE5" s="54"/>
      <c r="AG5" s="38"/>
      <c r="AH5" s="174" t="s">
        <v>87</v>
      </c>
      <c r="AI5" s="175"/>
      <c r="AJ5" s="176" t="s">
        <v>88</v>
      </c>
      <c r="AK5" s="177"/>
      <c r="AL5" s="38"/>
      <c r="AM5" s="38"/>
      <c r="AN5" s="38"/>
      <c r="AO5" s="38"/>
      <c r="AP5" s="38" t="s">
        <v>1</v>
      </c>
      <c r="AQ5" s="38"/>
      <c r="AR5" s="38"/>
      <c r="AS5" s="38"/>
      <c r="AT5" s="38"/>
      <c r="AU5" s="38"/>
      <c r="AV5" s="38"/>
      <c r="AW5" s="38"/>
    </row>
    <row r="6" spans="1:49" x14ac:dyDescent="0.25">
      <c r="E6" s="6"/>
      <c r="F6" s="7"/>
      <c r="H6" s="6"/>
      <c r="I6" s="7"/>
      <c r="K6" s="6"/>
      <c r="L6" s="7"/>
      <c r="N6" s="6"/>
      <c r="O6" s="7"/>
      <c r="Q6" s="6"/>
      <c r="R6" s="7"/>
      <c r="T6" s="6"/>
      <c r="U6" s="7"/>
      <c r="AB6" s="7"/>
      <c r="AC6" s="7"/>
      <c r="AD6" s="7"/>
      <c r="AE6" s="7"/>
      <c r="AG6" s="44" t="str">
        <f>E4</f>
        <v>Maa-alueet</v>
      </c>
      <c r="AH6" s="38"/>
      <c r="AI6" s="42">
        <f>F13</f>
        <v>0</v>
      </c>
      <c r="AK6" s="38"/>
      <c r="AM6" s="38"/>
      <c r="AN6" s="38"/>
      <c r="AO6" s="38"/>
      <c r="AP6" s="38" t="s">
        <v>67</v>
      </c>
      <c r="AQ6" s="38"/>
      <c r="AR6" s="38"/>
      <c r="AS6" s="38"/>
      <c r="AT6" s="38"/>
      <c r="AU6" s="38"/>
      <c r="AV6" s="38"/>
      <c r="AW6" s="38"/>
    </row>
    <row r="7" spans="1:49" x14ac:dyDescent="0.25">
      <c r="E7" s="8"/>
      <c r="F7" s="7"/>
      <c r="H7" s="8"/>
      <c r="I7" s="7"/>
      <c r="K7" s="8"/>
      <c r="L7" s="7"/>
      <c r="M7" s="9"/>
      <c r="N7" s="8"/>
      <c r="O7" s="7"/>
      <c r="P7" s="9"/>
      <c r="Q7" s="8"/>
      <c r="R7" s="7"/>
      <c r="T7" s="8"/>
      <c r="U7" s="7"/>
      <c r="AB7" s="7"/>
      <c r="AC7" s="7"/>
      <c r="AD7" s="7"/>
      <c r="AE7" s="7"/>
      <c r="AG7" s="44" t="str">
        <f>H4</f>
        <v>Rakenukset</v>
      </c>
      <c r="AH7" s="38"/>
      <c r="AI7" s="42">
        <f>I13</f>
        <v>0</v>
      </c>
      <c r="AK7" s="38"/>
      <c r="AM7" s="38"/>
      <c r="AN7" s="38"/>
      <c r="AO7" s="38"/>
      <c r="AP7" s="38" t="s">
        <v>69</v>
      </c>
      <c r="AQ7" s="38"/>
      <c r="AR7" s="38"/>
      <c r="AS7" s="38"/>
      <c r="AT7" s="38"/>
      <c r="AU7" s="38"/>
      <c r="AV7" s="38"/>
      <c r="AW7" s="38"/>
    </row>
    <row r="8" spans="1:49" x14ac:dyDescent="0.25">
      <c r="E8" s="8"/>
      <c r="F8" s="7"/>
      <c r="H8" s="8"/>
      <c r="I8" s="7"/>
      <c r="K8" s="8"/>
      <c r="L8" s="7"/>
      <c r="N8" s="8"/>
      <c r="O8" s="7"/>
      <c r="Q8" s="8"/>
      <c r="R8" s="7"/>
      <c r="T8" s="8"/>
      <c r="U8" s="7"/>
      <c r="AB8" s="7"/>
      <c r="AC8" s="7"/>
      <c r="AD8" s="7"/>
      <c r="AE8" s="7"/>
      <c r="AG8" s="44" t="str">
        <f>K4</f>
        <v>Koneet ja kalusto</v>
      </c>
      <c r="AH8" s="38"/>
      <c r="AI8" s="42">
        <f>IF(L13&gt;0,L13,IF(K13&gt;0,K13*-1,0))</f>
        <v>0</v>
      </c>
      <c r="AK8" s="38"/>
      <c r="AM8" s="38"/>
      <c r="AN8" s="38"/>
      <c r="AO8" s="38"/>
      <c r="AP8" s="38" t="s">
        <v>75</v>
      </c>
      <c r="AQ8" s="38"/>
      <c r="AR8" s="38"/>
      <c r="AS8" s="38"/>
      <c r="AT8" s="38"/>
      <c r="AU8" s="38"/>
      <c r="AV8" s="38"/>
      <c r="AW8" s="38"/>
    </row>
    <row r="9" spans="1:49" x14ac:dyDescent="0.25">
      <c r="E9" s="8"/>
      <c r="F9" s="7"/>
      <c r="H9" s="8"/>
      <c r="I9" s="7"/>
      <c r="K9" s="8"/>
      <c r="L9" s="7"/>
      <c r="N9" s="8"/>
      <c r="O9" s="7"/>
      <c r="Q9" s="8"/>
      <c r="R9" s="7"/>
      <c r="T9" s="8"/>
      <c r="U9" s="7"/>
      <c r="AB9" s="7"/>
      <c r="AC9" s="7"/>
      <c r="AD9" s="7"/>
      <c r="AE9" s="7"/>
      <c r="AG9" s="44" t="str">
        <f>N4</f>
        <v>Aine ja tarvikevarasto 1</v>
      </c>
      <c r="AH9" s="38"/>
      <c r="AI9" s="42">
        <f>IF(O13&gt;0,O13,IF(N13&gt;0,N13*-1,0))</f>
        <v>0</v>
      </c>
      <c r="AK9" s="38"/>
      <c r="AM9" s="38"/>
      <c r="AN9" s="38"/>
      <c r="AO9" s="38"/>
      <c r="AP9" s="38"/>
      <c r="AQ9" s="38" t="s">
        <v>71</v>
      </c>
      <c r="AR9" s="38"/>
      <c r="AS9" s="38"/>
      <c r="AT9" s="38"/>
      <c r="AU9" s="38"/>
      <c r="AV9" s="49">
        <f>AI6</f>
        <v>0</v>
      </c>
      <c r="AW9" s="38"/>
    </row>
    <row r="10" spans="1:49" x14ac:dyDescent="0.25">
      <c r="E10" s="8"/>
      <c r="F10" s="7"/>
      <c r="H10" s="8"/>
      <c r="I10" s="7"/>
      <c r="K10" s="8"/>
      <c r="L10" s="7"/>
      <c r="N10" s="8"/>
      <c r="O10" s="7"/>
      <c r="Q10" s="8"/>
      <c r="R10" s="7"/>
      <c r="T10" s="8"/>
      <c r="U10" s="7"/>
      <c r="AB10" s="7"/>
      <c r="AC10" s="7"/>
      <c r="AD10" s="7"/>
      <c r="AE10" s="7"/>
      <c r="AG10" s="44" t="str">
        <f>Q4</f>
        <v>Valmiit tuotteet varasto 2</v>
      </c>
      <c r="AH10" s="38"/>
      <c r="AI10" s="42">
        <f>IF(R13&gt;0,R13,IF(Q13&gt;0,Q13*-1,0))</f>
        <v>0</v>
      </c>
      <c r="AK10" s="38"/>
      <c r="AM10" s="38"/>
      <c r="AN10" s="38"/>
      <c r="AO10" s="38"/>
      <c r="AP10" s="38"/>
      <c r="AQ10" s="38" t="s">
        <v>68</v>
      </c>
      <c r="AR10" s="38"/>
      <c r="AS10" s="38"/>
      <c r="AT10" s="38"/>
      <c r="AU10" s="38"/>
      <c r="AV10" s="49">
        <f>AI7</f>
        <v>0</v>
      </c>
      <c r="AW10" s="38"/>
    </row>
    <row r="11" spans="1:49" x14ac:dyDescent="0.25">
      <c r="E11" s="8"/>
      <c r="F11" s="7"/>
      <c r="H11" s="8"/>
      <c r="I11" s="7"/>
      <c r="K11" s="8"/>
      <c r="L11" s="7"/>
      <c r="N11" s="8"/>
      <c r="O11" s="7"/>
      <c r="Q11" s="8"/>
      <c r="R11" s="7"/>
      <c r="T11" s="8"/>
      <c r="U11" s="7"/>
      <c r="AB11" s="7"/>
      <c r="AC11" s="7"/>
      <c r="AD11" s="7"/>
      <c r="AE11" s="7"/>
      <c r="AG11" s="44" t="str">
        <f>T4</f>
        <v>Muut saamiset</v>
      </c>
      <c r="AH11" s="38"/>
      <c r="AI11" s="42">
        <f>U13</f>
        <v>0</v>
      </c>
      <c r="AK11" s="38"/>
      <c r="AM11" s="38"/>
      <c r="AN11" s="38"/>
      <c r="AO11" s="38"/>
      <c r="AP11" s="38"/>
      <c r="AQ11" s="38" t="s">
        <v>70</v>
      </c>
      <c r="AR11" s="38"/>
      <c r="AS11" s="38"/>
      <c r="AT11" s="38"/>
      <c r="AU11" s="38"/>
      <c r="AV11" s="49">
        <f>AI8</f>
        <v>0</v>
      </c>
      <c r="AW11" s="38"/>
    </row>
    <row r="12" spans="1:49" ht="15.75" thickBot="1" x14ac:dyDescent="0.3">
      <c r="E12" s="16">
        <f>SUM(E6:E11)</f>
        <v>0</v>
      </c>
      <c r="F12" s="16">
        <f>SUM(F6:F11)</f>
        <v>0</v>
      </c>
      <c r="H12" s="16">
        <f>SUM(H6:H11)</f>
        <v>0</v>
      </c>
      <c r="I12" s="16">
        <f>SUM(I6:I11)</f>
        <v>0</v>
      </c>
      <c r="K12" s="16">
        <f>SUM(K6:K11)</f>
        <v>0</v>
      </c>
      <c r="L12" s="16">
        <f>SUM(L6:L11)</f>
        <v>0</v>
      </c>
      <c r="N12" s="16">
        <f>SUM(N6:N11)</f>
        <v>0</v>
      </c>
      <c r="O12" s="16">
        <f>SUM(O6:O11)</f>
        <v>0</v>
      </c>
      <c r="Q12" s="16">
        <f>SUM(Q6:Q11)</f>
        <v>0</v>
      </c>
      <c r="R12" s="16">
        <f>SUM(R6:R11)</f>
        <v>0</v>
      </c>
      <c r="T12" s="16">
        <f>SUM(T6:T11)</f>
        <v>0</v>
      </c>
      <c r="U12" s="16">
        <f>SUM(U6:U11)</f>
        <v>0</v>
      </c>
      <c r="AB12" s="55"/>
      <c r="AC12" s="55"/>
      <c r="AD12" s="55"/>
      <c r="AE12" s="55"/>
      <c r="AG12" s="44" t="str">
        <f>E15</f>
        <v>Myyntisaamiset</v>
      </c>
      <c r="AH12" s="38"/>
      <c r="AI12" s="42">
        <f>F34</f>
        <v>0</v>
      </c>
      <c r="AK12" s="38"/>
      <c r="AM12" s="38"/>
      <c r="AN12" s="38"/>
      <c r="AO12" s="38"/>
      <c r="AP12" s="38"/>
      <c r="AQ12" s="38" t="s">
        <v>72</v>
      </c>
      <c r="AR12" s="38"/>
      <c r="AS12" s="38"/>
      <c r="AT12" s="38"/>
      <c r="AU12" s="38"/>
      <c r="AV12" s="52">
        <f>0</f>
        <v>0</v>
      </c>
      <c r="AW12" s="38"/>
    </row>
    <row r="13" spans="1:49" ht="15.75" thickTop="1" x14ac:dyDescent="0.25">
      <c r="E13" s="10">
        <f>IF(E12&lt;F12,F12-E12,0)</f>
        <v>0</v>
      </c>
      <c r="F13" s="10">
        <f>IF(F12&lt;E12,E12-F12,0)</f>
        <v>0</v>
      </c>
      <c r="H13" s="10">
        <f>IF(H12&lt;I12,I12-H12,0)</f>
        <v>0</v>
      </c>
      <c r="I13" s="10">
        <f>IF(I12&lt;H12,H12-I12,0)</f>
        <v>0</v>
      </c>
      <c r="K13" s="10">
        <f>IF(K12&lt;L12,L12-K12,0)</f>
        <v>0</v>
      </c>
      <c r="L13" s="10">
        <f>IF(L12&lt;K12,K12-L12,0)</f>
        <v>0</v>
      </c>
      <c r="N13" s="10">
        <f>IF(N12&lt;O12,O12-N12,0)</f>
        <v>0</v>
      </c>
      <c r="O13" s="10">
        <f>IF(O12&lt;N12,N12-O12,0)</f>
        <v>0</v>
      </c>
      <c r="Q13" s="10">
        <f>IF(Q12&lt;R12,R12-Q12,0)</f>
        <v>0</v>
      </c>
      <c r="R13" s="10">
        <f>IF(R12&lt;Q12,Q12-R12,0)</f>
        <v>0</v>
      </c>
      <c r="T13" s="10">
        <f>IF(T12&lt;U12,U12-T12,0)</f>
        <v>0</v>
      </c>
      <c r="U13" s="10">
        <f>IF(U12&lt;T12,T12-U12,0)</f>
        <v>0</v>
      </c>
      <c r="AB13" s="20"/>
      <c r="AC13" s="20"/>
      <c r="AD13" s="20"/>
      <c r="AE13" s="20"/>
      <c r="AG13" s="44" t="str">
        <f>H15</f>
        <v>Siirtosaamiset</v>
      </c>
      <c r="AH13" s="38"/>
      <c r="AI13" s="42">
        <f>I34</f>
        <v>0</v>
      </c>
      <c r="AK13" s="38"/>
      <c r="AM13" s="38"/>
      <c r="AN13" s="38"/>
      <c r="AO13" s="38"/>
      <c r="AP13" s="38" t="s">
        <v>73</v>
      </c>
      <c r="AQ13" s="38"/>
      <c r="AR13" s="38"/>
      <c r="AS13" s="38"/>
      <c r="AT13" s="38"/>
      <c r="AU13" s="38"/>
      <c r="AV13" s="38"/>
      <c r="AW13" s="38"/>
    </row>
    <row r="14" spans="1:49" ht="15.75" thickBot="1" x14ac:dyDescent="0.3">
      <c r="E14" s="178"/>
      <c r="F14" s="179"/>
      <c r="H14" s="178"/>
      <c r="I14" s="179"/>
      <c r="K14" s="178"/>
      <c r="L14" s="179"/>
      <c r="N14" s="178"/>
      <c r="O14" s="179"/>
      <c r="AG14" s="44" t="str">
        <f>K15</f>
        <v>Kassa</v>
      </c>
      <c r="AH14" s="38"/>
      <c r="AI14" s="42">
        <f>IF(L34&gt;0,L34,IF(K34&gt;0,K34*-1,0))</f>
        <v>0</v>
      </c>
      <c r="AK14" s="38"/>
      <c r="AM14" s="38"/>
      <c r="AN14" s="38"/>
      <c r="AO14" s="38"/>
      <c r="AP14" s="38"/>
      <c r="AQ14" s="38" t="s">
        <v>5</v>
      </c>
      <c r="AR14" s="38"/>
      <c r="AS14" s="38"/>
      <c r="AT14" s="38"/>
      <c r="AU14" s="38"/>
      <c r="AV14" s="49">
        <f>AI9</f>
        <v>0</v>
      </c>
      <c r="AW14" s="38"/>
    </row>
    <row r="15" spans="1:49" ht="15.75" thickBot="1" x14ac:dyDescent="0.3">
      <c r="E15" s="180" t="s">
        <v>7</v>
      </c>
      <c r="F15" s="181"/>
      <c r="H15" s="180" t="s">
        <v>8</v>
      </c>
      <c r="I15" s="181"/>
      <c r="K15" s="180" t="s">
        <v>11</v>
      </c>
      <c r="L15" s="181"/>
      <c r="N15" s="188" t="s">
        <v>191</v>
      </c>
      <c r="O15" s="189"/>
      <c r="AG15" s="44" t="str">
        <f>N15</f>
        <v>Pankkitili Nordea-1234567</v>
      </c>
      <c r="AH15" s="38"/>
      <c r="AI15" s="42">
        <f>IF(O34&gt;0,O34,IF(N34&gt;0,N34*-1,0))</f>
        <v>0</v>
      </c>
      <c r="AK15" s="38"/>
      <c r="AM15" s="38"/>
      <c r="AN15" s="38"/>
      <c r="AO15" s="38"/>
      <c r="AP15" s="38"/>
      <c r="AQ15" s="38" t="s">
        <v>74</v>
      </c>
      <c r="AR15" s="38"/>
      <c r="AS15" s="38"/>
      <c r="AT15" s="38"/>
      <c r="AU15" s="38"/>
      <c r="AV15" s="49">
        <f>AI10</f>
        <v>0</v>
      </c>
      <c r="AW15" s="38"/>
    </row>
    <row r="16" spans="1:49" ht="15.75" thickBot="1" x14ac:dyDescent="0.3">
      <c r="D16" s="3" t="s">
        <v>10</v>
      </c>
      <c r="E16" s="4" t="s">
        <v>95</v>
      </c>
      <c r="F16" s="5" t="s">
        <v>94</v>
      </c>
      <c r="G16" s="3" t="s">
        <v>10</v>
      </c>
      <c r="H16" s="4" t="s">
        <v>95</v>
      </c>
      <c r="I16" s="5" t="s">
        <v>94</v>
      </c>
      <c r="J16" s="3" t="s">
        <v>10</v>
      </c>
      <c r="K16" s="4" t="s">
        <v>95</v>
      </c>
      <c r="L16" s="5" t="s">
        <v>94</v>
      </c>
      <c r="M16" s="3" t="s">
        <v>10</v>
      </c>
      <c r="N16" s="4" t="s">
        <v>95</v>
      </c>
      <c r="O16" s="5" t="s">
        <v>94</v>
      </c>
      <c r="AG16" s="38"/>
      <c r="AH16" s="38"/>
      <c r="AI16" s="42">
        <f>O130</f>
        <v>0</v>
      </c>
      <c r="AK16" s="38"/>
      <c r="AM16" s="38"/>
      <c r="AN16" s="38"/>
      <c r="AO16" s="38"/>
      <c r="AP16" s="38"/>
      <c r="AQ16" s="38" t="s">
        <v>7</v>
      </c>
      <c r="AR16" s="38"/>
      <c r="AS16" s="38"/>
      <c r="AT16" s="38"/>
      <c r="AU16" s="38"/>
      <c r="AV16" s="49">
        <f>AI12</f>
        <v>0</v>
      </c>
      <c r="AW16" s="38"/>
    </row>
    <row r="17" spans="5:49" x14ac:dyDescent="0.25">
      <c r="E17" s="6"/>
      <c r="F17" s="7"/>
      <c r="H17" s="6"/>
      <c r="I17" s="7"/>
      <c r="K17" s="6"/>
      <c r="L17" s="7"/>
      <c r="N17" s="6"/>
      <c r="O17" s="7"/>
      <c r="AG17" s="38"/>
      <c r="AH17" s="38"/>
      <c r="AI17" s="42">
        <f>L142</f>
        <v>0</v>
      </c>
      <c r="AK17" s="38"/>
      <c r="AM17" s="38"/>
      <c r="AN17" s="38"/>
      <c r="AO17" s="38"/>
      <c r="AP17" s="38"/>
      <c r="AQ17" s="38" t="s">
        <v>76</v>
      </c>
      <c r="AR17" s="38"/>
      <c r="AS17" s="38"/>
      <c r="AT17" s="38"/>
      <c r="AU17" s="38"/>
      <c r="AV17" s="49">
        <f>AI11</f>
        <v>0</v>
      </c>
      <c r="AW17" s="38"/>
    </row>
    <row r="18" spans="5:49" x14ac:dyDescent="0.25">
      <c r="E18" s="8"/>
      <c r="F18" s="7"/>
      <c r="H18" s="8"/>
      <c r="I18" s="7"/>
      <c r="K18" s="8"/>
      <c r="L18" s="7"/>
      <c r="N18" s="8"/>
      <c r="O18" s="7"/>
      <c r="AG18" s="38"/>
      <c r="AH18" s="38"/>
      <c r="AI18" s="42">
        <f>R130</f>
        <v>0</v>
      </c>
      <c r="AJ18" s="38"/>
      <c r="AK18" s="38"/>
      <c r="AL18" s="38"/>
      <c r="AM18" s="38"/>
      <c r="AN18" s="38"/>
      <c r="AO18" s="38"/>
      <c r="AP18" s="38"/>
      <c r="AQ18" s="38" t="s">
        <v>8</v>
      </c>
      <c r="AR18" s="38"/>
      <c r="AS18" s="38"/>
      <c r="AT18" s="38"/>
      <c r="AU18" s="38"/>
      <c r="AV18" s="49">
        <f>AI13</f>
        <v>0</v>
      </c>
      <c r="AW18" s="38"/>
    </row>
    <row r="19" spans="5:49" x14ac:dyDescent="0.25">
      <c r="E19" s="8"/>
      <c r="F19" s="7"/>
      <c r="H19" s="8"/>
      <c r="I19" s="7"/>
      <c r="K19" s="11"/>
      <c r="L19" s="12"/>
      <c r="N19" s="8"/>
      <c r="O19" s="7"/>
      <c r="AG19" s="38"/>
      <c r="AH19" s="38"/>
      <c r="AI19" s="42"/>
      <c r="AJ19" s="41">
        <f>E50</f>
        <v>0</v>
      </c>
      <c r="AK19" s="38"/>
      <c r="AL19" s="38" t="str">
        <f>E37</f>
        <v>Osakepääoma</v>
      </c>
      <c r="AM19" s="38"/>
      <c r="AN19" s="38"/>
      <c r="AO19" s="38"/>
      <c r="AP19" s="38"/>
      <c r="AQ19" s="38" t="s">
        <v>77</v>
      </c>
      <c r="AR19" s="38"/>
      <c r="AS19" s="38"/>
      <c r="AT19" s="38"/>
      <c r="AU19" s="38"/>
      <c r="AV19" s="49">
        <f>AI14+AI15</f>
        <v>0</v>
      </c>
      <c r="AW19" s="38"/>
    </row>
    <row r="20" spans="5:49" x14ac:dyDescent="0.25">
      <c r="E20" s="8"/>
      <c r="F20" s="7"/>
      <c r="H20" s="8"/>
      <c r="I20" s="7"/>
      <c r="K20" s="8"/>
      <c r="N20" s="8"/>
      <c r="O20" s="7"/>
      <c r="AG20" s="38"/>
      <c r="AH20" s="38"/>
      <c r="AI20" s="42"/>
      <c r="AJ20" s="41">
        <f>IF(H50&gt;0,H50,IF(I50&gt;0,I50*-1,0))</f>
        <v>0</v>
      </c>
      <c r="AK20" s="38"/>
      <c r="AL20" s="38" t="str">
        <f>H37</f>
        <v>Ed. tilikausien voitot/Tappiot</v>
      </c>
      <c r="AM20" s="38"/>
      <c r="AN20" s="38"/>
      <c r="AO20" s="38"/>
      <c r="AP20" s="28" t="s">
        <v>83</v>
      </c>
      <c r="AQ20" s="38"/>
      <c r="AR20" s="38"/>
      <c r="AS20" s="38"/>
      <c r="AT20" s="38"/>
      <c r="AU20" s="38"/>
      <c r="AV20" s="86">
        <f>SUM(AV9:AV19)</f>
        <v>0</v>
      </c>
      <c r="AW20" s="38"/>
    </row>
    <row r="21" spans="5:49" x14ac:dyDescent="0.25">
      <c r="E21" s="8"/>
      <c r="H21" s="8"/>
      <c r="I21" s="7"/>
      <c r="K21" s="8">
        <v>0</v>
      </c>
      <c r="L21" s="7"/>
      <c r="N21" s="69"/>
      <c r="O21" s="7"/>
      <c r="AG21" s="59"/>
      <c r="AH21" s="38"/>
      <c r="AI21" s="42"/>
      <c r="AJ21" s="41">
        <f>IF(K50&gt;0,K50,IF(L50&gt;0,L50*-1,0))</f>
        <v>0</v>
      </c>
      <c r="AK21" s="38"/>
      <c r="AL21" s="38" t="str">
        <f>K37&amp;" tai tappio"</f>
        <v>Tilikauden voitto tai tappio</v>
      </c>
      <c r="AM21" s="38"/>
      <c r="AN21" s="38"/>
      <c r="AO21" s="38"/>
      <c r="AP21" s="38"/>
      <c r="AQ21" s="38"/>
      <c r="AR21" s="38"/>
      <c r="AS21" s="38"/>
      <c r="AT21" s="38"/>
      <c r="AU21" s="38"/>
      <c r="AV21" s="38"/>
      <c r="AW21" s="38"/>
    </row>
    <row r="22" spans="5:49" x14ac:dyDescent="0.25">
      <c r="E22" s="8"/>
      <c r="F22" s="7"/>
      <c r="H22" s="8"/>
      <c r="I22" s="7"/>
      <c r="K22" s="8"/>
      <c r="L22" s="7"/>
      <c r="N22" s="8"/>
      <c r="O22" s="7"/>
      <c r="AG22" s="38"/>
      <c r="AH22" s="38"/>
      <c r="AI22" s="42"/>
      <c r="AJ22" s="41">
        <f>IF(N50&gt;0,N50,IF(O50&gt;0,O50*-1,0))</f>
        <v>0</v>
      </c>
      <c r="AK22" s="38"/>
      <c r="AL22" s="38" t="str">
        <f>N37</f>
        <v>Poistoero</v>
      </c>
      <c r="AM22" s="38"/>
      <c r="AN22" s="38"/>
      <c r="AO22" s="38"/>
      <c r="AP22" s="38" t="s">
        <v>13</v>
      </c>
      <c r="AQ22" s="38"/>
      <c r="AR22" s="38"/>
      <c r="AS22" s="38"/>
      <c r="AT22" s="38"/>
      <c r="AU22" s="38"/>
      <c r="AV22" s="38"/>
      <c r="AW22" s="38"/>
    </row>
    <row r="23" spans="5:49" x14ac:dyDescent="0.25">
      <c r="E23" s="8"/>
      <c r="F23" s="7"/>
      <c r="H23" s="8"/>
      <c r="I23" s="7"/>
      <c r="K23" s="8"/>
      <c r="L23" s="7"/>
      <c r="N23" s="8"/>
      <c r="O23" s="7"/>
      <c r="AG23" s="38"/>
      <c r="AH23" s="38"/>
      <c r="AI23" s="42"/>
      <c r="AJ23" s="41">
        <f>Q50</f>
        <v>0</v>
      </c>
      <c r="AK23" s="38"/>
      <c r="AL23" s="38" t="str">
        <f>Q37</f>
        <v>Laina pitkäaik.</v>
      </c>
      <c r="AM23" s="38"/>
      <c r="AN23" s="38"/>
      <c r="AO23" s="38"/>
      <c r="AP23" s="38" t="s">
        <v>78</v>
      </c>
      <c r="AQ23" s="38"/>
      <c r="AR23" s="38"/>
      <c r="AS23" s="38"/>
      <c r="AT23" s="38"/>
      <c r="AU23" s="38"/>
      <c r="AV23" s="38"/>
      <c r="AW23" s="38"/>
    </row>
    <row r="24" spans="5:49" x14ac:dyDescent="0.25">
      <c r="E24" s="8"/>
      <c r="F24" s="7"/>
      <c r="H24" s="8"/>
      <c r="I24" s="7"/>
      <c r="K24" s="8"/>
      <c r="L24" s="7"/>
      <c r="N24" s="8"/>
      <c r="O24" s="7"/>
      <c r="AG24" s="38"/>
      <c r="AH24" s="38"/>
      <c r="AI24" s="42"/>
      <c r="AJ24" s="41">
        <f>T50</f>
        <v>0</v>
      </c>
      <c r="AK24" s="38"/>
      <c r="AL24" s="38" t="str">
        <f>T37</f>
        <v>Laina lyhytaik.</v>
      </c>
      <c r="AM24" s="38"/>
      <c r="AN24" s="38"/>
      <c r="AO24" s="38"/>
      <c r="AQ24" s="38" t="s">
        <v>15</v>
      </c>
      <c r="AR24" s="38"/>
      <c r="AS24" s="38"/>
      <c r="AT24" s="38"/>
      <c r="AU24" s="38"/>
      <c r="AV24" s="49">
        <f>AJ19</f>
        <v>0</v>
      </c>
      <c r="AW24" s="38"/>
    </row>
    <row r="25" spans="5:49" x14ac:dyDescent="0.25">
      <c r="E25" s="8"/>
      <c r="F25" s="7"/>
      <c r="H25" s="8"/>
      <c r="I25" s="7"/>
      <c r="K25" s="8"/>
      <c r="L25" s="7">
        <v>0</v>
      </c>
      <c r="N25" s="8"/>
      <c r="O25" s="7"/>
      <c r="AG25" s="38"/>
      <c r="AH25" s="38"/>
      <c r="AI25" s="42"/>
      <c r="AJ25" s="41">
        <f>W50</f>
        <v>0</v>
      </c>
      <c r="AK25" s="38"/>
      <c r="AL25" s="38" t="str">
        <f>W37</f>
        <v>Ostovelat</v>
      </c>
      <c r="AM25" s="38"/>
      <c r="AN25" s="38"/>
      <c r="AO25" s="38"/>
      <c r="AP25" s="38"/>
      <c r="AQ25" t="s">
        <v>108</v>
      </c>
      <c r="AV25" s="60">
        <f>AJ28</f>
        <v>0</v>
      </c>
      <c r="AW25" s="38"/>
    </row>
    <row r="26" spans="5:49" x14ac:dyDescent="0.25">
      <c r="E26" s="8"/>
      <c r="F26" s="7"/>
      <c r="H26" s="8"/>
      <c r="I26" s="7"/>
      <c r="K26" s="8"/>
      <c r="L26" s="7"/>
      <c r="N26" s="8"/>
      <c r="O26" s="7"/>
      <c r="AG26" s="38"/>
      <c r="AH26" s="38"/>
      <c r="AI26" s="42"/>
      <c r="AJ26" s="41">
        <f>Z50</f>
        <v>0</v>
      </c>
      <c r="AK26" s="38"/>
      <c r="AL26" s="38" t="str">
        <f>Z37</f>
        <v>Muut velat</v>
      </c>
      <c r="AM26" s="38"/>
      <c r="AN26" s="38"/>
      <c r="AO26" s="38"/>
      <c r="AP26" s="38"/>
      <c r="AQ26" s="38" t="s">
        <v>79</v>
      </c>
      <c r="AR26" s="38"/>
      <c r="AS26" s="38"/>
      <c r="AT26" s="38"/>
      <c r="AU26" s="38"/>
      <c r="AV26" s="49">
        <f>AJ20</f>
        <v>0</v>
      </c>
      <c r="AW26" s="38"/>
    </row>
    <row r="27" spans="5:49" x14ac:dyDescent="0.25">
      <c r="E27" s="8"/>
      <c r="F27" s="7"/>
      <c r="H27" s="8"/>
      <c r="I27" s="7"/>
      <c r="K27" s="8"/>
      <c r="L27" s="7"/>
      <c r="N27" s="8"/>
      <c r="O27" s="7">
        <v>0</v>
      </c>
      <c r="AG27" s="38"/>
      <c r="AH27" s="38"/>
      <c r="AI27" s="42"/>
      <c r="AJ27" s="41">
        <f>IF(E72&gt;0,E72,0)</f>
        <v>0</v>
      </c>
      <c r="AL27" t="str">
        <f>E53</f>
        <v>Oma pääoma</v>
      </c>
      <c r="AM27" s="38"/>
      <c r="AN27" s="38"/>
      <c r="AO27" s="38"/>
      <c r="AP27" s="38"/>
      <c r="AQ27" s="38" t="s">
        <v>16</v>
      </c>
      <c r="AR27" s="38"/>
      <c r="AS27" s="38"/>
      <c r="AT27" s="38"/>
      <c r="AU27" s="38"/>
      <c r="AV27" s="49">
        <f>AJ21</f>
        <v>0</v>
      </c>
      <c r="AW27" s="38"/>
    </row>
    <row r="28" spans="5:49" x14ac:dyDescent="0.25">
      <c r="E28" s="8"/>
      <c r="F28" s="7"/>
      <c r="H28" s="8"/>
      <c r="I28" s="7"/>
      <c r="K28" s="8"/>
      <c r="L28" s="7"/>
      <c r="N28" s="8"/>
      <c r="O28" s="7"/>
      <c r="AG28" s="38"/>
      <c r="AH28" s="38"/>
      <c r="AI28" s="42"/>
      <c r="AJ28" s="41">
        <f>IF(H72&gt;0,H72,IF(I72&gt;0,I72*-1,0))</f>
        <v>0</v>
      </c>
      <c r="AL28" t="str">
        <f>H53</f>
        <v>Yksityissijoitus</v>
      </c>
      <c r="AM28" s="38"/>
      <c r="AN28" s="38"/>
      <c r="AO28" s="38"/>
      <c r="AP28" s="38" t="s">
        <v>80</v>
      </c>
      <c r="AQ28" s="38"/>
      <c r="AR28" s="38"/>
      <c r="AS28" s="38"/>
      <c r="AT28" s="38"/>
      <c r="AU28" s="38"/>
      <c r="AV28" s="38"/>
      <c r="AW28" s="38"/>
    </row>
    <row r="29" spans="5:49" x14ac:dyDescent="0.25">
      <c r="E29" s="8"/>
      <c r="F29" s="7"/>
      <c r="H29" s="8"/>
      <c r="I29" s="7"/>
      <c r="K29" s="8"/>
      <c r="L29" s="7"/>
      <c r="N29" s="8"/>
      <c r="O29" s="7"/>
      <c r="AG29" s="38"/>
      <c r="AH29" s="2" t="str">
        <f>IF(AJ29&gt;0,"Alvia maksettava valtiolle!",IF(AJ29&lt;0,"Valtio palauttaa Alvia",""))</f>
        <v/>
      </c>
      <c r="AI29" s="42"/>
      <c r="AJ29" s="41">
        <f>IF(K72&gt;0,K72,IF(L72&gt;0,L72*-1,0))</f>
        <v>0</v>
      </c>
      <c r="AK29" s="38"/>
      <c r="AL29" s="38" t="str">
        <f>K53</f>
        <v>Alv kk-saldokertymä</v>
      </c>
      <c r="AM29" s="38"/>
      <c r="AN29" s="38"/>
      <c r="AO29" s="38"/>
      <c r="AP29" s="38"/>
      <c r="AQ29" s="38" t="s">
        <v>17</v>
      </c>
      <c r="AR29" s="38"/>
      <c r="AS29" s="38"/>
      <c r="AT29" s="38"/>
      <c r="AU29" s="38"/>
      <c r="AV29" s="49">
        <f>AJ22</f>
        <v>0</v>
      </c>
      <c r="AW29" s="38"/>
    </row>
    <row r="30" spans="5:49" x14ac:dyDescent="0.25">
      <c r="E30" s="8"/>
      <c r="F30" s="7"/>
      <c r="H30" s="8"/>
      <c r="I30" s="7"/>
      <c r="K30" s="8"/>
      <c r="L30" s="7"/>
      <c r="N30" s="8"/>
      <c r="O30" s="7"/>
      <c r="AG30" s="38"/>
      <c r="AH30" s="38"/>
      <c r="AI30" s="42"/>
      <c r="AJ30" s="41">
        <f>IF(N72&gt;0,N72,IF(O72&gt;0,O72*-1,0))</f>
        <v>0</v>
      </c>
      <c r="AK30" s="38"/>
      <c r="AL30" s="38" t="str">
        <f>N53</f>
        <v>Alv- velka ed.kk (kumulat.)</v>
      </c>
      <c r="AM30" s="38"/>
      <c r="AN30" s="38"/>
      <c r="AO30" s="38"/>
      <c r="AP30" s="38" t="s">
        <v>81</v>
      </c>
      <c r="AQ30" s="38"/>
      <c r="AR30" s="38"/>
      <c r="AS30" s="38"/>
      <c r="AT30" s="38"/>
      <c r="AU30" s="38"/>
      <c r="AV30" s="38"/>
      <c r="AW30" s="38"/>
    </row>
    <row r="31" spans="5:49" x14ac:dyDescent="0.25">
      <c r="E31" s="8"/>
      <c r="F31" s="7"/>
      <c r="H31" s="8"/>
      <c r="I31" s="7"/>
      <c r="K31" s="8"/>
      <c r="L31" s="7"/>
      <c r="N31" s="8"/>
      <c r="O31" s="7"/>
      <c r="AG31" s="38"/>
      <c r="AH31" s="38"/>
      <c r="AI31" s="42"/>
      <c r="AJ31" s="41">
        <f>IF(Q72&gt;0,Q72,IF(R72&gt;0,R72*-1,0))</f>
        <v>0</v>
      </c>
      <c r="AK31" s="38"/>
      <c r="AL31" s="38" t="str">
        <f>Q53</f>
        <v>Siirtovelat</v>
      </c>
      <c r="AM31" s="38"/>
      <c r="AN31" s="38"/>
      <c r="AO31" s="38"/>
      <c r="AP31" s="38"/>
      <c r="AQ31" s="38" t="s">
        <v>82</v>
      </c>
      <c r="AR31" s="38"/>
      <c r="AS31" s="38"/>
      <c r="AT31" s="38"/>
      <c r="AU31" s="38"/>
      <c r="AV31" s="49">
        <f>AJ23+AJ24</f>
        <v>0</v>
      </c>
      <c r="AW31" s="38"/>
    </row>
    <row r="32" spans="5:49" x14ac:dyDescent="0.25">
      <c r="E32" s="8"/>
      <c r="F32" s="7"/>
      <c r="H32" s="8"/>
      <c r="I32" s="7"/>
      <c r="K32" s="8"/>
      <c r="L32" s="7"/>
      <c r="N32" s="8"/>
      <c r="O32" s="7"/>
      <c r="AG32" s="38"/>
      <c r="AI32" s="42"/>
      <c r="AJ32" s="41">
        <f>IF(T72&gt;0,T72,IF(U72&gt;0,U72*-1,0))</f>
        <v>0</v>
      </c>
      <c r="AL32" t="str">
        <f>T53</f>
        <v>xxx</v>
      </c>
      <c r="AM32" s="38"/>
      <c r="AN32" s="38"/>
      <c r="AO32" s="38"/>
      <c r="AP32" s="38"/>
      <c r="AQ32" s="38" t="s">
        <v>20</v>
      </c>
      <c r="AR32" s="38"/>
      <c r="AS32" s="38"/>
      <c r="AT32" s="38"/>
      <c r="AU32" s="38"/>
      <c r="AV32" s="49">
        <f>AJ25</f>
        <v>0</v>
      </c>
      <c r="AW32" s="38"/>
    </row>
    <row r="33" spans="1:88" ht="15.75" thickBot="1" x14ac:dyDescent="0.3">
      <c r="A33" t="s">
        <v>12</v>
      </c>
      <c r="E33" s="16">
        <f>SUM(E17:E32)</f>
        <v>0</v>
      </c>
      <c r="F33" s="16">
        <f>SUM(F17:F32)</f>
        <v>0</v>
      </c>
      <c r="H33" s="16">
        <f>SUM(H17:H32)</f>
        <v>0</v>
      </c>
      <c r="I33" s="16">
        <f>SUM(I17:I32)</f>
        <v>0</v>
      </c>
      <c r="K33" s="16">
        <f>SUM(K17:K32)</f>
        <v>0</v>
      </c>
      <c r="L33" s="16">
        <f>SUM(L17:L32)</f>
        <v>0</v>
      </c>
      <c r="N33" s="16">
        <f>SUM(N17:N32)</f>
        <v>0</v>
      </c>
      <c r="O33" s="16">
        <f>SUM(O17:O32)</f>
        <v>0</v>
      </c>
      <c r="AG33" s="38"/>
      <c r="AH33" s="38"/>
      <c r="AI33" s="42"/>
      <c r="AJ33" s="41">
        <f>IF(W72&gt;0,W72,IF(X72&gt;0,X72*-1,0))</f>
        <v>0</v>
      </c>
      <c r="AL33" t="str">
        <f>W53</f>
        <v>xxx2</v>
      </c>
      <c r="AM33" s="38"/>
      <c r="AN33" s="38"/>
      <c r="AO33" s="38"/>
      <c r="AP33" s="38"/>
      <c r="AQ33" s="38" t="s">
        <v>21</v>
      </c>
      <c r="AR33" s="38"/>
      <c r="AS33" s="38"/>
      <c r="AT33" s="38"/>
      <c r="AU33" s="38"/>
      <c r="AV33" s="49">
        <f>AJ26+AJ30+AJ29</f>
        <v>0</v>
      </c>
      <c r="AW33" s="38"/>
    </row>
    <row r="34" spans="1:88" ht="16.5" thickTop="1" thickBot="1" x14ac:dyDescent="0.3">
      <c r="A34" s="13">
        <f>SUM(E13:AA13,E34:O34)</f>
        <v>0</v>
      </c>
      <c r="B34" s="13"/>
      <c r="E34" s="10">
        <f>IF(E33&lt;F33,F33-E33,0)</f>
        <v>0</v>
      </c>
      <c r="F34" s="10">
        <f>IF(F33&lt;E33,E33-F33,0)</f>
        <v>0</v>
      </c>
      <c r="H34" s="10">
        <f>IF(H33&lt;I33,I33-H33,0)</f>
        <v>0</v>
      </c>
      <c r="I34" s="10">
        <f>IF(I33&lt;H33,H33-I33,0)</f>
        <v>0</v>
      </c>
      <c r="K34" s="10">
        <f>IF(K33&lt;L33,L33-K33,0)</f>
        <v>0</v>
      </c>
      <c r="L34" s="10">
        <f>IF(L33&lt;K33,K33-L33,0)</f>
        <v>0</v>
      </c>
      <c r="N34" s="10">
        <f>IF(N33&lt;O33,O33-N33,0)</f>
        <v>0</v>
      </c>
      <c r="O34" s="10">
        <f>IF(O33&lt;N33,N33-O33,0)</f>
        <v>0</v>
      </c>
      <c r="AG34" s="38"/>
      <c r="AI34" s="42"/>
      <c r="AJ34" s="41">
        <f>IF(Z72&gt;0,Z72,IF(AA72&gt;0,AA72,0))</f>
        <v>0</v>
      </c>
      <c r="AK34" s="38"/>
      <c r="AL34" s="38" t="str">
        <f>Z53</f>
        <v>varatili</v>
      </c>
      <c r="AM34" s="38"/>
      <c r="AO34" s="38"/>
      <c r="AP34" s="38"/>
      <c r="AQ34" s="38" t="s">
        <v>22</v>
      </c>
      <c r="AR34" s="38"/>
      <c r="AS34" s="38"/>
      <c r="AT34" s="38"/>
      <c r="AU34" s="38"/>
      <c r="AV34" s="49">
        <f>AJ31</f>
        <v>0</v>
      </c>
      <c r="AW34" s="38"/>
    </row>
    <row r="35" spans="1:88" x14ac:dyDescent="0.25">
      <c r="Y35" s="38"/>
      <c r="Z35" s="38"/>
      <c r="AA35" s="38"/>
      <c r="AB35" s="38"/>
      <c r="AC35" s="38"/>
      <c r="AD35" s="38"/>
      <c r="AE35" s="38"/>
      <c r="AF35" s="38"/>
      <c r="AG35" s="38"/>
      <c r="AH35" s="38"/>
      <c r="AI35" s="67">
        <f>SUM(AI6:AI18)</f>
        <v>0</v>
      </c>
      <c r="AJ35" s="68">
        <f>SUM(AJ19:AJ34)</f>
        <v>0</v>
      </c>
      <c r="AM35" s="38"/>
      <c r="AN35" s="38"/>
      <c r="AO35" s="38"/>
      <c r="AP35" s="28" t="s">
        <v>84</v>
      </c>
      <c r="AQ35" s="38"/>
      <c r="AR35" s="38"/>
      <c r="AS35" s="38"/>
      <c r="AT35" s="38"/>
      <c r="AU35" s="38"/>
      <c r="AV35" s="86">
        <f>SUM(AV24:AV34)</f>
        <v>0</v>
      </c>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row>
    <row r="36" spans="1:88" ht="15.75" thickBot="1" x14ac:dyDescent="0.3">
      <c r="A36" s="1" t="s">
        <v>13</v>
      </c>
      <c r="B36" s="1"/>
      <c r="E36" s="178"/>
      <c r="F36" s="179"/>
      <c r="H36" s="178"/>
      <c r="I36" s="179"/>
      <c r="K36" s="178"/>
      <c r="L36" s="179"/>
      <c r="N36" s="178"/>
      <c r="O36" s="179"/>
      <c r="Q36" s="178"/>
      <c r="R36" s="179"/>
      <c r="T36" s="178"/>
      <c r="U36" s="179"/>
      <c r="W36" s="178"/>
      <c r="X36" s="179"/>
      <c r="Y36" s="38"/>
      <c r="Z36" s="178"/>
      <c r="AA36" s="179"/>
      <c r="AB36" s="38"/>
      <c r="AC36" s="38"/>
      <c r="AD36" s="38"/>
      <c r="AE36" s="38"/>
      <c r="AF36" s="38"/>
      <c r="AG36" s="38"/>
      <c r="AH36" s="38"/>
      <c r="AI36" s="65">
        <f>IF(AI35&lt;AJ35,AJ35-AI35,0)</f>
        <v>0</v>
      </c>
      <c r="AJ36" s="66">
        <f>IF(AJ35&lt;AI35,AI35-AJ35,0)</f>
        <v>0</v>
      </c>
      <c r="AM36" s="38"/>
      <c r="AN36" s="38"/>
      <c r="AO36" s="38"/>
      <c r="AP36" s="28" t="s">
        <v>85</v>
      </c>
      <c r="AQ36" s="38"/>
      <c r="AS36" s="38"/>
      <c r="AT36" s="38"/>
      <c r="AU36" s="38"/>
      <c r="AV36" s="53" t="e">
        <f>AV54/AV41</f>
        <v>#DIV/0!</v>
      </c>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row>
    <row r="37" spans="1:88" ht="15.75" thickBot="1" x14ac:dyDescent="0.3">
      <c r="A37" s="2" t="s">
        <v>14</v>
      </c>
      <c r="E37" s="180" t="s">
        <v>15</v>
      </c>
      <c r="F37" s="181"/>
      <c r="H37" s="180" t="s">
        <v>105</v>
      </c>
      <c r="I37" s="181"/>
      <c r="K37" s="180" t="s">
        <v>16</v>
      </c>
      <c r="L37" s="181"/>
      <c r="N37" s="180" t="s">
        <v>17</v>
      </c>
      <c r="O37" s="181"/>
      <c r="Q37" s="180" t="s">
        <v>18</v>
      </c>
      <c r="R37" s="181"/>
      <c r="T37" s="180" t="s">
        <v>19</v>
      </c>
      <c r="U37" s="181"/>
      <c r="W37" s="180" t="s">
        <v>20</v>
      </c>
      <c r="X37" s="181"/>
      <c r="Y37" s="38"/>
      <c r="Z37" s="170" t="s">
        <v>21</v>
      </c>
      <c r="AA37" s="172"/>
      <c r="AB37" s="56"/>
      <c r="AC37" s="56"/>
      <c r="AD37" s="56"/>
      <c r="AE37" s="56"/>
      <c r="AF37" s="38"/>
      <c r="AG37" s="38"/>
      <c r="AH37" s="38"/>
      <c r="AI37" s="25" t="str">
        <f>IF(AI36&lt;&gt;AJ36,"Tase ei täsmää, tarkista kirjaukset!","Ok")</f>
        <v>Ok</v>
      </c>
      <c r="AJ37" s="38"/>
      <c r="AK37" s="38"/>
      <c r="AL37" s="38"/>
      <c r="AM37" s="38"/>
      <c r="AN37" s="38"/>
      <c r="AO37" s="38"/>
      <c r="AP37" s="28" t="s">
        <v>86</v>
      </c>
      <c r="AQ37" s="38"/>
      <c r="AR37" s="38"/>
      <c r="AS37" s="38"/>
      <c r="AT37" s="38"/>
      <c r="AU37" s="38"/>
      <c r="AV37" s="53" t="e">
        <f>(AV24+AV26+AV27)/AV35</f>
        <v>#DIV/0!</v>
      </c>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row>
    <row r="38" spans="1:88" ht="15.75" thickBot="1" x14ac:dyDescent="0.3">
      <c r="D38" s="3" t="s">
        <v>10</v>
      </c>
      <c r="E38" s="4" t="s">
        <v>95</v>
      </c>
      <c r="F38" s="5" t="s">
        <v>94</v>
      </c>
      <c r="G38" s="14" t="s">
        <v>10</v>
      </c>
      <c r="H38" s="4" t="s">
        <v>95</v>
      </c>
      <c r="I38" s="5" t="s">
        <v>94</v>
      </c>
      <c r="J38" s="14" t="s">
        <v>10</v>
      </c>
      <c r="K38" s="4" t="s">
        <v>95</v>
      </c>
      <c r="L38" s="5" t="s">
        <v>94</v>
      </c>
      <c r="M38" s="14" t="s">
        <v>10</v>
      </c>
      <c r="N38" s="4" t="s">
        <v>95</v>
      </c>
      <c r="O38" s="5" t="s">
        <v>94</v>
      </c>
      <c r="P38" s="14" t="s">
        <v>10</v>
      </c>
      <c r="Q38" s="4" t="s">
        <v>95</v>
      </c>
      <c r="R38" s="5" t="s">
        <v>94</v>
      </c>
      <c r="S38" s="14" t="s">
        <v>10</v>
      </c>
      <c r="T38" s="4" t="s">
        <v>95</v>
      </c>
      <c r="U38" s="5" t="s">
        <v>94</v>
      </c>
      <c r="V38" s="14" t="s">
        <v>10</v>
      </c>
      <c r="W38" s="4" t="s">
        <v>95</v>
      </c>
      <c r="X38" s="5" t="s">
        <v>94</v>
      </c>
      <c r="Y38" s="39" t="s">
        <v>10</v>
      </c>
      <c r="Z38" s="4" t="s">
        <v>95</v>
      </c>
      <c r="AA38" s="5" t="s">
        <v>94</v>
      </c>
      <c r="AB38" s="54"/>
      <c r="AC38" s="54"/>
      <c r="AD38" s="54"/>
      <c r="AE38" s="54"/>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row>
    <row r="39" spans="1:88" ht="15.75" thickBot="1" x14ac:dyDescent="0.3">
      <c r="E39" s="6"/>
      <c r="F39" s="7"/>
      <c r="H39" s="6"/>
      <c r="I39" s="7"/>
      <c r="K39" s="6"/>
      <c r="L39" s="7"/>
      <c r="N39" s="6"/>
      <c r="O39" s="7"/>
      <c r="Q39" s="6"/>
      <c r="R39" s="7"/>
      <c r="T39" s="6"/>
      <c r="U39" s="7"/>
      <c r="W39" s="6"/>
      <c r="X39" s="7"/>
      <c r="Y39" s="38"/>
      <c r="Z39" s="40"/>
      <c r="AA39" s="41"/>
      <c r="AB39" s="41"/>
      <c r="AC39" s="41"/>
      <c r="AD39" s="41"/>
      <c r="AE39" s="41"/>
      <c r="AF39" s="38"/>
      <c r="AG39" s="38"/>
      <c r="AH39" s="193" t="s">
        <v>28</v>
      </c>
      <c r="AI39" s="194"/>
      <c r="AJ39" s="194"/>
      <c r="AK39" s="195"/>
      <c r="AL39" s="38"/>
      <c r="AM39" s="38"/>
      <c r="AN39" s="38"/>
      <c r="AO39" s="38"/>
      <c r="AP39" s="28" t="s">
        <v>50</v>
      </c>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row>
    <row r="40" spans="1:88" ht="15.75" thickBot="1" x14ac:dyDescent="0.3">
      <c r="E40" s="8"/>
      <c r="F40" s="7"/>
      <c r="H40" s="8"/>
      <c r="I40" s="7"/>
      <c r="K40" s="8"/>
      <c r="L40" s="7"/>
      <c r="N40" s="8"/>
      <c r="O40" s="7"/>
      <c r="P40" s="9"/>
      <c r="Q40" s="8"/>
      <c r="R40" s="7"/>
      <c r="T40" s="8"/>
      <c r="U40" s="7"/>
      <c r="W40" s="8"/>
      <c r="X40" s="7"/>
      <c r="Y40" s="38"/>
      <c r="Z40" s="42"/>
      <c r="AA40" s="41"/>
      <c r="AB40" s="41"/>
      <c r="AC40" s="41"/>
      <c r="AD40" s="41"/>
      <c r="AE40" s="41"/>
      <c r="AF40" s="38"/>
      <c r="AG40" s="38"/>
      <c r="AH40" s="174" t="s">
        <v>30</v>
      </c>
      <c r="AI40" s="175"/>
      <c r="AJ40" s="176" t="s">
        <v>31</v>
      </c>
      <c r="AK40" s="177"/>
      <c r="AL40" s="38"/>
      <c r="AM40" s="38"/>
      <c r="AN40" s="38"/>
      <c r="AO40" s="38"/>
      <c r="AP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row>
    <row r="41" spans="1:88" x14ac:dyDescent="0.25">
      <c r="E41" s="8"/>
      <c r="F41" s="7"/>
      <c r="H41" s="8"/>
      <c r="I41" s="7"/>
      <c r="K41" s="8"/>
      <c r="L41" s="7"/>
      <c r="N41" s="8"/>
      <c r="O41" s="7"/>
      <c r="Q41" s="8"/>
      <c r="R41" s="7"/>
      <c r="T41" s="8"/>
      <c r="U41" s="7"/>
      <c r="W41" s="8"/>
      <c r="X41" s="7"/>
      <c r="Y41" s="38"/>
      <c r="Z41" s="42"/>
      <c r="AA41" s="41"/>
      <c r="AB41" s="41"/>
      <c r="AC41" s="41"/>
      <c r="AD41" s="41"/>
      <c r="AE41" s="41"/>
      <c r="AF41" s="38"/>
      <c r="AG41" s="38"/>
      <c r="AH41" s="84"/>
      <c r="AI41" s="42"/>
      <c r="AJ41" s="41">
        <f>IF(E90&gt;0,E90,IF(F90&gt;0,F90*-1,0))</f>
        <v>0</v>
      </c>
      <c r="AK41" s="38"/>
      <c r="AL41" s="78" t="str">
        <f>E78</f>
        <v xml:space="preserve">Myynnit </v>
      </c>
      <c r="AM41" s="38"/>
      <c r="AN41" s="38"/>
      <c r="AO41" s="38"/>
      <c r="AP41" s="38" t="s">
        <v>53</v>
      </c>
      <c r="AQ41" s="38"/>
      <c r="AR41" s="38"/>
      <c r="AS41" s="38"/>
      <c r="AT41" s="38"/>
      <c r="AU41" s="38"/>
      <c r="AV41" s="51">
        <f>SUM(AJ41:AJ43)</f>
        <v>0</v>
      </c>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row>
    <row r="42" spans="1:88" x14ac:dyDescent="0.25">
      <c r="E42" s="8"/>
      <c r="F42" s="7"/>
      <c r="H42" s="8"/>
      <c r="I42" s="7"/>
      <c r="K42" s="8"/>
      <c r="L42" s="7"/>
      <c r="N42" s="8"/>
      <c r="O42" s="7"/>
      <c r="Q42" s="8"/>
      <c r="R42" s="7"/>
      <c r="T42" s="8"/>
      <c r="U42" s="7"/>
      <c r="W42" s="8"/>
      <c r="X42" s="7"/>
      <c r="Y42" s="38"/>
      <c r="Z42" s="42"/>
      <c r="AA42" s="41"/>
      <c r="AB42" s="41"/>
      <c r="AC42" s="41"/>
      <c r="AD42" s="41"/>
      <c r="AE42" s="41"/>
      <c r="AF42" s="38"/>
      <c r="AH42" s="38"/>
      <c r="AI42" s="42"/>
      <c r="AJ42" s="41">
        <f>IF(E102&gt;0,E102,IF(F102&gt;0,F102*-1,0))</f>
        <v>0</v>
      </c>
      <c r="AK42" s="38"/>
      <c r="AL42" s="78" t="str">
        <f>E93</f>
        <v>Myynnit 2</v>
      </c>
      <c r="AM42" s="38"/>
      <c r="AN42" s="38"/>
      <c r="AO42" s="38"/>
      <c r="AP42" t="str">
        <f>AG45</f>
        <v xml:space="preserve">Annetut alennukset </v>
      </c>
      <c r="AV42" s="60">
        <f>AI45</f>
        <v>0</v>
      </c>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row>
    <row r="43" spans="1:88" x14ac:dyDescent="0.25">
      <c r="E43" s="8"/>
      <c r="F43" s="7"/>
      <c r="H43" s="8"/>
      <c r="I43" s="7"/>
      <c r="K43" s="8"/>
      <c r="L43" s="7"/>
      <c r="N43" s="8"/>
      <c r="O43" s="7"/>
      <c r="Q43" s="8"/>
      <c r="R43" s="7"/>
      <c r="T43" s="8"/>
      <c r="U43" s="7"/>
      <c r="W43" s="8"/>
      <c r="X43" s="7"/>
      <c r="Y43" s="38"/>
      <c r="Z43" s="42"/>
      <c r="AA43" s="41"/>
      <c r="AB43" s="41"/>
      <c r="AC43" s="41"/>
      <c r="AD43" s="41"/>
      <c r="AE43" s="41"/>
      <c r="AF43" s="38"/>
      <c r="AH43" s="38"/>
      <c r="AI43" s="42"/>
      <c r="AJ43" s="41">
        <f>IF(E114&gt;0,E114,IF(F114&gt;0,F114*-1,0))</f>
        <v>0</v>
      </c>
      <c r="AK43" s="38"/>
      <c r="AL43" s="78" t="str">
        <f>E105</f>
        <v>Myynnit 3</v>
      </c>
      <c r="AM43" s="38"/>
      <c r="AN43" s="38"/>
      <c r="AO43" s="38"/>
      <c r="AP43" s="38" t="s">
        <v>52</v>
      </c>
      <c r="AQ43" s="38"/>
      <c r="AR43" s="38"/>
      <c r="AS43" s="38"/>
      <c r="AT43" s="38"/>
      <c r="AU43" s="38"/>
      <c r="AV43" s="49">
        <f>AI68-O7</f>
        <v>0</v>
      </c>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row>
    <row r="44" spans="1:88" x14ac:dyDescent="0.25">
      <c r="E44" s="8"/>
      <c r="F44" s="7"/>
      <c r="H44" s="8"/>
      <c r="I44" s="7"/>
      <c r="K44" s="8"/>
      <c r="L44" s="7"/>
      <c r="N44" s="8"/>
      <c r="O44" s="7"/>
      <c r="Q44" s="8"/>
      <c r="R44" s="7"/>
      <c r="T44" s="8"/>
      <c r="U44" s="7"/>
      <c r="W44" s="11"/>
      <c r="X44" s="12"/>
      <c r="Y44" s="38"/>
      <c r="Z44" s="42"/>
      <c r="AA44" s="41"/>
      <c r="AB44" s="41"/>
      <c r="AC44" s="41"/>
      <c r="AD44" s="41"/>
      <c r="AE44" s="41"/>
      <c r="AF44" s="38"/>
      <c r="AI44" s="69"/>
      <c r="AJ44" s="41">
        <f>IF(H114&gt;0,H114,IF(I114&gt;0,I114*-1,0))</f>
        <v>0</v>
      </c>
      <c r="AL44" t="str">
        <f>H105</f>
        <v>Saadut käteisalennukset</v>
      </c>
      <c r="AM44" s="38"/>
      <c r="AN44" s="38"/>
      <c r="AO44" s="38"/>
      <c r="AP44" s="38" t="s">
        <v>51</v>
      </c>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row>
    <row r="45" spans="1:88" x14ac:dyDescent="0.25">
      <c r="E45" s="8"/>
      <c r="F45" s="7"/>
      <c r="H45" s="8"/>
      <c r="I45" s="7"/>
      <c r="K45" s="8"/>
      <c r="L45" s="7"/>
      <c r="N45" s="8"/>
      <c r="O45" s="7"/>
      <c r="Q45" s="8"/>
      <c r="R45" s="7"/>
      <c r="T45" s="8"/>
      <c r="U45" s="7"/>
      <c r="W45" s="8"/>
      <c r="X45" s="7"/>
      <c r="Y45" s="38"/>
      <c r="Z45" s="42"/>
      <c r="AA45" s="41"/>
      <c r="AB45" s="41"/>
      <c r="AC45" s="41"/>
      <c r="AD45" s="41"/>
      <c r="AE45" s="41"/>
      <c r="AF45" s="38"/>
      <c r="AG45" s="44" t="str">
        <f>H78</f>
        <v xml:space="preserve">Annetut alennukset </v>
      </c>
      <c r="AI45" s="42">
        <f>IF(I90&gt;0,I90,IF(H90&gt;0,H90*-1,0))</f>
        <v>0</v>
      </c>
      <c r="AJ45" s="41"/>
      <c r="AK45" s="38"/>
      <c r="AL45" s="38"/>
      <c r="AM45" s="38"/>
      <c r="AN45" s="38"/>
      <c r="AO45" s="38"/>
      <c r="AP45" s="38" t="s">
        <v>54</v>
      </c>
      <c r="AQ45" s="38" t="s">
        <v>55</v>
      </c>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row>
    <row r="46" spans="1:88" x14ac:dyDescent="0.25">
      <c r="E46" s="8"/>
      <c r="F46" s="7"/>
      <c r="H46" s="8"/>
      <c r="I46" s="7"/>
      <c r="K46" s="8"/>
      <c r="L46" s="7"/>
      <c r="N46" s="8"/>
      <c r="O46" s="7"/>
      <c r="Q46" s="8"/>
      <c r="R46" s="7"/>
      <c r="T46" s="8"/>
      <c r="U46" s="7"/>
      <c r="W46" s="8"/>
      <c r="X46" s="7"/>
      <c r="Y46" s="38"/>
      <c r="Z46" s="42"/>
      <c r="AA46" s="41"/>
      <c r="AB46" s="41"/>
      <c r="AC46" s="41"/>
      <c r="AD46" s="41"/>
      <c r="AE46" s="41"/>
      <c r="AF46" s="38"/>
      <c r="AG46" s="44" t="str">
        <f>K78</f>
        <v>Ostot</v>
      </c>
      <c r="AH46" s="38"/>
      <c r="AI46" s="42">
        <f>IF(L90&gt;0,L90,IF(K90&gt;0,K90*-1,0))</f>
        <v>0</v>
      </c>
      <c r="AJ46" s="41"/>
      <c r="AK46" s="38"/>
      <c r="AL46" s="38"/>
      <c r="AM46" s="38"/>
      <c r="AN46" s="38"/>
      <c r="AO46" s="38"/>
      <c r="AP46" s="38"/>
      <c r="AQ46" s="38"/>
      <c r="AR46" s="38" t="s">
        <v>56</v>
      </c>
      <c r="AS46" s="38"/>
      <c r="AT46" s="38"/>
      <c r="AU46" s="38"/>
      <c r="AV46" s="49">
        <f>AI46</f>
        <v>0</v>
      </c>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row>
    <row r="47" spans="1:88" x14ac:dyDescent="0.25">
      <c r="E47" s="8"/>
      <c r="F47" s="7"/>
      <c r="H47" s="8"/>
      <c r="I47" s="7"/>
      <c r="K47" s="8"/>
      <c r="L47" s="7"/>
      <c r="N47" s="8"/>
      <c r="O47" s="7"/>
      <c r="Q47" s="8"/>
      <c r="R47" s="7"/>
      <c r="T47" s="8"/>
      <c r="U47" s="7"/>
      <c r="W47" s="8"/>
      <c r="X47" s="7"/>
      <c r="Y47" s="38"/>
      <c r="Z47" s="42"/>
      <c r="AA47" s="41"/>
      <c r="AB47" s="41"/>
      <c r="AC47" s="41"/>
      <c r="AD47" s="41"/>
      <c r="AE47" s="41"/>
      <c r="AF47" s="38"/>
      <c r="AG47" s="44" t="str">
        <f>N78</f>
        <v>Palovakuutukset</v>
      </c>
      <c r="AH47" s="38"/>
      <c r="AI47" s="42">
        <f>IF(O90&gt;0,O90,IF(N90&gt;0,N90*-1,0))</f>
        <v>0</v>
      </c>
      <c r="AJ47" s="41"/>
      <c r="AK47" s="38"/>
      <c r="AL47" s="38"/>
      <c r="AM47" s="38"/>
      <c r="AN47" s="38"/>
      <c r="AO47" s="38"/>
      <c r="AP47" s="38"/>
      <c r="AQ47" s="38"/>
      <c r="AR47" s="38" t="s">
        <v>57</v>
      </c>
      <c r="AS47" s="38"/>
      <c r="AT47" s="38"/>
      <c r="AU47" s="38"/>
      <c r="AV47" s="49">
        <f>W107</f>
        <v>0</v>
      </c>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row>
    <row r="48" spans="1:88" x14ac:dyDescent="0.25">
      <c r="E48" s="8"/>
      <c r="F48" s="7"/>
      <c r="H48" s="8"/>
      <c r="I48" s="7"/>
      <c r="J48" s="82" t="str">
        <f>IF(AH76&lt;&gt;"",AH76,"")</f>
        <v/>
      </c>
      <c r="K48" s="70">
        <f>IF(AJ76&gt;0,AJ76,0)</f>
        <v>0</v>
      </c>
      <c r="L48" s="71">
        <f>IF(AI76&gt;0,AI76,0)</f>
        <v>0</v>
      </c>
      <c r="N48" s="8"/>
      <c r="O48" s="7"/>
      <c r="Q48" s="8"/>
      <c r="R48" s="7"/>
      <c r="T48" s="8"/>
      <c r="U48" s="7"/>
      <c r="W48" s="8"/>
      <c r="X48" s="7"/>
      <c r="Y48" s="38"/>
      <c r="Z48" s="42"/>
      <c r="AA48" s="41"/>
      <c r="AB48" s="41"/>
      <c r="AC48" s="41"/>
      <c r="AD48" s="41"/>
      <c r="AE48" s="41"/>
      <c r="AF48" s="38"/>
      <c r="AG48" s="44" t="str">
        <f>Q78</f>
        <v>Vahinkovakuutukset</v>
      </c>
      <c r="AH48" s="38"/>
      <c r="AI48" s="42">
        <f>IF(R90&gt;0,R90,IF(Q90&gt;0,Q90*-1,0))</f>
        <v>0</v>
      </c>
      <c r="AJ48" s="41"/>
      <c r="AL48" s="38"/>
      <c r="AM48" s="38"/>
      <c r="AN48" s="38"/>
      <c r="AO48" s="38"/>
      <c r="AR48" t="str">
        <f>AL44</f>
        <v>Saadut käteisalennukset</v>
      </c>
      <c r="AV48" s="60">
        <f>AJ44</f>
        <v>0</v>
      </c>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row>
    <row r="49" spans="4:88" ht="15.75" thickBot="1" x14ac:dyDescent="0.3">
      <c r="E49" s="16">
        <f>SUM(E39:E48)</f>
        <v>0</v>
      </c>
      <c r="F49" s="16">
        <f>SUM(F39:F48)</f>
        <v>0</v>
      </c>
      <c r="H49" s="16">
        <f>SUM(H39:H48)</f>
        <v>0</v>
      </c>
      <c r="I49" s="16">
        <f>SUM(I39:I48)</f>
        <v>0</v>
      </c>
      <c r="K49" s="16">
        <f>SUM(K39:K48)</f>
        <v>0</v>
      </c>
      <c r="L49" s="16">
        <f>SUM(L39:L48)</f>
        <v>0</v>
      </c>
      <c r="N49" s="16">
        <f>SUM(N39:N48)</f>
        <v>0</v>
      </c>
      <c r="O49" s="16">
        <f>SUM(O39:O48)</f>
        <v>0</v>
      </c>
      <c r="Q49" s="16">
        <f>SUM(Q39:Q48)</f>
        <v>0</v>
      </c>
      <c r="R49" s="16">
        <f>SUM(R39:R48)</f>
        <v>0</v>
      </c>
      <c r="T49" s="16">
        <f>SUM(T39:T48)</f>
        <v>0</v>
      </c>
      <c r="U49" s="16">
        <f>SUM(U39:U48)</f>
        <v>0</v>
      </c>
      <c r="W49" s="16">
        <f>SUM(W39:W48)</f>
        <v>0</v>
      </c>
      <c r="X49" s="16">
        <f>SUM(X39:X48)</f>
        <v>0</v>
      </c>
      <c r="Y49" s="38"/>
      <c r="Z49" s="16">
        <f>SUM(Z39:Z48)</f>
        <v>0</v>
      </c>
      <c r="AA49" s="16">
        <f>SUM(AA39:AA48)</f>
        <v>0</v>
      </c>
      <c r="AB49" s="57"/>
      <c r="AC49" s="57"/>
      <c r="AD49" s="57"/>
      <c r="AE49" s="57"/>
      <c r="AF49" s="38"/>
      <c r="AG49" s="44" t="str">
        <f>T78</f>
        <v>Sähkömenot</v>
      </c>
      <c r="AH49" s="38"/>
      <c r="AI49" s="42">
        <f>IF(U90&gt;0,U90,IF(T90&gt;0,T90*-1,0))</f>
        <v>0</v>
      </c>
      <c r="AJ49" s="41"/>
      <c r="AL49" s="38"/>
      <c r="AM49" s="38"/>
      <c r="AN49" s="38"/>
      <c r="AO49" s="38"/>
      <c r="AP49" s="38"/>
      <c r="AQ49" s="38" t="s">
        <v>58</v>
      </c>
      <c r="AR49" s="38"/>
      <c r="AS49" s="38"/>
      <c r="AT49" s="38"/>
      <c r="AU49" s="38"/>
      <c r="AV49" s="50">
        <f>AI47+AI48+AI49+AI50+AI51+AI53+AI54+SUM(AI55:AI61)</f>
        <v>0</v>
      </c>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row>
    <row r="50" spans="4:88" ht="15.75" thickTop="1" x14ac:dyDescent="0.25">
      <c r="E50" s="10">
        <f>IF(E49&lt;F49,F49-E49,0)</f>
        <v>0</v>
      </c>
      <c r="F50" s="10">
        <f>IF(F49&lt;E49,E49-F49,0)</f>
        <v>0</v>
      </c>
      <c r="H50" s="10">
        <f>IF(H49&lt;I49,I49-H49,0)</f>
        <v>0</v>
      </c>
      <c r="I50" s="10">
        <f>IF(I49&lt;H49,H49-I49,0)</f>
        <v>0</v>
      </c>
      <c r="K50" s="10">
        <f>IF(K49&lt;L49,L49-K49,0)</f>
        <v>0</v>
      </c>
      <c r="L50" s="10">
        <f>IF(L49&lt;K49,K49-L49,0)</f>
        <v>0</v>
      </c>
      <c r="N50" s="10">
        <f>IF(N49&lt;O49,O49-N49,0)</f>
        <v>0</v>
      </c>
      <c r="O50" s="10">
        <f>IF(O49&lt;N49,N49-O49,0)</f>
        <v>0</v>
      </c>
      <c r="Q50" s="10">
        <f>IF(Q49&lt;R49,R49-Q49,0)</f>
        <v>0</v>
      </c>
      <c r="R50" s="10">
        <f>IF(R49&lt;Q49,Q49-R49,0)</f>
        <v>0</v>
      </c>
      <c r="T50" s="10">
        <f>IF(T49&lt;U49,U49-T49,0)</f>
        <v>0</v>
      </c>
      <c r="U50" s="10">
        <f>IF(U49&lt;T49,T49-U49,0)</f>
        <v>0</v>
      </c>
      <c r="W50" s="10">
        <f>IF(W49&lt;X49,X49-W49,0)</f>
        <v>0</v>
      </c>
      <c r="X50" s="10">
        <f>IF(X49&lt;W49,W49-X49,0)</f>
        <v>0</v>
      </c>
      <c r="Y50" s="38"/>
      <c r="Z50" s="10">
        <f>IF(Z49&lt;AA49,AA49-Z49,0)</f>
        <v>0</v>
      </c>
      <c r="AA50" s="10">
        <f>IF(AA49&lt;Z49,Z49-AA49,0)</f>
        <v>0</v>
      </c>
      <c r="AB50" s="47"/>
      <c r="AC50" s="47"/>
      <c r="AD50" s="47"/>
      <c r="AE50" s="47"/>
      <c r="AF50" s="38"/>
      <c r="AG50" s="44" t="str">
        <f>W78</f>
        <v xml:space="preserve">Pienhankinnat </v>
      </c>
      <c r="AH50" s="38"/>
      <c r="AI50" s="42">
        <f>IF(X90&gt;0,X90,IF(W90&gt;0,W90*-1,0))</f>
        <v>0</v>
      </c>
      <c r="AJ50" s="41"/>
      <c r="AL50" s="38"/>
      <c r="AM50" s="38"/>
      <c r="AN50" s="38"/>
      <c r="AO50" s="38"/>
      <c r="AP50" s="38" t="s">
        <v>59</v>
      </c>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row>
    <row r="51" spans="4:88" x14ac:dyDescent="0.25">
      <c r="Y51" s="38"/>
      <c r="Z51" s="38"/>
      <c r="AA51" s="38"/>
      <c r="AB51" s="38"/>
      <c r="AC51" s="38"/>
      <c r="AD51" s="38"/>
      <c r="AE51" s="38"/>
      <c r="AF51" s="38"/>
      <c r="AG51" s="44" t="str">
        <f>Z78</f>
        <v>Vuokramenot</v>
      </c>
      <c r="AH51" s="38"/>
      <c r="AI51" s="42">
        <f>IF(AA90&gt;0,AA90,IF(Z90&gt;0,Z90*-1,0))</f>
        <v>0</v>
      </c>
      <c r="AJ51" s="41"/>
      <c r="AL51" s="38"/>
      <c r="AM51" s="38"/>
      <c r="AN51" s="38"/>
      <c r="AO51" s="38"/>
      <c r="AP51" s="38"/>
      <c r="AQ51" s="38" t="s">
        <v>60</v>
      </c>
      <c r="AR51" s="38"/>
      <c r="AS51" s="38"/>
      <c r="AT51" s="38"/>
      <c r="AU51" s="38"/>
      <c r="AV51" s="49">
        <f>R114</f>
        <v>0</v>
      </c>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row>
    <row r="52" spans="4:88" ht="15.75" thickBot="1" x14ac:dyDescent="0.3">
      <c r="E52" s="178"/>
      <c r="F52" s="179"/>
      <c r="H52" s="178"/>
      <c r="I52" s="179"/>
      <c r="K52" s="178"/>
      <c r="L52" s="179"/>
      <c r="N52" s="178"/>
      <c r="O52" s="179"/>
      <c r="Q52" s="178"/>
      <c r="R52" s="179"/>
      <c r="T52" s="178"/>
      <c r="U52" s="179"/>
      <c r="W52" s="178"/>
      <c r="X52" s="179"/>
      <c r="Y52" s="38"/>
      <c r="Z52" s="178"/>
      <c r="AA52" s="179"/>
      <c r="AB52" s="38"/>
      <c r="AC52" s="38"/>
      <c r="AD52" s="38"/>
      <c r="AE52" s="38"/>
      <c r="AF52" s="38"/>
      <c r="AG52" s="44"/>
      <c r="AH52" s="38"/>
      <c r="AI52" s="42"/>
      <c r="AJ52" s="41"/>
      <c r="AL52" s="38"/>
      <c r="AM52" s="38"/>
      <c r="AN52" s="38"/>
      <c r="AO52" s="38"/>
      <c r="AP52" s="38"/>
      <c r="AQ52" s="38"/>
      <c r="AR52" s="38"/>
      <c r="AS52" s="38"/>
      <c r="AT52" s="38"/>
      <c r="AU52" s="38"/>
      <c r="AV52" s="49"/>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row>
    <row r="53" spans="4:88" ht="15.75" thickBot="1" x14ac:dyDescent="0.3">
      <c r="E53" s="180" t="s">
        <v>98</v>
      </c>
      <c r="F53" s="181"/>
      <c r="H53" s="180" t="s">
        <v>99</v>
      </c>
      <c r="I53" s="181"/>
      <c r="K53" s="180" t="s">
        <v>110</v>
      </c>
      <c r="L53" s="181"/>
      <c r="N53" s="180" t="s">
        <v>109</v>
      </c>
      <c r="O53" s="181"/>
      <c r="Q53" s="180" t="s">
        <v>22</v>
      </c>
      <c r="R53" s="181"/>
      <c r="T53" s="180" t="s">
        <v>100</v>
      </c>
      <c r="U53" s="181"/>
      <c r="W53" s="180" t="s">
        <v>101</v>
      </c>
      <c r="X53" s="181"/>
      <c r="Z53" s="180" t="s">
        <v>49</v>
      </c>
      <c r="AA53" s="181"/>
      <c r="AB53" s="38"/>
      <c r="AC53" s="38"/>
      <c r="AD53" s="38"/>
      <c r="AE53" s="38"/>
      <c r="AF53" s="38"/>
      <c r="AG53" s="44" t="str">
        <f>AC78</f>
        <v>Markkinointimenot</v>
      </c>
      <c r="AH53" s="38"/>
      <c r="AI53" s="42">
        <f>IF(AD90&gt;0,AD90,IF(AC90&gt;0,AC90*-1,0))</f>
        <v>0</v>
      </c>
      <c r="AJ53" s="41"/>
      <c r="AK53" s="38"/>
      <c r="AL53" s="38"/>
      <c r="AM53" s="38"/>
      <c r="AN53" s="38"/>
      <c r="AO53" s="38"/>
      <c r="AP53" s="38" t="s">
        <v>35</v>
      </c>
      <c r="AQ53" s="38"/>
      <c r="AR53" s="38"/>
      <c r="AS53" s="38"/>
      <c r="AT53" s="38"/>
      <c r="AU53" s="38"/>
      <c r="AV53" s="49">
        <f>AI62</f>
        <v>0</v>
      </c>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row>
    <row r="54" spans="4:88" ht="15.75" thickBot="1" x14ac:dyDescent="0.3">
      <c r="D54" s="3" t="s">
        <v>10</v>
      </c>
      <c r="E54" s="4" t="s">
        <v>95</v>
      </c>
      <c r="F54" s="5" t="s">
        <v>94</v>
      </c>
      <c r="G54" s="14" t="s">
        <v>10</v>
      </c>
      <c r="H54" s="4" t="s">
        <v>95</v>
      </c>
      <c r="I54" s="5" t="s">
        <v>94</v>
      </c>
      <c r="J54" s="14" t="s">
        <v>10</v>
      </c>
      <c r="K54" s="4" t="s">
        <v>95</v>
      </c>
      <c r="L54" s="5" t="s">
        <v>94</v>
      </c>
      <c r="M54" s="15" t="s">
        <v>10</v>
      </c>
      <c r="N54" s="4" t="s">
        <v>95</v>
      </c>
      <c r="O54" s="5" t="s">
        <v>94</v>
      </c>
      <c r="P54" s="3" t="s">
        <v>10</v>
      </c>
      <c r="Q54" s="4" t="s">
        <v>95</v>
      </c>
      <c r="R54" s="5" t="s">
        <v>94</v>
      </c>
      <c r="S54" s="3" t="s">
        <v>10</v>
      </c>
      <c r="T54" s="4" t="s">
        <v>95</v>
      </c>
      <c r="U54" s="5" t="s">
        <v>94</v>
      </c>
      <c r="V54" s="14" t="s">
        <v>10</v>
      </c>
      <c r="W54" s="4" t="s">
        <v>95</v>
      </c>
      <c r="X54" s="5" t="s">
        <v>94</v>
      </c>
      <c r="Y54" s="14" t="s">
        <v>10</v>
      </c>
      <c r="Z54" s="4" t="s">
        <v>95</v>
      </c>
      <c r="AA54" s="5" t="s">
        <v>94</v>
      </c>
      <c r="AB54" s="38"/>
      <c r="AC54" s="38"/>
      <c r="AD54" s="38"/>
      <c r="AE54" s="38"/>
      <c r="AF54" s="38"/>
      <c r="AG54" s="44" t="str">
        <f>H93</f>
        <v>Puhelinmenot</v>
      </c>
      <c r="AH54" s="38"/>
      <c r="AI54" s="42">
        <f>IF(I102&gt;0,I102,IF(H102&gt;0,H102*-1,0))</f>
        <v>0</v>
      </c>
      <c r="AJ54" s="38"/>
      <c r="AK54" s="38"/>
      <c r="AL54" s="38"/>
      <c r="AM54" s="38"/>
      <c r="AN54" s="38"/>
      <c r="AO54" s="38"/>
      <c r="AP54" s="38" t="s">
        <v>61</v>
      </c>
      <c r="AQ54" s="38"/>
      <c r="AR54" s="38"/>
      <c r="AS54" s="38"/>
      <c r="AT54" s="38"/>
      <c r="AU54" s="38"/>
      <c r="AV54" s="51">
        <f>AV41-AV42-AV46-AV47-AV49-AV51-AV53-AV43+AV48</f>
        <v>0</v>
      </c>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row>
    <row r="55" spans="4:88" x14ac:dyDescent="0.25">
      <c r="E55" s="6"/>
      <c r="F55" s="7"/>
      <c r="H55" s="6"/>
      <c r="I55" s="7"/>
      <c r="K55" s="6"/>
      <c r="L55" s="7"/>
      <c r="N55" s="6"/>
      <c r="O55" s="7"/>
      <c r="Q55" s="6"/>
      <c r="R55" s="7"/>
      <c r="T55" s="6"/>
      <c r="U55" s="7"/>
      <c r="W55" s="6"/>
      <c r="X55" s="7"/>
      <c r="Z55" s="6"/>
      <c r="AA55" s="7"/>
      <c r="AB55" s="38"/>
      <c r="AC55" s="38"/>
      <c r="AD55" s="38"/>
      <c r="AE55" s="38"/>
      <c r="AF55" s="38"/>
      <c r="AG55" s="76" t="str">
        <f>K93</f>
        <v>x1</v>
      </c>
      <c r="AI55" s="42">
        <f>IF(L102&gt;0,L102,IF(K102&gt;0,K102*-1,0))</f>
        <v>0</v>
      </c>
      <c r="AK55" s="38"/>
      <c r="AL55" s="38"/>
      <c r="AM55" s="38"/>
      <c r="AN55" s="38"/>
      <c r="AO55" s="38"/>
      <c r="AP55" s="38" t="s">
        <v>62</v>
      </c>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row>
    <row r="56" spans="4:88" x14ac:dyDescent="0.25">
      <c r="E56" s="8"/>
      <c r="F56" s="7"/>
      <c r="H56" s="8"/>
      <c r="K56" s="8"/>
      <c r="N56" s="8"/>
      <c r="O56" s="7"/>
      <c r="Q56" s="8"/>
      <c r="R56" s="7"/>
      <c r="T56" s="8"/>
      <c r="U56" s="7"/>
      <c r="W56" s="8"/>
      <c r="X56" s="7"/>
      <c r="Z56" s="8"/>
      <c r="AA56" s="7"/>
      <c r="AB56" s="38"/>
      <c r="AC56" s="38"/>
      <c r="AD56" s="38"/>
      <c r="AE56" s="38"/>
      <c r="AF56" s="38"/>
      <c r="AG56" s="76" t="str">
        <f>N93</f>
        <v>x2</v>
      </c>
      <c r="AI56" s="42">
        <f>IF(O102&gt;0,O102,IF(N102&gt;0,N102*-1,0))</f>
        <v>0</v>
      </c>
      <c r="AK56" s="38"/>
      <c r="AL56" s="38"/>
      <c r="AM56" s="38"/>
      <c r="AN56" s="38"/>
      <c r="AO56" s="38"/>
      <c r="AP56" s="38"/>
      <c r="AQ56" s="38" t="s">
        <v>63</v>
      </c>
      <c r="AR56" s="38"/>
      <c r="AS56" s="38"/>
      <c r="AT56" s="38"/>
      <c r="AU56" s="38"/>
      <c r="AV56" s="49">
        <f>AI63</f>
        <v>0</v>
      </c>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row>
    <row r="57" spans="4:88" x14ac:dyDescent="0.25">
      <c r="E57" s="8"/>
      <c r="F57" s="7"/>
      <c r="H57" s="8"/>
      <c r="I57" s="7"/>
      <c r="K57" s="8"/>
      <c r="L57" s="7"/>
      <c r="N57" s="8"/>
      <c r="O57" s="7"/>
      <c r="Q57" s="8"/>
      <c r="R57" s="7"/>
      <c r="T57" s="8"/>
      <c r="U57" s="7"/>
      <c r="W57" s="8"/>
      <c r="X57" s="7"/>
      <c r="Z57" s="8"/>
      <c r="AA57" s="7"/>
      <c r="AB57" s="38"/>
      <c r="AC57" s="38"/>
      <c r="AD57" s="38"/>
      <c r="AE57" s="38"/>
      <c r="AF57" s="38"/>
      <c r="AG57" s="76" t="str">
        <f>Q93</f>
        <v>x3</v>
      </c>
      <c r="AI57" s="42">
        <f>IF(R102&gt;0,R102,IF(Q102&gt;0,Q102*-1,0))</f>
        <v>0</v>
      </c>
      <c r="AK57" s="38"/>
      <c r="AL57" s="38"/>
      <c r="AM57" s="38"/>
      <c r="AN57" s="38"/>
      <c r="AO57" s="38"/>
      <c r="AP57" s="38" t="s">
        <v>64</v>
      </c>
      <c r="AQ57" s="38"/>
      <c r="AR57" s="38"/>
      <c r="AS57" s="38"/>
      <c r="AT57" s="38"/>
      <c r="AU57" s="38"/>
      <c r="AV57" s="51">
        <f>AV54-AV56</f>
        <v>0</v>
      </c>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row>
    <row r="58" spans="4:88" x14ac:dyDescent="0.25">
      <c r="E58" s="8"/>
      <c r="F58" s="7"/>
      <c r="H58" s="8"/>
      <c r="I58" s="7"/>
      <c r="K58" s="8"/>
      <c r="L58" s="7"/>
      <c r="N58" s="8"/>
      <c r="O58" s="7"/>
      <c r="Q58" s="8"/>
      <c r="R58" s="7"/>
      <c r="T58" s="8"/>
      <c r="U58" s="7"/>
      <c r="W58" s="8"/>
      <c r="X58" s="7"/>
      <c r="Z58" s="8"/>
      <c r="AA58" s="7"/>
      <c r="AB58" s="38"/>
      <c r="AC58" s="38"/>
      <c r="AD58" s="38"/>
      <c r="AE58" s="38"/>
      <c r="AF58" s="38"/>
      <c r="AG58" s="76" t="str">
        <f>T93</f>
        <v>x4</v>
      </c>
      <c r="AI58" s="42">
        <f>IF(U102&gt;0,U102,IF(T102&gt;0,T102*-1,0))</f>
        <v>0</v>
      </c>
      <c r="AK58" s="38"/>
      <c r="AL58" s="38"/>
      <c r="AM58" s="38"/>
      <c r="AN58" s="38"/>
      <c r="AO58" s="38"/>
      <c r="AP58" s="38" t="s">
        <v>46</v>
      </c>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row>
    <row r="59" spans="4:88" x14ac:dyDescent="0.25">
      <c r="E59" s="8"/>
      <c r="F59" s="7"/>
      <c r="H59" s="8"/>
      <c r="I59" s="7"/>
      <c r="K59" s="8"/>
      <c r="L59" s="7"/>
      <c r="N59" s="8"/>
      <c r="O59" s="7"/>
      <c r="Q59" s="8"/>
      <c r="R59" s="7"/>
      <c r="T59" s="8"/>
      <c r="U59" s="7"/>
      <c r="W59" s="8"/>
      <c r="X59" s="7"/>
      <c r="Z59" s="8"/>
      <c r="AA59" s="7"/>
      <c r="AB59" s="38"/>
      <c r="AC59" s="38"/>
      <c r="AD59" s="38"/>
      <c r="AE59" s="38"/>
      <c r="AF59" s="38"/>
      <c r="AG59" s="76" t="str">
        <f>W93</f>
        <v>x5</v>
      </c>
      <c r="AI59" s="42">
        <f>IF(X102&gt;0,X102,IF(W102&gt;0,W102*-1,0))</f>
        <v>0</v>
      </c>
      <c r="AK59" s="38"/>
      <c r="AL59" s="38"/>
      <c r="AM59" s="38"/>
      <c r="AN59" s="38"/>
      <c r="AO59" s="38"/>
      <c r="AP59" s="38"/>
      <c r="AQ59" s="38" t="s">
        <v>65</v>
      </c>
      <c r="AR59" s="38"/>
      <c r="AS59" s="38"/>
      <c r="AT59" s="38"/>
      <c r="AU59" s="38"/>
      <c r="AV59" s="49">
        <f>AI66</f>
        <v>0</v>
      </c>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row>
    <row r="60" spans="4:88" x14ac:dyDescent="0.25">
      <c r="E60" s="8"/>
      <c r="F60" s="7"/>
      <c r="H60" s="8"/>
      <c r="I60" s="7"/>
      <c r="K60" s="8"/>
      <c r="L60" s="7"/>
      <c r="N60" s="8"/>
      <c r="O60" s="7"/>
      <c r="Q60" s="8"/>
      <c r="R60" s="7"/>
      <c r="T60" s="8"/>
      <c r="U60" s="7"/>
      <c r="W60" s="8"/>
      <c r="X60" s="7"/>
      <c r="Z60" s="8"/>
      <c r="AA60" s="7"/>
      <c r="AB60" s="38"/>
      <c r="AC60" s="38"/>
      <c r="AD60" s="38"/>
      <c r="AE60" s="38"/>
      <c r="AF60" s="38"/>
      <c r="AG60" s="76" t="str">
        <f>Z93</f>
        <v>x6</v>
      </c>
      <c r="AI60" s="42">
        <f>IF(AA102&gt;0,AA102,IF(Z102&gt;0,Z102*-1,0))</f>
        <v>0</v>
      </c>
      <c r="AK60" s="38"/>
      <c r="AL60" s="38"/>
      <c r="AM60" s="38"/>
      <c r="AN60" s="38"/>
      <c r="AO60" s="38"/>
      <c r="AP60" s="38" t="s">
        <v>48</v>
      </c>
      <c r="AQ60" s="38"/>
      <c r="AR60" s="38"/>
      <c r="AS60" s="38"/>
      <c r="AT60" s="38"/>
      <c r="AU60" s="38"/>
      <c r="AV60" s="49">
        <f>AI72</f>
        <v>0</v>
      </c>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row>
    <row r="61" spans="4:88" x14ac:dyDescent="0.25">
      <c r="E61" s="8"/>
      <c r="F61" s="7"/>
      <c r="H61" s="8"/>
      <c r="I61" s="7"/>
      <c r="K61" s="8"/>
      <c r="L61" s="7"/>
      <c r="N61" s="8"/>
      <c r="O61" s="7"/>
      <c r="Q61" s="8"/>
      <c r="R61" s="7"/>
      <c r="T61" s="8"/>
      <c r="U61" s="7"/>
      <c r="W61" s="8"/>
      <c r="X61" s="7"/>
      <c r="Z61" s="8"/>
      <c r="AA61" s="7"/>
      <c r="AB61" s="38"/>
      <c r="AC61" s="38"/>
      <c r="AD61" s="38"/>
      <c r="AE61" s="38"/>
      <c r="AF61" s="38"/>
      <c r="AG61" s="76" t="str">
        <f>AC93</f>
        <v>x7</v>
      </c>
      <c r="AI61" s="42">
        <f>IF(AD102&gt;0,AD102,IF(AC102&gt;0,AC102*-1,0))</f>
        <v>0</v>
      </c>
      <c r="AK61" s="38"/>
      <c r="AL61" s="38"/>
      <c r="AM61" s="38"/>
      <c r="AN61" s="38"/>
      <c r="AO61" s="38"/>
      <c r="AP61" s="38" t="s">
        <v>66</v>
      </c>
      <c r="AQ61" s="38"/>
      <c r="AR61" s="38"/>
      <c r="AS61" s="38"/>
      <c r="AT61" s="38"/>
      <c r="AU61" s="38"/>
      <c r="AV61" s="51">
        <f>AV57-AV59-AV60</f>
        <v>0</v>
      </c>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row>
    <row r="62" spans="4:88" x14ac:dyDescent="0.25">
      <c r="E62" s="8"/>
      <c r="F62" s="7"/>
      <c r="H62" s="8"/>
      <c r="I62" s="7"/>
      <c r="K62" s="8"/>
      <c r="L62" s="7"/>
      <c r="N62" s="8"/>
      <c r="O62" s="7"/>
      <c r="Q62" s="8"/>
      <c r="R62" s="7"/>
      <c r="T62" s="8"/>
      <c r="U62" s="7"/>
      <c r="W62" s="8"/>
      <c r="X62" s="7"/>
      <c r="Z62" s="8"/>
      <c r="AA62" s="7"/>
      <c r="AB62" s="38"/>
      <c r="AC62" s="38"/>
      <c r="AD62" s="38"/>
      <c r="AE62" s="38"/>
      <c r="AF62" s="38"/>
      <c r="AG62" s="46" t="str">
        <f>N105</f>
        <v>Liiketoiminnan muut kulut</v>
      </c>
      <c r="AH62" s="38"/>
      <c r="AI62" s="42">
        <f>IF(O114&gt;0,O114,IF(N114&gt;0,N114*-1,0))</f>
        <v>0</v>
      </c>
      <c r="AJ62" s="38"/>
      <c r="AK62" s="38"/>
      <c r="AL62" s="38"/>
      <c r="AM62" s="38"/>
      <c r="AN62" s="38"/>
      <c r="AO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row>
    <row r="63" spans="4:88" x14ac:dyDescent="0.25">
      <c r="E63" s="8"/>
      <c r="F63" s="7"/>
      <c r="H63" s="8"/>
      <c r="I63" s="7"/>
      <c r="K63" s="8"/>
      <c r="L63" s="7"/>
      <c r="N63" s="8"/>
      <c r="O63" s="7"/>
      <c r="Q63" s="8"/>
      <c r="R63" s="7"/>
      <c r="T63" s="8"/>
      <c r="U63" s="7"/>
      <c r="W63" s="8"/>
      <c r="X63" s="7"/>
      <c r="Z63" s="8"/>
      <c r="AA63" s="7"/>
      <c r="AB63" s="38"/>
      <c r="AC63" s="38"/>
      <c r="AD63" s="38"/>
      <c r="AE63" s="38"/>
      <c r="AF63" s="38"/>
      <c r="AG63" s="44" t="str">
        <f>K105</f>
        <v>Korkomenot</v>
      </c>
      <c r="AH63" s="38"/>
      <c r="AI63" s="42">
        <f>L114</f>
        <v>0</v>
      </c>
      <c r="AJ63" s="38"/>
      <c r="AK63" s="38"/>
      <c r="AL63" s="38"/>
      <c r="AM63" s="38"/>
      <c r="AN63" s="38"/>
      <c r="AO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row>
    <row r="64" spans="4:88" x14ac:dyDescent="0.25">
      <c r="E64" s="8"/>
      <c r="F64" s="7"/>
      <c r="H64" s="8"/>
      <c r="I64" s="7"/>
      <c r="K64" s="8"/>
      <c r="L64" s="7"/>
      <c r="N64" s="8"/>
      <c r="O64" s="7"/>
      <c r="Q64" s="8"/>
      <c r="R64" s="7"/>
      <c r="T64" s="8"/>
      <c r="U64" s="7"/>
      <c r="W64" s="8"/>
      <c r="X64" s="7"/>
      <c r="Z64" s="8"/>
      <c r="AA64" s="7"/>
      <c r="AB64" s="38"/>
      <c r="AC64" s="38"/>
      <c r="AD64" s="38"/>
      <c r="AE64" s="38"/>
      <c r="AF64" s="38"/>
      <c r="AG64" s="44" t="str">
        <f>Q105</f>
        <v>Poistot</v>
      </c>
      <c r="AH64" s="38"/>
      <c r="AI64" s="42">
        <f>IF(R114&gt;0,R114,IF(Q114&gt;0,Q114*-1,0))</f>
        <v>0</v>
      </c>
      <c r="AJ64" s="38"/>
      <c r="AK64" s="38"/>
      <c r="AL64" s="38"/>
      <c r="AM64" s="38"/>
      <c r="AN64" s="38"/>
      <c r="AO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row>
    <row r="65" spans="1:88" x14ac:dyDescent="0.25">
      <c r="E65" s="8"/>
      <c r="F65" s="7"/>
      <c r="H65" s="8"/>
      <c r="I65" s="7"/>
      <c r="K65" s="8"/>
      <c r="L65" s="7"/>
      <c r="N65" s="8"/>
      <c r="O65" s="7"/>
      <c r="Q65" s="8"/>
      <c r="R65" s="7"/>
      <c r="T65" s="8"/>
      <c r="U65" s="7"/>
      <c r="W65" s="8"/>
      <c r="X65" s="7"/>
      <c r="Z65" s="8"/>
      <c r="AA65" s="7"/>
      <c r="AB65" s="38"/>
      <c r="AC65" s="38"/>
      <c r="AD65" s="38"/>
      <c r="AE65" s="38"/>
      <c r="AF65" s="38"/>
      <c r="AG65" s="44"/>
      <c r="AH65" s="38"/>
      <c r="AI65" s="42"/>
      <c r="AJ65" s="38"/>
      <c r="AK65" s="38"/>
      <c r="AL65" s="38"/>
      <c r="AM65" s="38"/>
      <c r="AN65" s="38"/>
      <c r="AO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row>
    <row r="66" spans="1:88" x14ac:dyDescent="0.25">
      <c r="E66" s="8"/>
      <c r="F66" s="7"/>
      <c r="H66" s="8"/>
      <c r="I66" s="7"/>
      <c r="K66" s="8"/>
      <c r="L66" s="7"/>
      <c r="N66" s="8"/>
      <c r="O66" s="7"/>
      <c r="Q66" s="8"/>
      <c r="R66" s="7"/>
      <c r="T66" s="8"/>
      <c r="U66" s="7"/>
      <c r="W66" s="8"/>
      <c r="X66" s="7"/>
      <c r="Z66" s="8"/>
      <c r="AA66" s="7"/>
      <c r="AB66" s="38"/>
      <c r="AC66" s="38"/>
      <c r="AD66" s="38"/>
      <c r="AE66" s="38"/>
      <c r="AF66" s="38"/>
      <c r="AG66" s="79" t="str">
        <f>T105</f>
        <v>Tilinpäätössiirrot</v>
      </c>
      <c r="AH66" s="38"/>
      <c r="AI66" s="42">
        <f>IF(U114&gt;0,U114,IF(T114&gt;0,T114*-1,0))</f>
        <v>0</v>
      </c>
      <c r="AJ66" s="38"/>
      <c r="AK66" s="38"/>
      <c r="AL66" s="38"/>
      <c r="AM66" s="38"/>
      <c r="AN66" s="38"/>
      <c r="AO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row>
    <row r="67" spans="1:88" x14ac:dyDescent="0.25">
      <c r="E67" s="8"/>
      <c r="F67" s="7"/>
      <c r="H67" s="8"/>
      <c r="I67" s="7"/>
      <c r="K67" s="8"/>
      <c r="L67" s="7"/>
      <c r="N67" s="8"/>
      <c r="O67" s="7"/>
      <c r="Q67" s="8"/>
      <c r="R67" s="7"/>
      <c r="T67" s="8"/>
      <c r="U67" s="7"/>
      <c r="W67" s="8"/>
      <c r="X67" s="7"/>
      <c r="Z67" s="8"/>
      <c r="AA67" s="7"/>
      <c r="AB67" s="38"/>
      <c r="AC67" s="38"/>
      <c r="AD67" s="38"/>
      <c r="AE67" s="38"/>
      <c r="AF67" s="38"/>
      <c r="AG67" s="44"/>
      <c r="AH67" s="38"/>
      <c r="AI67" s="42"/>
      <c r="AJ67" s="38"/>
      <c r="AK67" s="38"/>
      <c r="AL67" s="38"/>
      <c r="AM67" s="38"/>
      <c r="AN67" s="38"/>
      <c r="AO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row>
    <row r="68" spans="1:88" x14ac:dyDescent="0.25">
      <c r="E68" s="8"/>
      <c r="F68" s="7"/>
      <c r="H68" s="8"/>
      <c r="I68" s="7"/>
      <c r="K68" s="60"/>
      <c r="L68" s="7"/>
      <c r="N68" s="8"/>
      <c r="O68" s="7"/>
      <c r="Q68" s="8"/>
      <c r="R68" s="7"/>
      <c r="T68" s="8"/>
      <c r="U68" s="7"/>
      <c r="W68" s="8"/>
      <c r="X68" s="7"/>
      <c r="Z68" s="8"/>
      <c r="AA68" s="7"/>
      <c r="AB68" s="38"/>
      <c r="AC68" s="38"/>
      <c r="AD68" s="38"/>
      <c r="AE68" s="38"/>
      <c r="AF68" s="38"/>
      <c r="AG68" s="44" t="str">
        <f>W105</f>
        <v>Aine ja tarvikevarasto 1 muutos</v>
      </c>
      <c r="AH68" s="38"/>
      <c r="AI68" s="42">
        <f>IF(X114&gt;0,X114,IF(W114&gt;0,W114*-1,0))</f>
        <v>0</v>
      </c>
      <c r="AJ68" s="38"/>
      <c r="AK68" s="38"/>
      <c r="AL68" s="38"/>
      <c r="AM68" s="38"/>
      <c r="AN68" s="38"/>
      <c r="AO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row>
    <row r="69" spans="1:88" x14ac:dyDescent="0.25">
      <c r="E69" s="8"/>
      <c r="F69" s="7"/>
      <c r="H69" s="8"/>
      <c r="I69" s="7"/>
      <c r="K69" s="60"/>
      <c r="L69" s="7"/>
      <c r="N69" s="8"/>
      <c r="O69" s="7"/>
      <c r="Q69" s="8"/>
      <c r="R69" s="7"/>
      <c r="T69" s="8"/>
      <c r="U69" s="7"/>
      <c r="W69" s="8"/>
      <c r="X69" s="7"/>
      <c r="Z69" s="8"/>
      <c r="AA69" s="7"/>
      <c r="AB69" s="38"/>
      <c r="AC69" s="38"/>
      <c r="AD69" s="38"/>
      <c r="AE69" s="2" t="str">
        <f>IF(AI68&lt;0,"Varasto kasvoi, pienentää kuluja: "&amp;TEXT(W105,"€ #,##0"),IF(AI68&gt;0,"Varasto väheni, kasvattaa kuluja: "&amp;TEXT(W105,"€ #,##0"),""))</f>
        <v/>
      </c>
      <c r="AF69" s="38"/>
      <c r="AG69" s="44"/>
      <c r="AH69" s="38"/>
      <c r="AI69" s="42"/>
      <c r="AJ69" s="38"/>
      <c r="AK69" s="38"/>
      <c r="AL69" s="38"/>
      <c r="AM69" s="38"/>
      <c r="AN69" s="38"/>
      <c r="AO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row>
    <row r="70" spans="1:88" x14ac:dyDescent="0.25">
      <c r="E70" s="8"/>
      <c r="F70" s="7"/>
      <c r="H70" s="8"/>
      <c r="I70" s="7"/>
      <c r="K70" s="60"/>
      <c r="L70" s="7"/>
      <c r="N70" s="8"/>
      <c r="O70" s="7"/>
      <c r="Q70" s="8"/>
      <c r="R70" s="7"/>
      <c r="T70" s="8"/>
      <c r="U70" s="7"/>
      <c r="W70" s="8"/>
      <c r="X70" s="7"/>
      <c r="Z70" s="8"/>
      <c r="AA70" s="7"/>
      <c r="AB70" s="38"/>
      <c r="AC70" s="38"/>
      <c r="AD70" s="38"/>
      <c r="AE70" s="38"/>
      <c r="AF70" s="38"/>
      <c r="AG70" s="76" t="str">
        <f>Z105</f>
        <v>Valmiit tuotteet varasto 2 muutos</v>
      </c>
      <c r="AI70" s="42">
        <f>IF(AA114&gt;0,AA114,IF(Z114&gt;0,Z114*-1,0))</f>
        <v>0</v>
      </c>
      <c r="AJ70" s="38"/>
      <c r="AK70" s="38"/>
      <c r="AL70" s="38"/>
      <c r="AM70" s="38"/>
      <c r="AN70" s="38"/>
      <c r="AO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row>
    <row r="71" spans="1:88" ht="15.75" thickBot="1" x14ac:dyDescent="0.3">
      <c r="A71" t="s">
        <v>12</v>
      </c>
      <c r="E71" s="16">
        <f>SUM(E55:E70)</f>
        <v>0</v>
      </c>
      <c r="F71" s="16">
        <f>SUM(F55:F70)</f>
        <v>0</v>
      </c>
      <c r="H71" s="16">
        <f>SUM(H55:H70)</f>
        <v>0</v>
      </c>
      <c r="I71" s="16">
        <f>SUM(I55:I70)</f>
        <v>0</v>
      </c>
      <c r="K71" s="16">
        <f>SUM(K55:K70)</f>
        <v>0</v>
      </c>
      <c r="L71" s="16">
        <f>SUM(L55:L70)</f>
        <v>0</v>
      </c>
      <c r="N71" s="16">
        <f>SUM(N55:N70)</f>
        <v>0</v>
      </c>
      <c r="O71" s="16">
        <f>SUM(O55:O70)</f>
        <v>0</v>
      </c>
      <c r="Q71" s="16">
        <f>SUM(Q55:Q70)</f>
        <v>0</v>
      </c>
      <c r="R71" s="16">
        <f>SUM(R55:R70)</f>
        <v>0</v>
      </c>
      <c r="T71" s="16">
        <f>SUM(T55:T70)</f>
        <v>0</v>
      </c>
      <c r="U71" s="16">
        <f>SUM(U55:U70)</f>
        <v>0</v>
      </c>
      <c r="W71" s="16">
        <f>SUM(W55:W70)</f>
        <v>0</v>
      </c>
      <c r="X71" s="16">
        <f>SUM(X55:X70)</f>
        <v>0</v>
      </c>
      <c r="Z71" s="16">
        <f>SUM(Z55:Z70)</f>
        <v>0</v>
      </c>
      <c r="AA71" s="16">
        <f>SUM(AA55:AA70)</f>
        <v>0</v>
      </c>
      <c r="AB71" s="38"/>
      <c r="AC71" s="38"/>
      <c r="AD71" s="38"/>
      <c r="AE71" s="2" t="str">
        <f>IF(AI70&lt;0,"Varasto kasvoi, pienentää kuluja: "&amp;TEXT(AI70,"€ #,##0"),IF(AI70&gt;0,"Varasto väheni, kasvattaa kuluja: "&amp;TEXT(AI70,"€ #,##0"),""))</f>
        <v/>
      </c>
      <c r="AF71" s="38"/>
      <c r="AI71" s="69"/>
      <c r="AJ71" s="38"/>
      <c r="AK71" s="38"/>
      <c r="AL71" s="38"/>
      <c r="AM71" s="38"/>
      <c r="AN71" s="38"/>
      <c r="AO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row>
    <row r="72" spans="1:88" ht="15.75" thickTop="1" x14ac:dyDescent="0.25">
      <c r="A72" s="13">
        <f>SUM(E50:AA50,E72:AA72)</f>
        <v>0</v>
      </c>
      <c r="B72" s="13"/>
      <c r="E72" s="10">
        <f>IF(E71&lt;F71,F71-E71,0)</f>
        <v>0</v>
      </c>
      <c r="F72" s="10">
        <f>IF(F71&lt;E71,E71-F71,0)</f>
        <v>0</v>
      </c>
      <c r="H72" s="10">
        <f>IF(H71&lt;I71,I71-H71,0)</f>
        <v>0</v>
      </c>
      <c r="I72" s="10">
        <f>IF(I71&lt;H71,H71-I71,0)</f>
        <v>0</v>
      </c>
      <c r="K72" s="10">
        <f>IF(K71&lt;L71,L71-K71,0)</f>
        <v>0</v>
      </c>
      <c r="L72" s="10">
        <f>IF(L71&lt;K71,K71-L71,0)</f>
        <v>0</v>
      </c>
      <c r="N72" s="10">
        <f>IF(N71&lt;O71,O71-N71,0)</f>
        <v>0</v>
      </c>
      <c r="O72" s="10">
        <f>IF(O71&lt;N71,N71-O71,0)</f>
        <v>0</v>
      </c>
      <c r="Q72" s="10">
        <f>IF(Q71&lt;R71,R71-Q71,0)</f>
        <v>0</v>
      </c>
      <c r="R72" s="10">
        <f>IF(R71&lt;Q71,Q71-R71,0)</f>
        <v>0</v>
      </c>
      <c r="T72" s="10">
        <f>IF(T71&lt;U71,U71-T71,0)</f>
        <v>0</v>
      </c>
      <c r="U72" s="10">
        <f>IF(U71&lt;T71,T71-U71,0)</f>
        <v>0</v>
      </c>
      <c r="W72" s="10">
        <f>IF(W71&lt;X71,X71-W71,0)</f>
        <v>0</v>
      </c>
      <c r="X72" s="10">
        <f>IF(X71&lt;W71,W71-X71,0)</f>
        <v>0</v>
      </c>
      <c r="Z72" s="10">
        <f>IF(Z71&lt;AA71,AA71-Z71,0)</f>
        <v>0</v>
      </c>
      <c r="AA72" s="10">
        <f>IF(AA71&lt;Z71,Z71-AA71,0)</f>
        <v>0</v>
      </c>
      <c r="AB72" s="38"/>
      <c r="AC72" s="38"/>
      <c r="AD72" s="38"/>
      <c r="AE72" s="38"/>
      <c r="AF72" s="38"/>
      <c r="AG72" s="44" t="str">
        <f>AC105</f>
        <v>Tuloverot</v>
      </c>
      <c r="AH72" s="38"/>
      <c r="AI72" s="42">
        <f>IF(AD114&gt;0,AD114,IF(AC114&gt;0,AC114*-1,0))</f>
        <v>0</v>
      </c>
      <c r="AJ72" s="38"/>
      <c r="AK72" s="38"/>
      <c r="AL72" s="38"/>
      <c r="AM72" s="38"/>
      <c r="AN72" s="38"/>
      <c r="AO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row>
    <row r="73" spans="1:88" x14ac:dyDescent="0.25">
      <c r="A73" t="s">
        <v>23</v>
      </c>
      <c r="C73" s="17">
        <f>A34-A72</f>
        <v>0</v>
      </c>
      <c r="D73" s="13"/>
      <c r="Y73" s="38"/>
      <c r="Z73" s="38"/>
      <c r="AA73" s="38"/>
      <c r="AB73" s="38"/>
      <c r="AC73" s="38"/>
      <c r="AD73" s="38"/>
      <c r="AE73" s="38"/>
      <c r="AF73" s="38"/>
      <c r="AG73" s="38"/>
      <c r="AH73" s="38"/>
      <c r="AI73" s="42"/>
      <c r="AJ73" s="38"/>
      <c r="AK73" s="38"/>
      <c r="AL73" s="38"/>
      <c r="AM73" s="38"/>
      <c r="AN73" s="38"/>
      <c r="AO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row>
    <row r="74" spans="1:88" x14ac:dyDescent="0.25">
      <c r="Y74" s="38"/>
      <c r="Z74" s="38"/>
      <c r="AA74" s="38"/>
      <c r="AB74" s="38"/>
      <c r="AC74" s="38"/>
      <c r="AD74" s="38"/>
      <c r="AE74" s="38"/>
      <c r="AF74" s="38"/>
      <c r="AG74" s="38"/>
      <c r="AH74" s="38"/>
      <c r="AI74" s="42"/>
      <c r="AJ74" s="38"/>
      <c r="AK74" s="38"/>
      <c r="AL74" s="38"/>
      <c r="AM74" s="38"/>
      <c r="AN74" s="38"/>
      <c r="AO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row>
    <row r="75" spans="1:88" ht="24.75" thickBot="1" x14ac:dyDescent="0.3">
      <c r="Y75" s="38"/>
      <c r="Z75" s="38"/>
      <c r="AA75" s="38"/>
      <c r="AB75" s="38"/>
      <c r="AC75" s="38"/>
      <c r="AD75" s="38"/>
      <c r="AE75" s="38"/>
      <c r="AF75" s="38"/>
      <c r="AG75" s="38"/>
      <c r="AH75" s="63" t="s">
        <v>90</v>
      </c>
      <c r="AI75" s="45">
        <f>SUM(AI41:AI74)</f>
        <v>0</v>
      </c>
      <c r="AJ75" s="48">
        <f>SUM(AJ41:AJ74)</f>
        <v>0</v>
      </c>
      <c r="AK75" s="38"/>
      <c r="AL75" s="38"/>
      <c r="AM75" s="38"/>
      <c r="AN75" s="38"/>
      <c r="AO75" s="38"/>
      <c r="AP75" s="38"/>
      <c r="AQ75" s="38"/>
      <c r="AR75" s="38"/>
      <c r="AS75" s="38"/>
      <c r="AT75" s="38"/>
      <c r="AU75" s="38"/>
      <c r="AV75" s="49"/>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row>
    <row r="76" spans="1:88" ht="20.25" thickTop="1" thickBot="1" x14ac:dyDescent="0.35">
      <c r="A76" s="1" t="s">
        <v>24</v>
      </c>
      <c r="B76" s="1"/>
      <c r="Y76" s="38"/>
      <c r="Z76" s="38"/>
      <c r="AA76" s="38"/>
      <c r="AB76" s="38"/>
      <c r="AC76" s="38"/>
      <c r="AD76" s="38"/>
      <c r="AE76" s="38"/>
      <c r="AF76" s="38"/>
      <c r="AG76" s="87" t="s">
        <v>47</v>
      </c>
      <c r="AH76" s="88"/>
      <c r="AI76" s="131">
        <f>IF(AI75&lt;AJ75,AJ75-AI75,0)</f>
        <v>0</v>
      </c>
      <c r="AJ76" s="132">
        <f>IF(AJ75&lt;AI75,AI75-AJ75,0)</f>
        <v>0</v>
      </c>
      <c r="AK76" s="38"/>
      <c r="AL76" s="38"/>
      <c r="AM76" s="38"/>
      <c r="AN76" s="38"/>
      <c r="AO76" s="38"/>
      <c r="AP76" s="2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row>
    <row r="77" spans="1:88" ht="19.5" thickBot="1" x14ac:dyDescent="0.35">
      <c r="E77" s="178"/>
      <c r="F77" s="179"/>
      <c r="H77" s="178"/>
      <c r="I77" s="179"/>
      <c r="K77" s="178"/>
      <c r="L77" s="179"/>
      <c r="N77" s="178"/>
      <c r="O77" s="179"/>
      <c r="Q77" s="178"/>
      <c r="R77" s="179"/>
      <c r="T77" s="178"/>
      <c r="U77" s="179"/>
      <c r="W77" s="178"/>
      <c r="X77" s="179"/>
      <c r="Y77" s="38"/>
      <c r="Z77" s="178"/>
      <c r="AA77" s="179"/>
      <c r="AB77" s="38"/>
      <c r="AC77" s="178"/>
      <c r="AD77" s="179"/>
      <c r="AE77" s="38"/>
      <c r="AF77" s="38"/>
      <c r="AI77" s="210" t="str">
        <f>IF(AI76&gt;0,"Tulos voitollinen",IF(AJ76&gt;0,"Tulos tappiollinen",""))</f>
        <v/>
      </c>
      <c r="AJ77" s="211"/>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row>
    <row r="78" spans="1:88" ht="15.75" thickBot="1" x14ac:dyDescent="0.3">
      <c r="E78" s="180" t="s">
        <v>92</v>
      </c>
      <c r="F78" s="181"/>
      <c r="H78" s="180" t="s">
        <v>112</v>
      </c>
      <c r="I78" s="181"/>
      <c r="K78" s="180" t="s">
        <v>93</v>
      </c>
      <c r="L78" s="181"/>
      <c r="N78" s="180" t="s">
        <v>25</v>
      </c>
      <c r="O78" s="181"/>
      <c r="Q78" s="180" t="s">
        <v>26</v>
      </c>
      <c r="R78" s="181"/>
      <c r="T78" s="180" t="s">
        <v>27</v>
      </c>
      <c r="U78" s="181"/>
      <c r="W78" s="180" t="s">
        <v>123</v>
      </c>
      <c r="X78" s="181"/>
      <c r="Z78" s="180" t="s">
        <v>96</v>
      </c>
      <c r="AA78" s="181"/>
      <c r="AB78" s="38"/>
      <c r="AC78" s="180" t="s">
        <v>124</v>
      </c>
      <c r="AD78" s="172"/>
      <c r="AE78" s="56"/>
      <c r="AF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row>
    <row r="79" spans="1:88" ht="15.75" thickBot="1" x14ac:dyDescent="0.3">
      <c r="A79" s="18" t="s">
        <v>29</v>
      </c>
      <c r="D79" s="3" t="s">
        <v>10</v>
      </c>
      <c r="E79" s="4" t="s">
        <v>95</v>
      </c>
      <c r="F79" s="5" t="s">
        <v>94</v>
      </c>
      <c r="G79" s="3" t="s">
        <v>10</v>
      </c>
      <c r="H79" s="4" t="s">
        <v>95</v>
      </c>
      <c r="I79" s="5" t="s">
        <v>94</v>
      </c>
      <c r="J79" s="14" t="s">
        <v>10</v>
      </c>
      <c r="K79" s="4" t="s">
        <v>95</v>
      </c>
      <c r="L79" s="5" t="s">
        <v>94</v>
      </c>
      <c r="M79" s="14" t="s">
        <v>10</v>
      </c>
      <c r="N79" s="4" t="s">
        <v>95</v>
      </c>
      <c r="O79" s="5" t="s">
        <v>94</v>
      </c>
      <c r="P79" s="14" t="s">
        <v>10</v>
      </c>
      <c r="Q79" s="4" t="s">
        <v>95</v>
      </c>
      <c r="R79" s="5" t="s">
        <v>94</v>
      </c>
      <c r="S79" s="14" t="s">
        <v>10</v>
      </c>
      <c r="T79" s="4" t="s">
        <v>95</v>
      </c>
      <c r="U79" s="5" t="s">
        <v>94</v>
      </c>
      <c r="V79" s="14" t="s">
        <v>10</v>
      </c>
      <c r="W79" s="4" t="s">
        <v>95</v>
      </c>
      <c r="X79" s="5" t="s">
        <v>94</v>
      </c>
      <c r="Y79" s="14" t="s">
        <v>10</v>
      </c>
      <c r="Z79" s="4" t="s">
        <v>95</v>
      </c>
      <c r="AA79" s="5" t="s">
        <v>94</v>
      </c>
      <c r="AB79" s="39" t="s">
        <v>10</v>
      </c>
      <c r="AC79" s="4" t="s">
        <v>95</v>
      </c>
      <c r="AD79" s="5" t="s">
        <v>94</v>
      </c>
      <c r="AE79" s="54"/>
      <c r="AF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row>
    <row r="80" spans="1:88" x14ac:dyDescent="0.25">
      <c r="D80" s="33"/>
      <c r="E80" s="6"/>
      <c r="F80" s="7"/>
      <c r="G80" s="33"/>
      <c r="H80" s="6"/>
      <c r="I80" s="7"/>
      <c r="K80" s="6"/>
      <c r="L80" s="7"/>
      <c r="M80" s="19"/>
      <c r="N80" s="6"/>
      <c r="O80" s="7"/>
      <c r="P80" s="9"/>
      <c r="Q80" s="6"/>
      <c r="R80" s="7"/>
      <c r="S80" s="19"/>
      <c r="T80" s="6"/>
      <c r="U80" s="7"/>
      <c r="W80" s="6"/>
      <c r="X80" s="7"/>
      <c r="Y80" s="19"/>
      <c r="Z80" s="6"/>
      <c r="AA80" s="7"/>
      <c r="AB80" s="43"/>
      <c r="AC80" s="40"/>
      <c r="AD80" s="41"/>
      <c r="AE80" s="41"/>
      <c r="AF80" s="38"/>
      <c r="AW80" s="83" t="s">
        <v>153</v>
      </c>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row>
    <row r="81" spans="4:88" x14ac:dyDescent="0.25">
      <c r="D81" s="33"/>
      <c r="E81" s="8"/>
      <c r="F81" s="7"/>
      <c r="G81" s="33"/>
      <c r="H81" s="8"/>
      <c r="I81" s="7"/>
      <c r="K81" s="8">
        <v>0</v>
      </c>
      <c r="L81" s="7"/>
      <c r="N81" s="8"/>
      <c r="O81" s="7"/>
      <c r="Q81" s="7"/>
      <c r="R81" s="12"/>
      <c r="T81" s="8"/>
      <c r="U81" s="7"/>
      <c r="W81" s="8"/>
      <c r="X81" s="7"/>
      <c r="Z81" s="8"/>
      <c r="AA81" s="7"/>
      <c r="AB81" s="38"/>
      <c r="AC81" s="42"/>
      <c r="AD81" s="41"/>
      <c r="AE81" s="41"/>
      <c r="AF81" s="38"/>
      <c r="AW81" s="83" t="s">
        <v>154</v>
      </c>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row>
    <row r="82" spans="4:88" x14ac:dyDescent="0.25">
      <c r="D82" s="33"/>
      <c r="E82" s="8"/>
      <c r="F82" s="7"/>
      <c r="G82" s="33"/>
      <c r="H82" s="8"/>
      <c r="I82" s="7"/>
      <c r="K82" s="8"/>
      <c r="L82" s="7"/>
      <c r="N82" s="8"/>
      <c r="O82" s="7"/>
      <c r="Q82" s="7"/>
      <c r="R82" s="12"/>
      <c r="T82" s="8"/>
      <c r="U82" s="7"/>
      <c r="W82" s="8"/>
      <c r="X82" s="7"/>
      <c r="Z82" s="8"/>
      <c r="AA82" s="7"/>
      <c r="AB82" s="38"/>
      <c r="AC82" s="42"/>
      <c r="AD82" s="41"/>
      <c r="AE82" s="41"/>
      <c r="AF82" s="38"/>
      <c r="AW82" s="83" t="s">
        <v>155</v>
      </c>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row>
    <row r="83" spans="4:88" x14ac:dyDescent="0.25">
      <c r="D83" s="33"/>
      <c r="E83" s="8"/>
      <c r="F83" s="7"/>
      <c r="G83" s="33"/>
      <c r="H83" s="8"/>
      <c r="I83" s="7"/>
      <c r="K83" s="8"/>
      <c r="L83" s="7"/>
      <c r="N83" s="8"/>
      <c r="O83" s="7"/>
      <c r="Q83" s="8"/>
      <c r="R83" s="7"/>
      <c r="T83" s="8"/>
      <c r="U83" s="7"/>
      <c r="W83" s="8"/>
      <c r="X83" s="7"/>
      <c r="Z83" s="8"/>
      <c r="AA83" s="7"/>
      <c r="AB83" s="38"/>
      <c r="AC83" s="42"/>
      <c r="AD83" s="41"/>
      <c r="AE83" s="41"/>
      <c r="AF83" s="38"/>
      <c r="AW83" s="85"/>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row>
    <row r="84" spans="4:88" x14ac:dyDescent="0.25">
      <c r="D84" s="33"/>
      <c r="E84" s="8"/>
      <c r="F84" s="7"/>
      <c r="G84" s="33"/>
      <c r="H84" s="8"/>
      <c r="I84" s="7"/>
      <c r="K84" s="8"/>
      <c r="L84" s="7"/>
      <c r="N84" s="8"/>
      <c r="O84" s="7"/>
      <c r="Q84" s="8"/>
      <c r="R84" s="7"/>
      <c r="T84" s="8"/>
      <c r="U84" s="7"/>
      <c r="W84" s="8"/>
      <c r="X84" s="7"/>
      <c r="Z84" s="8"/>
      <c r="AA84" s="7"/>
      <c r="AB84" s="38"/>
      <c r="AC84" s="42"/>
      <c r="AD84" s="41"/>
      <c r="AE84" s="41"/>
      <c r="AF84" s="38"/>
      <c r="AW84" s="85"/>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row>
    <row r="85" spans="4:88" x14ac:dyDescent="0.25">
      <c r="D85" s="33"/>
      <c r="E85" s="8"/>
      <c r="F85" s="7"/>
      <c r="G85" s="33"/>
      <c r="H85" s="8"/>
      <c r="I85" s="7"/>
      <c r="K85" s="8"/>
      <c r="L85" s="7"/>
      <c r="N85" s="8"/>
      <c r="O85" s="7"/>
      <c r="Q85" s="8"/>
      <c r="R85" s="7"/>
      <c r="T85" s="8"/>
      <c r="U85" s="7"/>
      <c r="W85" s="8"/>
      <c r="X85" s="7"/>
      <c r="Z85" s="8"/>
      <c r="AA85" s="7"/>
      <c r="AB85" s="38"/>
      <c r="AC85" s="42"/>
      <c r="AD85" s="41"/>
      <c r="AE85" s="41"/>
      <c r="AF85" s="38"/>
      <c r="AW85" s="83" t="s">
        <v>154</v>
      </c>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row>
    <row r="86" spans="4:88" x14ac:dyDescent="0.25">
      <c r="D86" s="33"/>
      <c r="E86" s="8"/>
      <c r="F86" s="7"/>
      <c r="G86" s="33"/>
      <c r="H86" s="8"/>
      <c r="I86" s="7"/>
      <c r="K86" s="8"/>
      <c r="L86" s="7"/>
      <c r="N86" s="8"/>
      <c r="O86" s="7"/>
      <c r="Q86" s="8"/>
      <c r="R86" s="7"/>
      <c r="T86" s="8"/>
      <c r="U86" s="7"/>
      <c r="W86" s="8"/>
      <c r="X86" s="7"/>
      <c r="Z86" s="8"/>
      <c r="AA86" s="7"/>
      <c r="AB86" s="38"/>
      <c r="AC86" s="42"/>
      <c r="AD86" s="41"/>
      <c r="AE86" s="41"/>
      <c r="AF86" s="38"/>
      <c r="AW86" s="83" t="s">
        <v>155</v>
      </c>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row>
    <row r="87" spans="4:88" x14ac:dyDescent="0.25">
      <c r="D87" s="33"/>
      <c r="E87" s="8"/>
      <c r="F87" s="7"/>
      <c r="G87" s="33"/>
      <c r="H87" s="8"/>
      <c r="I87" s="7"/>
      <c r="K87" s="8"/>
      <c r="L87" s="7"/>
      <c r="N87" s="8"/>
      <c r="O87" s="7"/>
      <c r="Q87" s="8"/>
      <c r="R87" s="7"/>
      <c r="T87" s="8"/>
      <c r="U87" s="7"/>
      <c r="W87" s="8"/>
      <c r="X87" s="7"/>
      <c r="Z87" s="8"/>
      <c r="AA87" s="7"/>
      <c r="AB87" s="38"/>
      <c r="AC87" s="42"/>
      <c r="AD87" s="41"/>
      <c r="AE87" s="41"/>
      <c r="AF87" s="38"/>
      <c r="AW87" s="83" t="s">
        <v>156</v>
      </c>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row>
    <row r="88" spans="4:88" x14ac:dyDescent="0.25">
      <c r="D88" s="33"/>
      <c r="E88" s="8">
        <v>0</v>
      </c>
      <c r="F88" s="7"/>
      <c r="G88" s="33"/>
      <c r="H88" s="8">
        <v>0</v>
      </c>
      <c r="I88" s="7"/>
      <c r="K88" s="8"/>
      <c r="L88" s="7"/>
      <c r="N88" s="8"/>
      <c r="O88" s="7"/>
      <c r="Q88" s="8"/>
      <c r="R88" s="7"/>
      <c r="T88" s="8"/>
      <c r="U88" s="7"/>
      <c r="W88" s="8"/>
      <c r="X88" s="7"/>
      <c r="Z88" s="8"/>
      <c r="AA88" s="7"/>
      <c r="AB88" s="38"/>
      <c r="AC88" s="42"/>
      <c r="AD88" s="41"/>
      <c r="AE88" s="41"/>
      <c r="AF88" s="38"/>
      <c r="AW88" s="83" t="s">
        <v>154</v>
      </c>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row>
    <row r="89" spans="4:88" ht="15.75" thickBot="1" x14ac:dyDescent="0.3">
      <c r="D89" s="29"/>
      <c r="E89" s="16">
        <f>SUM(E80:E88)</f>
        <v>0</v>
      </c>
      <c r="F89" s="16">
        <f>SUM(F80:F88)</f>
        <v>0</v>
      </c>
      <c r="G89" s="29"/>
      <c r="H89" s="16">
        <f>SUM(H80:H88)</f>
        <v>0</v>
      </c>
      <c r="I89" s="16">
        <f>SUM(I80:I88)</f>
        <v>0</v>
      </c>
      <c r="K89" s="16">
        <f>SUM(K80:K88)</f>
        <v>0</v>
      </c>
      <c r="L89" s="16">
        <f>SUM(L80:L88)</f>
        <v>0</v>
      </c>
      <c r="N89" s="16">
        <f>SUM(N80:N88)</f>
        <v>0</v>
      </c>
      <c r="O89" s="16">
        <f>SUM(O80:O88)</f>
        <v>0</v>
      </c>
      <c r="Q89" s="16">
        <f>SUM(Q80:Q88)</f>
        <v>0</v>
      </c>
      <c r="R89" s="16">
        <f>SUM(R80:R88)</f>
        <v>0</v>
      </c>
      <c r="T89" s="16">
        <f>SUM(T80:T88)</f>
        <v>0</v>
      </c>
      <c r="U89" s="16">
        <f>SUM(U80:U88)</f>
        <v>0</v>
      </c>
      <c r="W89" s="16">
        <f>SUM(W80:W88)</f>
        <v>0</v>
      </c>
      <c r="X89" s="16">
        <f>SUM(X80:X88)</f>
        <v>0</v>
      </c>
      <c r="Z89" s="16">
        <f>SUM(Z80:Z88)</f>
        <v>0</v>
      </c>
      <c r="AA89" s="16">
        <f>SUM(AA80:AA88)</f>
        <v>0</v>
      </c>
      <c r="AB89" s="38"/>
      <c r="AC89" s="16">
        <f>SUM(AC80:AC88)</f>
        <v>0</v>
      </c>
      <c r="AD89" s="16">
        <f>SUM(AD80:AD88)</f>
        <v>0</v>
      </c>
      <c r="AE89" s="57"/>
      <c r="AF89" s="38"/>
      <c r="AW89" s="85"/>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row>
    <row r="90" spans="4:88" ht="15.75" thickTop="1" x14ac:dyDescent="0.25">
      <c r="D90" s="29"/>
      <c r="E90" s="10">
        <f>IF(E89&lt;F89,F89-E89,0)</f>
        <v>0</v>
      </c>
      <c r="F90" s="10">
        <f>IF(F89&lt;E89,E89-F89,0)</f>
        <v>0</v>
      </c>
      <c r="G90" s="29"/>
      <c r="H90" s="10">
        <f>IF(H89&lt;I89,I89-H89,0)</f>
        <v>0</v>
      </c>
      <c r="I90" s="10">
        <f>IF(I89&lt;H89,H89-I89,0)</f>
        <v>0</v>
      </c>
      <c r="K90" s="10">
        <f>IF(K89&lt;L89,L89-K89,0)</f>
        <v>0</v>
      </c>
      <c r="L90" s="10">
        <f>IF(L89&lt;K89,K89-L89,0)</f>
        <v>0</v>
      </c>
      <c r="N90" s="10">
        <f>IF(N89&lt;O89,O89-N89,0)</f>
        <v>0</v>
      </c>
      <c r="O90" s="10">
        <f>IF(O89&lt;N89,N89-O89,0)</f>
        <v>0</v>
      </c>
      <c r="Q90" s="10">
        <f>IF(Q89&lt;R89,R89-Q89,0)</f>
        <v>0</v>
      </c>
      <c r="R90" s="10">
        <f>IF(R89&lt;Q89,Q89-R89,0)</f>
        <v>0</v>
      </c>
      <c r="T90" s="10">
        <f>IF(T89&lt;U89,U89-T89,0)</f>
        <v>0</v>
      </c>
      <c r="U90" s="10">
        <f>IF(U89&lt;T89,T89-U89,0)</f>
        <v>0</v>
      </c>
      <c r="W90" s="10">
        <f>IF(W89&lt;X89,X89-W89,0)</f>
        <v>0</v>
      </c>
      <c r="X90" s="10">
        <f>IF(X89&lt;W89,W89-X89,0)</f>
        <v>0</v>
      </c>
      <c r="Z90" s="10">
        <f>IF(Z89&lt;AA89,AA89-Z89,0)</f>
        <v>0</v>
      </c>
      <c r="AA90" s="10">
        <f>IF(AA89&lt;Z89,Z89-AA89,0)</f>
        <v>0</v>
      </c>
      <c r="AB90" s="38"/>
      <c r="AC90" s="10">
        <f>IF(AC89&lt;AD89,AD89-AC89,0)</f>
        <v>0</v>
      </c>
      <c r="AD90" s="10">
        <f>IF(AD89&lt;AC89,AC89-AD89,0)</f>
        <v>0</v>
      </c>
      <c r="AE90" s="47"/>
      <c r="AF90" s="38"/>
      <c r="AW90" s="83" t="s">
        <v>154</v>
      </c>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row>
    <row r="91" spans="4:88" x14ac:dyDescent="0.25">
      <c r="D91" s="29"/>
      <c r="E91" s="20"/>
      <c r="F91" s="20"/>
      <c r="H91" s="20"/>
      <c r="I91" s="20"/>
      <c r="K91" s="20"/>
      <c r="L91" s="20"/>
      <c r="N91" s="20"/>
      <c r="O91" s="20"/>
      <c r="Q91" s="20"/>
      <c r="R91" s="20"/>
      <c r="T91" s="20"/>
      <c r="U91" s="20"/>
      <c r="W91" s="20"/>
      <c r="X91" s="20"/>
      <c r="Y91" s="38"/>
      <c r="Z91" s="47"/>
      <c r="AA91" s="47"/>
      <c r="AB91" s="47"/>
      <c r="AC91" s="47"/>
      <c r="AD91" s="47"/>
      <c r="AE91" s="47"/>
      <c r="AF91" s="38"/>
      <c r="AW91" s="83" t="s">
        <v>154</v>
      </c>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row>
    <row r="92" spans="4:88" ht="15.75" thickBot="1" x14ac:dyDescent="0.3">
      <c r="D92" s="29"/>
      <c r="E92" s="178"/>
      <c r="F92" s="179"/>
      <c r="H92" s="178"/>
      <c r="I92" s="179"/>
      <c r="K92" s="178"/>
      <c r="L92" s="179"/>
      <c r="N92" s="178"/>
      <c r="O92" s="179"/>
      <c r="Q92" s="178"/>
      <c r="R92" s="179"/>
      <c r="T92" s="178"/>
      <c r="U92" s="179"/>
      <c r="W92" s="178"/>
      <c r="X92" s="179"/>
      <c r="Y92" s="38"/>
      <c r="Z92" s="178"/>
      <c r="AA92" s="179"/>
      <c r="AB92" s="38"/>
      <c r="AC92" s="178"/>
      <c r="AD92" s="179"/>
      <c r="AE92" s="38"/>
      <c r="AF92" s="38"/>
      <c r="AW92" s="85"/>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row>
    <row r="93" spans="4:88" ht="15.75" thickBot="1" x14ac:dyDescent="0.3">
      <c r="E93" s="180" t="s">
        <v>32</v>
      </c>
      <c r="F93" s="181"/>
      <c r="H93" s="180" t="s">
        <v>33</v>
      </c>
      <c r="I93" s="181"/>
      <c r="K93" s="180" t="s">
        <v>116</v>
      </c>
      <c r="L93" s="181"/>
      <c r="N93" s="188" t="s">
        <v>117</v>
      </c>
      <c r="O93" s="189"/>
      <c r="Q93" s="188" t="s">
        <v>118</v>
      </c>
      <c r="R93" s="189"/>
      <c r="T93" s="188" t="s">
        <v>119</v>
      </c>
      <c r="U93" s="189"/>
      <c r="W93" s="188" t="s">
        <v>120</v>
      </c>
      <c r="X93" s="189"/>
      <c r="Z93" s="191" t="s">
        <v>121</v>
      </c>
      <c r="AA93" s="192"/>
      <c r="AB93" s="58"/>
      <c r="AC93" s="188" t="s">
        <v>122</v>
      </c>
      <c r="AD93" s="189"/>
      <c r="AE93" s="58"/>
      <c r="AF93" s="38"/>
      <c r="AW93" s="85"/>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row>
    <row r="94" spans="4:88" ht="15.75" thickBot="1" x14ac:dyDescent="0.3">
      <c r="D94" s="3" t="s">
        <v>10</v>
      </c>
      <c r="E94" s="4" t="s">
        <v>95</v>
      </c>
      <c r="F94" s="5" t="s">
        <v>94</v>
      </c>
      <c r="G94" s="14" t="s">
        <v>10</v>
      </c>
      <c r="H94" s="4" t="s">
        <v>95</v>
      </c>
      <c r="I94" s="5" t="s">
        <v>94</v>
      </c>
      <c r="J94" s="14" t="s">
        <v>10</v>
      </c>
      <c r="K94" s="4" t="s">
        <v>95</v>
      </c>
      <c r="L94" s="5" t="s">
        <v>94</v>
      </c>
      <c r="M94" s="14" t="s">
        <v>10</v>
      </c>
      <c r="N94" s="4" t="s">
        <v>95</v>
      </c>
      <c r="O94" s="5" t="s">
        <v>94</v>
      </c>
      <c r="P94" s="14" t="s">
        <v>10</v>
      </c>
      <c r="Q94" s="4" t="s">
        <v>95</v>
      </c>
      <c r="R94" s="5" t="s">
        <v>94</v>
      </c>
      <c r="S94" s="14" t="s">
        <v>10</v>
      </c>
      <c r="T94" s="4" t="s">
        <v>95</v>
      </c>
      <c r="U94" s="5" t="s">
        <v>94</v>
      </c>
      <c r="V94" s="14" t="s">
        <v>10</v>
      </c>
      <c r="W94" s="4" t="s">
        <v>95</v>
      </c>
      <c r="X94" s="5" t="s">
        <v>94</v>
      </c>
      <c r="Y94" s="14" t="s">
        <v>10</v>
      </c>
      <c r="Z94" s="4" t="s">
        <v>95</v>
      </c>
      <c r="AA94" s="5" t="s">
        <v>94</v>
      </c>
      <c r="AB94" s="14" t="s">
        <v>10</v>
      </c>
      <c r="AC94" s="4" t="s">
        <v>95</v>
      </c>
      <c r="AD94" s="5" t="s">
        <v>94</v>
      </c>
      <c r="AE94" s="54"/>
      <c r="AF94" s="38"/>
      <c r="AW94" s="83" t="s">
        <v>154</v>
      </c>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row>
    <row r="95" spans="4:88" x14ac:dyDescent="0.25">
      <c r="E95" s="6"/>
      <c r="F95" s="7"/>
      <c r="H95" s="6"/>
      <c r="I95" s="7"/>
      <c r="K95" s="6"/>
      <c r="L95" s="7"/>
      <c r="M95" s="19"/>
      <c r="N95" s="6"/>
      <c r="O95" s="7"/>
      <c r="P95" s="9"/>
      <c r="Q95" s="6"/>
      <c r="R95" s="7"/>
      <c r="S95" s="9"/>
      <c r="T95" s="6"/>
      <c r="U95" s="7"/>
      <c r="V95" s="9"/>
      <c r="W95" s="6"/>
      <c r="X95" s="7"/>
      <c r="Y95" s="9"/>
      <c r="Z95" s="6"/>
      <c r="AA95" s="7"/>
      <c r="AB95" s="61"/>
      <c r="AC95" s="6"/>
      <c r="AD95" s="7"/>
      <c r="AE95" s="7"/>
      <c r="AF95" s="38"/>
      <c r="AW95" s="85"/>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row>
    <row r="96" spans="4:88" x14ac:dyDescent="0.25">
      <c r="E96" s="8"/>
      <c r="F96" s="7"/>
      <c r="H96" s="8"/>
      <c r="I96" s="7"/>
      <c r="K96" s="8"/>
      <c r="L96" s="7"/>
      <c r="N96" s="8"/>
      <c r="O96" s="7"/>
      <c r="Q96" s="8"/>
      <c r="R96" s="7"/>
      <c r="T96" s="8"/>
      <c r="U96" s="7"/>
      <c r="W96" s="8"/>
      <c r="X96" s="7"/>
      <c r="Z96" s="8"/>
      <c r="AA96" s="7"/>
      <c r="AB96" s="61"/>
      <c r="AC96" s="8"/>
      <c r="AD96" s="7"/>
      <c r="AE96" s="7"/>
      <c r="AF96" s="38"/>
      <c r="AW96" s="85"/>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row>
    <row r="97" spans="4:88" x14ac:dyDescent="0.25">
      <c r="E97" s="8"/>
      <c r="F97" s="7"/>
      <c r="H97" s="8"/>
      <c r="I97" s="7"/>
      <c r="K97" s="8"/>
      <c r="L97" s="7"/>
      <c r="N97" s="8"/>
      <c r="O97" s="7"/>
      <c r="Q97" s="8"/>
      <c r="R97" s="7"/>
      <c r="T97" s="8"/>
      <c r="U97" s="7"/>
      <c r="W97" s="8"/>
      <c r="X97" s="7"/>
      <c r="Z97" s="8"/>
      <c r="AA97" s="7"/>
      <c r="AB97" s="61"/>
      <c r="AC97" s="8"/>
      <c r="AD97" s="7"/>
      <c r="AE97" s="7"/>
      <c r="AF97" s="38"/>
      <c r="AW97" s="83" t="s">
        <v>154</v>
      </c>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row>
    <row r="98" spans="4:88" x14ac:dyDescent="0.25">
      <c r="E98" s="8"/>
      <c r="F98" s="7"/>
      <c r="H98" s="8"/>
      <c r="I98" s="7"/>
      <c r="K98" s="8"/>
      <c r="L98" s="7"/>
      <c r="N98" s="8"/>
      <c r="O98" s="7"/>
      <c r="Q98" s="8"/>
      <c r="R98" s="7"/>
      <c r="T98" s="8"/>
      <c r="U98" s="7"/>
      <c r="W98" s="8"/>
      <c r="X98" s="7"/>
      <c r="Z98" s="8"/>
      <c r="AA98" s="7"/>
      <c r="AB98" s="61"/>
      <c r="AC98" s="8"/>
      <c r="AD98" s="7"/>
      <c r="AE98" s="7"/>
      <c r="AF98" s="38"/>
      <c r="AW98" s="83" t="s">
        <v>154</v>
      </c>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row>
    <row r="99" spans="4:88" x14ac:dyDescent="0.25">
      <c r="E99" s="8"/>
      <c r="F99" s="7"/>
      <c r="H99" s="8"/>
      <c r="I99" s="7"/>
      <c r="K99" s="8"/>
      <c r="L99" s="7"/>
      <c r="N99" s="8"/>
      <c r="O99" s="7"/>
      <c r="Q99" s="8"/>
      <c r="R99" s="7"/>
      <c r="T99" s="8"/>
      <c r="U99" s="7"/>
      <c r="W99" s="8"/>
      <c r="X99" s="7"/>
      <c r="Z99" s="8"/>
      <c r="AA99" s="7"/>
      <c r="AB99" s="61"/>
      <c r="AC99" s="8"/>
      <c r="AD99" s="7"/>
      <c r="AE99" s="7"/>
      <c r="AF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row>
    <row r="100" spans="4:88" x14ac:dyDescent="0.25">
      <c r="E100" s="8"/>
      <c r="F100" s="7"/>
      <c r="H100" s="8"/>
      <c r="I100" s="7"/>
      <c r="K100" s="8"/>
      <c r="L100" s="7"/>
      <c r="N100" s="8"/>
      <c r="O100" s="7"/>
      <c r="Q100" s="8"/>
      <c r="R100" s="7"/>
      <c r="T100" s="8"/>
      <c r="U100" s="7"/>
      <c r="W100" s="8"/>
      <c r="X100" s="7"/>
      <c r="Z100" s="8"/>
      <c r="AA100" s="7"/>
      <c r="AB100" s="61"/>
      <c r="AC100" s="8"/>
      <c r="AD100" s="7"/>
      <c r="AE100" s="7"/>
      <c r="AF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row>
    <row r="101" spans="4:88" ht="15.75" thickBot="1" x14ac:dyDescent="0.3">
      <c r="E101" s="16">
        <f>SUM(E95:E100)</f>
        <v>0</v>
      </c>
      <c r="F101" s="16">
        <f>SUM(F95:F100)</f>
        <v>0</v>
      </c>
      <c r="H101" s="16">
        <f>SUM(H95:H100)</f>
        <v>0</v>
      </c>
      <c r="I101" s="16">
        <f>SUM(I95:I100)</f>
        <v>0</v>
      </c>
      <c r="K101" s="16">
        <f>SUM(K95:K100)</f>
        <v>0</v>
      </c>
      <c r="L101" s="16">
        <f>SUM(L95:L100)</f>
        <v>0</v>
      </c>
      <c r="N101" s="16">
        <f>SUM(N95:N100)</f>
        <v>0</v>
      </c>
      <c r="O101" s="16">
        <f>SUM(O95:O100)</f>
        <v>0</v>
      </c>
      <c r="Q101" s="16">
        <f>SUM(Q95:Q100)</f>
        <v>0</v>
      </c>
      <c r="R101" s="16">
        <f>SUM(R95:R100)</f>
        <v>0</v>
      </c>
      <c r="T101" s="16">
        <f>SUM(T95:T100)</f>
        <v>0</v>
      </c>
      <c r="U101" s="16">
        <f>SUM(U95:U100)</f>
        <v>0</v>
      </c>
      <c r="W101" s="16">
        <f>SUM(W95:W100)</f>
        <v>0</v>
      </c>
      <c r="X101" s="16">
        <f>SUM(X95:X100)</f>
        <v>0</v>
      </c>
      <c r="Z101" s="16">
        <f>SUM(Z95:Z100)</f>
        <v>0</v>
      </c>
      <c r="AA101" s="16">
        <f>SUM(AA95:AA100)</f>
        <v>0</v>
      </c>
      <c r="AB101" s="11"/>
      <c r="AC101" s="16">
        <f>SUM(AC95:AC100)</f>
        <v>0</v>
      </c>
      <c r="AD101" s="16">
        <f>SUM(AD95:AD100)</f>
        <v>0</v>
      </c>
      <c r="AE101" s="11"/>
      <c r="AF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row>
    <row r="102" spans="4:88" ht="15.75" thickTop="1" x14ac:dyDescent="0.25">
      <c r="E102" s="10">
        <f>IF(E101&lt;F101,F101-E101,0)</f>
        <v>0</v>
      </c>
      <c r="F102" s="10">
        <f>IF(F101&lt;E101,E101-F101,0)</f>
        <v>0</v>
      </c>
      <c r="H102" s="10">
        <f>IF(H101&lt;I101,I101-H101,0)</f>
        <v>0</v>
      </c>
      <c r="I102" s="10">
        <f>IF(I101&lt;H101,H101-I101,0)</f>
        <v>0</v>
      </c>
      <c r="K102" s="10">
        <f>IF(K101&lt;L101,L101-K101,0)</f>
        <v>0</v>
      </c>
      <c r="L102" s="10">
        <f>IF(L101&lt;K101,K101-L101,0)</f>
        <v>0</v>
      </c>
      <c r="N102" s="10">
        <f>IF(N101&lt;O101,O101-N101,0)</f>
        <v>0</v>
      </c>
      <c r="O102" s="10">
        <f>IF(O101&lt;N101,N101-O101,0)</f>
        <v>0</v>
      </c>
      <c r="Q102" s="10">
        <f>IF(Q101&lt;R101,R101-Q101,0)</f>
        <v>0</v>
      </c>
      <c r="R102" s="10">
        <f>IF(R101&lt;Q101,Q101-R101,0)</f>
        <v>0</v>
      </c>
      <c r="T102" s="10">
        <f>IF(T101&lt;U101,U101-T101,0)</f>
        <v>0</v>
      </c>
      <c r="U102" s="10">
        <f>IF(U101&lt;T101,T101-U101,0)</f>
        <v>0</v>
      </c>
      <c r="W102" s="10">
        <f>IF(W101&lt;X101,X101-W101,0)</f>
        <v>0</v>
      </c>
      <c r="X102" s="10">
        <f>IF(X101&lt;W101,W101-X101,0)</f>
        <v>0</v>
      </c>
      <c r="Z102" s="10">
        <f>IF(Z101&lt;AA101,AA101-Z101,0)</f>
        <v>0</v>
      </c>
      <c r="AA102" s="10">
        <f>IF(AA101&lt;Z101,Z101-AA101,0)</f>
        <v>0</v>
      </c>
      <c r="AB102" s="20"/>
      <c r="AC102" s="10">
        <f>IF(AC101&lt;AD101,AD101-AC101,0)</f>
        <v>0</v>
      </c>
      <c r="AD102" s="10">
        <f>IF(AD101&lt;AC101,AC101-AD101,0)</f>
        <v>0</v>
      </c>
      <c r="AE102" s="20"/>
      <c r="AF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row>
    <row r="104" spans="4:88" ht="15.75" thickBot="1" x14ac:dyDescent="0.3">
      <c r="E104" s="178"/>
      <c r="F104" s="179"/>
      <c r="H104" s="178"/>
      <c r="I104" s="179"/>
      <c r="K104" s="178"/>
      <c r="L104" s="179"/>
      <c r="N104" s="178"/>
      <c r="O104" s="179"/>
      <c r="Q104" s="178"/>
      <c r="R104" s="179"/>
      <c r="T104" s="178"/>
      <c r="U104" s="179"/>
      <c r="W104" s="178"/>
      <c r="X104" s="179"/>
      <c r="Z104" s="178"/>
      <c r="AA104" s="179"/>
      <c r="AB104" s="20"/>
      <c r="AC104" s="178"/>
      <c r="AD104" s="179"/>
      <c r="AE104" s="20"/>
      <c r="AF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row>
    <row r="105" spans="4:88" ht="26.25" customHeight="1" thickBot="1" x14ac:dyDescent="0.3">
      <c r="E105" s="180" t="s">
        <v>114</v>
      </c>
      <c r="F105" s="181"/>
      <c r="H105" s="180" t="s">
        <v>115</v>
      </c>
      <c r="I105" s="181"/>
      <c r="K105" s="180" t="s">
        <v>34</v>
      </c>
      <c r="L105" s="181"/>
      <c r="N105" s="188" t="s">
        <v>35</v>
      </c>
      <c r="O105" s="189"/>
      <c r="Q105" s="188" t="s">
        <v>36</v>
      </c>
      <c r="R105" s="189"/>
      <c r="T105" s="188" t="s">
        <v>46</v>
      </c>
      <c r="U105" s="189"/>
      <c r="W105" s="188" t="str">
        <f>N4&amp;" muutos"</f>
        <v>Aine ja tarvikevarasto 1 muutos</v>
      </c>
      <c r="X105" s="189"/>
      <c r="Z105" s="205" t="str">
        <f>Q4&amp;" muutos"</f>
        <v>Valmiit tuotteet varasto 2 muutos</v>
      </c>
      <c r="AA105" s="206"/>
      <c r="AB105" s="58"/>
      <c r="AC105" s="188" t="s">
        <v>48</v>
      </c>
      <c r="AD105" s="189"/>
      <c r="AE105" s="38"/>
      <c r="AF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row>
    <row r="106" spans="4:88" ht="15.75" thickBot="1" x14ac:dyDescent="0.3">
      <c r="D106" s="3" t="s">
        <v>10</v>
      </c>
      <c r="E106" s="4" t="s">
        <v>95</v>
      </c>
      <c r="F106" s="5" t="s">
        <v>94</v>
      </c>
      <c r="H106" s="4" t="s">
        <v>95</v>
      </c>
      <c r="I106" s="5" t="s">
        <v>94</v>
      </c>
      <c r="J106" s="14" t="s">
        <v>10</v>
      </c>
      <c r="K106" s="4" t="s">
        <v>95</v>
      </c>
      <c r="L106" s="5" t="s">
        <v>94</v>
      </c>
      <c r="M106" s="14" t="s">
        <v>10</v>
      </c>
      <c r="N106" s="4" t="s">
        <v>95</v>
      </c>
      <c r="O106" s="5" t="s">
        <v>94</v>
      </c>
      <c r="P106" s="14" t="s">
        <v>10</v>
      </c>
      <c r="Q106" s="4" t="s">
        <v>95</v>
      </c>
      <c r="R106" s="5" t="s">
        <v>94</v>
      </c>
      <c r="S106" s="14" t="s">
        <v>10</v>
      </c>
      <c r="T106" s="4" t="s">
        <v>95</v>
      </c>
      <c r="U106" s="5" t="s">
        <v>94</v>
      </c>
      <c r="V106" s="14" t="s">
        <v>10</v>
      </c>
      <c r="W106" s="4" t="s">
        <v>95</v>
      </c>
      <c r="X106" s="5" t="s">
        <v>94</v>
      </c>
      <c r="Y106" s="14" t="s">
        <v>10</v>
      </c>
      <c r="Z106" s="4" t="s">
        <v>95</v>
      </c>
      <c r="AA106" s="5" t="s">
        <v>94</v>
      </c>
      <c r="AB106" s="14" t="s">
        <v>10</v>
      </c>
      <c r="AC106" s="4" t="s">
        <v>95</v>
      </c>
      <c r="AD106" s="5" t="s">
        <v>94</v>
      </c>
      <c r="AE106" s="38"/>
      <c r="AF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row>
    <row r="107" spans="4:88" x14ac:dyDescent="0.25">
      <c r="E107" s="6"/>
      <c r="F107" s="7">
        <v>0</v>
      </c>
      <c r="H107" s="6"/>
      <c r="I107" s="7"/>
      <c r="K107" s="6"/>
      <c r="L107" s="7"/>
      <c r="M107" s="19"/>
      <c r="N107" s="6"/>
      <c r="O107" s="7"/>
      <c r="P107" s="9"/>
      <c r="Q107" s="6"/>
      <c r="R107" s="7"/>
      <c r="S107" s="9"/>
      <c r="T107" s="6"/>
      <c r="U107" s="7"/>
      <c r="V107" s="9"/>
      <c r="W107" s="6"/>
      <c r="X107" s="7"/>
      <c r="Y107" s="9"/>
      <c r="Z107" s="6"/>
      <c r="AA107" s="7"/>
      <c r="AB107" s="61"/>
      <c r="AC107" s="6"/>
      <c r="AD107" s="7"/>
      <c r="AE107" s="38"/>
      <c r="AF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row>
    <row r="108" spans="4:88" x14ac:dyDescent="0.25">
      <c r="E108" s="8"/>
      <c r="F108" s="7"/>
      <c r="H108" s="8"/>
      <c r="I108" s="7"/>
      <c r="K108" s="8"/>
      <c r="L108" s="7"/>
      <c r="N108" s="8"/>
      <c r="O108" s="7"/>
      <c r="Q108" s="8"/>
      <c r="R108" s="7"/>
      <c r="T108" s="8"/>
      <c r="U108" s="7"/>
      <c r="W108" s="8"/>
      <c r="X108" s="7"/>
      <c r="Z108" s="8"/>
      <c r="AA108" s="7"/>
      <c r="AB108" s="61"/>
      <c r="AC108" s="8"/>
      <c r="AD108" s="7"/>
      <c r="AE108" s="38"/>
      <c r="AF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row>
    <row r="109" spans="4:88" x14ac:dyDescent="0.25">
      <c r="E109" s="8"/>
      <c r="F109" s="7"/>
      <c r="H109" s="8"/>
      <c r="I109" s="7"/>
      <c r="K109" s="8"/>
      <c r="L109" s="7"/>
      <c r="N109" s="8"/>
      <c r="O109" s="7"/>
      <c r="Q109" s="8"/>
      <c r="R109" s="7"/>
      <c r="T109" s="8"/>
      <c r="U109" s="7"/>
      <c r="W109" s="8"/>
      <c r="X109" s="7"/>
      <c r="Z109" s="8"/>
      <c r="AA109" s="7"/>
      <c r="AB109" s="61"/>
      <c r="AC109" s="8"/>
      <c r="AD109" s="7"/>
      <c r="AE109" s="38"/>
      <c r="AF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row>
    <row r="110" spans="4:88" x14ac:dyDescent="0.25">
      <c r="E110" s="8"/>
      <c r="F110" s="7"/>
      <c r="H110" s="8"/>
      <c r="I110" s="7"/>
      <c r="K110" s="8"/>
      <c r="L110" s="7"/>
      <c r="N110" s="8"/>
      <c r="O110" s="7"/>
      <c r="Q110" s="8"/>
      <c r="R110" s="7"/>
      <c r="T110" s="8"/>
      <c r="U110" s="7"/>
      <c r="W110" s="8"/>
      <c r="X110" s="7"/>
      <c r="Z110" s="8"/>
      <c r="AA110" s="7"/>
      <c r="AB110" s="61"/>
      <c r="AC110" s="8"/>
      <c r="AD110" s="7"/>
      <c r="AE110" s="38"/>
      <c r="AF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row>
    <row r="111" spans="4:88" x14ac:dyDescent="0.25">
      <c r="E111" s="8"/>
      <c r="F111" s="7"/>
      <c r="H111" s="8"/>
      <c r="I111" s="7"/>
      <c r="K111" s="8"/>
      <c r="L111" s="7"/>
      <c r="N111" s="8"/>
      <c r="O111" s="7"/>
      <c r="Q111" s="8"/>
      <c r="R111" s="7"/>
      <c r="T111" s="8"/>
      <c r="U111" s="7"/>
      <c r="W111" s="8"/>
      <c r="X111" s="7"/>
      <c r="Z111" s="8"/>
      <c r="AA111" s="7"/>
      <c r="AB111" s="61"/>
      <c r="AC111" s="8"/>
      <c r="AD111" s="7"/>
      <c r="AE111" s="38"/>
      <c r="AF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row>
    <row r="112" spans="4:88" x14ac:dyDescent="0.25">
      <c r="E112" s="8"/>
      <c r="F112" s="7"/>
      <c r="H112" s="8"/>
      <c r="I112" s="7"/>
      <c r="K112" s="8"/>
      <c r="L112" s="7"/>
      <c r="N112" s="8"/>
      <c r="O112" s="7"/>
      <c r="Q112" s="8"/>
      <c r="R112" s="7"/>
      <c r="T112" s="8"/>
      <c r="U112" s="7"/>
      <c r="W112" s="8"/>
      <c r="X112" s="7"/>
      <c r="Z112" s="8"/>
      <c r="AA112" s="7"/>
      <c r="AB112" s="61"/>
      <c r="AC112" s="8"/>
      <c r="AD112" s="7"/>
      <c r="AE112" s="38"/>
      <c r="AF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row>
    <row r="113" spans="1:88" ht="15.75" thickBot="1" x14ac:dyDescent="0.3">
      <c r="E113" s="16">
        <f>SUM(E107:E112)</f>
        <v>0</v>
      </c>
      <c r="F113" s="16">
        <f>SUM(F107:F112)</f>
        <v>0</v>
      </c>
      <c r="H113" s="16">
        <f>SUM(H107:H112)</f>
        <v>0</v>
      </c>
      <c r="I113" s="16">
        <f>SUM(I107:I112)</f>
        <v>0</v>
      </c>
      <c r="K113" s="16">
        <f>SUM(K107:K112)</f>
        <v>0</v>
      </c>
      <c r="L113" s="16">
        <f>SUM(L107:L112)</f>
        <v>0</v>
      </c>
      <c r="N113" s="16">
        <f>SUM(N107:N112)</f>
        <v>0</v>
      </c>
      <c r="O113" s="16">
        <f>SUM(O107:O112)</f>
        <v>0</v>
      </c>
      <c r="Q113" s="16">
        <f>SUM(Q107:Q112)</f>
        <v>0</v>
      </c>
      <c r="R113" s="16">
        <f>SUM(R107:R112)</f>
        <v>0</v>
      </c>
      <c r="T113" s="16">
        <f>SUM(T107:T112)</f>
        <v>0</v>
      </c>
      <c r="U113" s="16">
        <f>SUM(U107:U112)</f>
        <v>0</v>
      </c>
      <c r="W113" s="16">
        <f>SUM(W107:W112)</f>
        <v>0</v>
      </c>
      <c r="X113" s="16">
        <f>SUM(X107:X112)</f>
        <v>0</v>
      </c>
      <c r="Z113" s="16">
        <f>SUM(Z107:Z112)</f>
        <v>0</v>
      </c>
      <c r="AA113" s="16">
        <f>SUM(AA107:AA112)</f>
        <v>0</v>
      </c>
      <c r="AB113" s="11"/>
      <c r="AC113" s="16">
        <f>SUM(AC107:AC112)</f>
        <v>0</v>
      </c>
      <c r="AD113" s="16">
        <f>SUM(AD107:AD112)</f>
        <v>0</v>
      </c>
      <c r="AE113" s="38"/>
      <c r="AF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row>
    <row r="114" spans="1:88" ht="15.75" thickTop="1" x14ac:dyDescent="0.25">
      <c r="E114" s="10">
        <f>IF(E113&lt;F113,F113-E113,0)</f>
        <v>0</v>
      </c>
      <c r="F114" s="10">
        <f>IF(F113&lt;E113,E113-F113,0)</f>
        <v>0</v>
      </c>
      <c r="H114" s="10">
        <f>IF(H113&lt;I113,I113-H113,0)</f>
        <v>0</v>
      </c>
      <c r="I114" s="10">
        <f>IF(I113&lt;H113,H113-I113,0)</f>
        <v>0</v>
      </c>
      <c r="K114" s="10">
        <f>IF(K113&lt;L113,L113-K113,0)</f>
        <v>0</v>
      </c>
      <c r="L114" s="10">
        <f>IF(L113&lt;K113,K113-L113,0)</f>
        <v>0</v>
      </c>
      <c r="N114" s="10">
        <f>IF(N113&lt;O113,O113-N113,0)</f>
        <v>0</v>
      </c>
      <c r="O114" s="10">
        <f>IF(O113&lt;N113,N113-O113,0)</f>
        <v>0</v>
      </c>
      <c r="Q114" s="10">
        <f>IF(Q113&lt;R113,R113-Q113,0)</f>
        <v>0</v>
      </c>
      <c r="R114" s="10">
        <f>IF(R113&lt;Q113,Q113-R113,0)</f>
        <v>0</v>
      </c>
      <c r="T114" s="10">
        <f>IF(T113&lt;U113,U113-T113,0)</f>
        <v>0</v>
      </c>
      <c r="U114" s="10">
        <f>IF(U113&lt;T113,T113-U113,0)</f>
        <v>0</v>
      </c>
      <c r="W114" s="10">
        <f>IF(W113&lt;X113,X113-W113,0)</f>
        <v>0</v>
      </c>
      <c r="X114" s="10">
        <f>IF(X113&lt;W113,W113-X113,0)</f>
        <v>0</v>
      </c>
      <c r="Z114" s="10">
        <f>IF(Z113&lt;AA113,AA113-Z113,0)</f>
        <v>0</v>
      </c>
      <c r="AA114" s="10">
        <f>IF(AA113&lt;Z113,Z113-AA113,0)</f>
        <v>0</v>
      </c>
      <c r="AB114" s="20"/>
      <c r="AC114" s="10">
        <f>IF(AC113&lt;AD113,AD113-AC113,0)</f>
        <v>0</v>
      </c>
      <c r="AD114" s="10">
        <f>IF(AD113&lt;AC113,AC113-AD113,0)</f>
        <v>0</v>
      </c>
      <c r="AE114" s="38"/>
      <c r="AF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row>
    <row r="115" spans="1:88" x14ac:dyDescent="0.25">
      <c r="M115" s="35"/>
      <c r="N115" s="35"/>
      <c r="O115" s="35"/>
      <c r="P115" s="35"/>
      <c r="Q115" s="35"/>
      <c r="R115" s="35"/>
      <c r="S115" s="35"/>
      <c r="T115" s="35"/>
      <c r="U115" s="35"/>
      <c r="V115" s="35"/>
      <c r="W115" s="35"/>
      <c r="Y115" s="38"/>
      <c r="Z115" s="38"/>
      <c r="AA115" s="38"/>
      <c r="AB115" s="38"/>
      <c r="AC115" s="38"/>
      <c r="AD115" s="38"/>
      <c r="AE115" s="38"/>
      <c r="AF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row>
    <row r="116" spans="1:88" x14ac:dyDescent="0.25">
      <c r="M116" s="35"/>
      <c r="N116" s="35"/>
      <c r="O116" s="35"/>
      <c r="P116" s="35"/>
      <c r="Q116" s="35"/>
      <c r="R116" s="35"/>
      <c r="S116" s="35"/>
      <c r="T116" s="35"/>
      <c r="U116" s="35"/>
      <c r="V116" s="35"/>
      <c r="W116" s="35"/>
      <c r="Y116" s="38"/>
      <c r="Z116" s="38"/>
      <c r="AA116" s="38"/>
      <c r="AB116" s="38"/>
      <c r="AC116" s="38"/>
      <c r="AD116" s="38"/>
      <c r="AE116" s="38"/>
      <c r="AF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row>
    <row r="117" spans="1:88" ht="45" x14ac:dyDescent="0.25">
      <c r="A117" s="23" t="s">
        <v>37</v>
      </c>
      <c r="B117" s="29"/>
      <c r="D117" s="22" t="s">
        <v>38</v>
      </c>
      <c r="E117" s="23" t="s">
        <v>39</v>
      </c>
      <c r="F117" s="24" t="s">
        <v>40</v>
      </c>
      <c r="H117" s="25" t="s">
        <v>41</v>
      </c>
      <c r="I117" s="25" t="s">
        <v>42</v>
      </c>
      <c r="K117" s="22" t="s">
        <v>180</v>
      </c>
      <c r="L117" s="34" t="s">
        <v>43</v>
      </c>
      <c r="M117" s="35"/>
      <c r="N117" s="35"/>
      <c r="O117" s="35"/>
      <c r="P117" s="35"/>
      <c r="Q117" s="35"/>
      <c r="R117" s="35"/>
      <c r="S117" s="35"/>
      <c r="T117" s="35"/>
      <c r="U117" s="35"/>
      <c r="V117" s="35"/>
      <c r="W117" s="35"/>
      <c r="Y117" s="38"/>
      <c r="Z117" s="38"/>
      <c r="AA117" s="38"/>
      <c r="AB117" s="38"/>
      <c r="AC117" s="38"/>
      <c r="AD117" s="38"/>
      <c r="AE117" s="38"/>
      <c r="AF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row>
    <row r="118" spans="1:88" x14ac:dyDescent="0.25">
      <c r="A118" s="21"/>
      <c r="D118" s="29"/>
      <c r="E118" s="23"/>
      <c r="F118" s="24"/>
      <c r="H118" s="29"/>
      <c r="I118" s="29"/>
      <c r="K118" s="29"/>
      <c r="L118" s="34"/>
      <c r="M118" s="35"/>
      <c r="N118" s="35"/>
      <c r="O118" s="35"/>
      <c r="P118" s="35"/>
      <c r="Q118" s="35"/>
      <c r="R118" s="35"/>
      <c r="S118" s="35"/>
      <c r="T118" s="35"/>
      <c r="U118" s="35"/>
      <c r="V118" s="35"/>
      <c r="W118" s="35"/>
      <c r="Y118" s="38"/>
      <c r="Z118" s="38"/>
      <c r="AA118" s="38"/>
      <c r="AB118" s="38"/>
      <c r="AC118" s="38"/>
      <c r="AD118" s="38"/>
      <c r="AE118" s="38"/>
      <c r="AF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row>
    <row r="119" spans="1:88" x14ac:dyDescent="0.25">
      <c r="A119" s="182" t="s">
        <v>170</v>
      </c>
      <c r="B119" s="183"/>
      <c r="C119" s="184"/>
      <c r="D119" s="30">
        <v>1</v>
      </c>
      <c r="E119" s="31"/>
      <c r="F119" s="26"/>
      <c r="H119" s="36">
        <v>0</v>
      </c>
      <c r="I119" s="37">
        <f>F119/(1+H119)</f>
        <v>0</v>
      </c>
      <c r="K119" s="37">
        <f>F119-I119</f>
        <v>0</v>
      </c>
      <c r="L119" s="37">
        <f>I119*H119</f>
        <v>0</v>
      </c>
      <c r="M119" s="35"/>
      <c r="N119" s="35"/>
      <c r="O119" s="35"/>
      <c r="P119" s="35"/>
      <c r="Q119" s="35"/>
      <c r="R119" s="35"/>
      <c r="S119" s="35"/>
      <c r="T119" s="35"/>
      <c r="U119" s="35"/>
      <c r="V119" s="35"/>
      <c r="W119" s="35"/>
      <c r="Y119" s="38"/>
      <c r="Z119" s="38"/>
      <c r="AA119" s="38"/>
      <c r="AB119" s="38"/>
      <c r="AC119" s="38"/>
      <c r="AD119" s="38"/>
      <c r="AE119" s="38"/>
      <c r="AF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row>
    <row r="120" spans="1:88" ht="30" customHeight="1" x14ac:dyDescent="0.25">
      <c r="A120" s="185"/>
      <c r="B120" s="186"/>
      <c r="C120" s="187"/>
      <c r="D120" s="30">
        <f>D119+1</f>
        <v>2</v>
      </c>
      <c r="E120" s="31"/>
      <c r="F120" s="26"/>
      <c r="H120" s="36">
        <v>0.255</v>
      </c>
      <c r="I120" s="37">
        <f>F120/(1+H120)</f>
        <v>0</v>
      </c>
      <c r="K120" s="37">
        <f>F120-I120</f>
        <v>0</v>
      </c>
      <c r="L120" s="37">
        <f t="shared" ref="L120:L159" si="0">I120*H120</f>
        <v>0</v>
      </c>
      <c r="M120" s="35"/>
      <c r="N120" s="35"/>
      <c r="O120" s="35"/>
      <c r="P120" s="35"/>
      <c r="Q120" s="35"/>
      <c r="R120" s="35"/>
      <c r="S120" s="35"/>
      <c r="T120" s="35"/>
      <c r="U120" s="35"/>
      <c r="V120" s="35"/>
      <c r="W120" s="35"/>
      <c r="Y120" s="38"/>
      <c r="Z120" s="38"/>
      <c r="AA120" s="38"/>
      <c r="AB120" s="38"/>
      <c r="AC120" s="38"/>
      <c r="AD120" s="38"/>
      <c r="AE120" s="38"/>
      <c r="AF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row>
    <row r="121" spans="1:88" x14ac:dyDescent="0.25">
      <c r="A121" s="182"/>
      <c r="B121" s="183"/>
      <c r="C121" s="184"/>
      <c r="D121" s="30">
        <f t="shared" ref="D121:D159" si="1">D120+1</f>
        <v>3</v>
      </c>
      <c r="E121" s="32"/>
      <c r="F121" s="26"/>
      <c r="H121" s="36">
        <f>H120</f>
        <v>0.255</v>
      </c>
      <c r="I121" s="37">
        <f t="shared" ref="I121:I159" si="2">F121/(1+H121)</f>
        <v>0</v>
      </c>
      <c r="K121" s="37">
        <f t="shared" ref="K121:K159" si="3">F121-I121</f>
        <v>0</v>
      </c>
      <c r="L121" s="37">
        <f t="shared" si="0"/>
        <v>0</v>
      </c>
      <c r="M121" s="35"/>
      <c r="N121" s="35"/>
      <c r="O121" s="35"/>
      <c r="P121" s="35"/>
      <c r="Q121" s="35"/>
      <c r="R121" s="35"/>
      <c r="S121" s="35"/>
      <c r="T121" s="35"/>
      <c r="U121" s="35"/>
      <c r="V121" s="35"/>
      <c r="W121" s="35"/>
      <c r="Y121" s="38"/>
      <c r="Z121" s="38"/>
      <c r="AA121" s="38"/>
      <c r="AB121" s="38"/>
      <c r="AC121" s="38"/>
      <c r="AD121" s="38"/>
      <c r="AE121" s="38"/>
      <c r="AF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row>
    <row r="122" spans="1:88" x14ac:dyDescent="0.25">
      <c r="A122" s="182"/>
      <c r="B122" s="183"/>
      <c r="C122" s="184"/>
      <c r="D122" s="30">
        <f t="shared" si="1"/>
        <v>4</v>
      </c>
      <c r="E122" s="32"/>
      <c r="F122" s="26"/>
      <c r="H122" s="36">
        <f t="shared" ref="H122:H142" si="4">H121</f>
        <v>0.255</v>
      </c>
      <c r="I122" s="37">
        <f t="shared" si="2"/>
        <v>0</v>
      </c>
      <c r="K122" s="37">
        <f t="shared" si="3"/>
        <v>0</v>
      </c>
      <c r="L122" s="37">
        <f t="shared" si="0"/>
        <v>0</v>
      </c>
      <c r="M122" s="35"/>
      <c r="N122" s="35"/>
      <c r="O122" s="35"/>
      <c r="P122" s="35"/>
      <c r="Q122" s="35"/>
      <c r="R122" s="35"/>
      <c r="S122" s="35"/>
      <c r="T122" s="35"/>
      <c r="U122" s="35"/>
      <c r="V122" s="35"/>
      <c r="W122" s="35"/>
      <c r="Y122" s="38"/>
      <c r="Z122" s="38"/>
      <c r="AA122" s="38"/>
      <c r="AB122" s="38"/>
      <c r="AC122" s="38"/>
      <c r="AD122" s="38"/>
      <c r="AE122" s="38"/>
      <c r="AF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row>
    <row r="123" spans="1:88" x14ac:dyDescent="0.25">
      <c r="A123" s="182"/>
      <c r="B123" s="183"/>
      <c r="C123" s="184"/>
      <c r="D123" s="30">
        <f t="shared" si="1"/>
        <v>5</v>
      </c>
      <c r="E123" s="32"/>
      <c r="F123" s="26"/>
      <c r="H123" s="36">
        <f t="shared" si="4"/>
        <v>0.255</v>
      </c>
      <c r="I123" s="37">
        <f t="shared" si="2"/>
        <v>0</v>
      </c>
      <c r="K123" s="37">
        <f t="shared" si="3"/>
        <v>0</v>
      </c>
      <c r="L123" s="37">
        <f t="shared" si="0"/>
        <v>0</v>
      </c>
      <c r="M123" s="35"/>
      <c r="N123" s="35"/>
      <c r="O123" s="35"/>
      <c r="P123" s="35"/>
      <c r="Q123" s="35"/>
      <c r="R123" s="35"/>
      <c r="S123" s="35"/>
      <c r="T123" s="35"/>
      <c r="U123" s="35"/>
      <c r="V123" s="35"/>
      <c r="W123" s="35"/>
      <c r="Y123" s="38"/>
      <c r="Z123" s="38"/>
      <c r="AA123" s="38"/>
      <c r="AB123" s="38"/>
      <c r="AC123" s="38"/>
      <c r="AD123" s="38"/>
      <c r="AE123" s="38"/>
      <c r="AF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row>
    <row r="124" spans="1:88" x14ac:dyDescent="0.25">
      <c r="A124" s="182"/>
      <c r="B124" s="183"/>
      <c r="C124" s="184"/>
      <c r="D124" s="30">
        <f t="shared" si="1"/>
        <v>6</v>
      </c>
      <c r="E124" s="32"/>
      <c r="F124" s="26"/>
      <c r="H124" s="36">
        <f t="shared" si="4"/>
        <v>0.255</v>
      </c>
      <c r="I124" s="37">
        <f t="shared" si="2"/>
        <v>0</v>
      </c>
      <c r="K124" s="37">
        <f t="shared" si="3"/>
        <v>0</v>
      </c>
      <c r="L124" s="37">
        <f t="shared" si="0"/>
        <v>0</v>
      </c>
      <c r="M124" s="35"/>
      <c r="N124" s="35"/>
      <c r="O124" s="35"/>
      <c r="P124" s="35"/>
      <c r="Q124" s="35"/>
      <c r="R124" s="35"/>
      <c r="S124" s="35"/>
      <c r="T124" s="35"/>
      <c r="U124" s="35"/>
      <c r="V124" s="35"/>
      <c r="W124" s="35"/>
      <c r="Y124" s="38"/>
      <c r="Z124" s="38"/>
      <c r="AA124" s="38"/>
      <c r="AB124" s="38"/>
      <c r="AC124" s="38"/>
      <c r="AD124" s="38"/>
      <c r="AE124" s="38"/>
      <c r="AF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row>
    <row r="125" spans="1:88" x14ac:dyDescent="0.25">
      <c r="A125" s="73"/>
      <c r="B125" s="74"/>
      <c r="C125" s="75"/>
      <c r="D125" s="30">
        <f t="shared" si="1"/>
        <v>7</v>
      </c>
      <c r="E125" s="32"/>
      <c r="F125" s="26"/>
      <c r="H125" s="36">
        <f t="shared" si="4"/>
        <v>0.255</v>
      </c>
      <c r="I125" s="37">
        <f t="shared" si="2"/>
        <v>0</v>
      </c>
      <c r="K125" s="37">
        <f t="shared" si="3"/>
        <v>0</v>
      </c>
      <c r="L125" s="37">
        <f t="shared" si="0"/>
        <v>0</v>
      </c>
      <c r="M125" s="35"/>
      <c r="N125" s="35"/>
      <c r="O125" s="35"/>
      <c r="P125" s="35"/>
      <c r="Q125" s="35"/>
      <c r="R125" s="35"/>
      <c r="S125" s="35"/>
      <c r="T125" s="35"/>
      <c r="U125" s="35"/>
      <c r="V125" s="35"/>
      <c r="W125" s="35"/>
      <c r="Y125" s="38"/>
      <c r="Z125" s="38"/>
      <c r="AA125" s="38"/>
      <c r="AB125" s="38"/>
      <c r="AC125" s="38"/>
      <c r="AD125" s="38"/>
      <c r="AE125" s="38"/>
      <c r="AF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row>
    <row r="126" spans="1:88" ht="28.5" customHeight="1" x14ac:dyDescent="0.25">
      <c r="A126" s="185"/>
      <c r="B126" s="186"/>
      <c r="C126" s="187"/>
      <c r="D126" s="30">
        <f t="shared" si="1"/>
        <v>8</v>
      </c>
      <c r="E126" s="32"/>
      <c r="F126" s="26"/>
      <c r="H126" s="36">
        <f t="shared" si="4"/>
        <v>0.255</v>
      </c>
      <c r="I126" s="37">
        <f t="shared" si="2"/>
        <v>0</v>
      </c>
      <c r="K126" s="37">
        <f t="shared" si="3"/>
        <v>0</v>
      </c>
      <c r="L126" s="37">
        <f t="shared" si="0"/>
        <v>0</v>
      </c>
      <c r="M126" s="35"/>
      <c r="N126" s="35"/>
      <c r="O126" s="35"/>
      <c r="P126" s="35"/>
      <c r="Q126" s="35"/>
      <c r="R126" s="35"/>
      <c r="S126" s="35"/>
      <c r="T126" s="35"/>
      <c r="U126" s="35"/>
      <c r="V126" s="35"/>
      <c r="W126" s="35"/>
      <c r="Y126" s="38"/>
      <c r="Z126" s="38"/>
      <c r="AA126" s="38"/>
      <c r="AB126" s="38"/>
      <c r="AC126" s="38"/>
      <c r="AD126" s="38"/>
      <c r="AE126" s="38"/>
      <c r="AF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row>
    <row r="127" spans="1:88" ht="29.1" customHeight="1" x14ac:dyDescent="0.25">
      <c r="A127" s="182"/>
      <c r="B127" s="183"/>
      <c r="C127" s="184"/>
      <c r="D127" s="30">
        <f t="shared" si="1"/>
        <v>9</v>
      </c>
      <c r="E127" s="32"/>
      <c r="F127" s="26"/>
      <c r="H127" s="36">
        <f t="shared" si="4"/>
        <v>0.255</v>
      </c>
      <c r="I127" s="37">
        <f t="shared" si="2"/>
        <v>0</v>
      </c>
      <c r="K127" s="37">
        <f t="shared" si="3"/>
        <v>0</v>
      </c>
      <c r="L127" s="37">
        <f t="shared" si="0"/>
        <v>0</v>
      </c>
      <c r="M127" s="35"/>
      <c r="N127" s="35"/>
      <c r="O127" s="35"/>
      <c r="P127" s="35"/>
      <c r="Q127" s="35"/>
      <c r="R127" s="35"/>
      <c r="S127" s="35"/>
      <c r="T127" s="35"/>
      <c r="U127" s="35"/>
      <c r="V127" s="35"/>
      <c r="W127" s="35"/>
      <c r="Y127" s="38"/>
      <c r="Z127" s="38"/>
      <c r="AA127" s="38"/>
      <c r="AB127" s="38"/>
      <c r="AC127" s="38"/>
      <c r="AD127" s="38"/>
      <c r="AE127" s="38"/>
      <c r="AF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row>
    <row r="128" spans="1:88" x14ac:dyDescent="0.25">
      <c r="A128" s="182"/>
      <c r="B128" s="183"/>
      <c r="C128" s="184"/>
      <c r="D128" s="30">
        <f t="shared" si="1"/>
        <v>10</v>
      </c>
      <c r="E128" s="32"/>
      <c r="F128" s="26"/>
      <c r="H128" s="36">
        <f t="shared" si="4"/>
        <v>0.255</v>
      </c>
      <c r="I128" s="37">
        <f t="shared" si="2"/>
        <v>0</v>
      </c>
      <c r="K128" s="37">
        <f t="shared" si="3"/>
        <v>0</v>
      </c>
      <c r="L128" s="37">
        <f t="shared" si="0"/>
        <v>0</v>
      </c>
      <c r="M128" s="35"/>
      <c r="N128" s="35"/>
      <c r="O128" s="35"/>
      <c r="P128" s="35"/>
      <c r="Q128" s="35"/>
      <c r="R128" s="35"/>
      <c r="S128" s="35"/>
      <c r="T128" s="35"/>
      <c r="U128" s="35"/>
      <c r="V128" s="35"/>
      <c r="W128" s="35"/>
      <c r="Y128" s="38"/>
      <c r="Z128" s="38"/>
      <c r="AA128" s="38"/>
      <c r="AB128" s="38"/>
      <c r="AC128" s="38"/>
      <c r="AD128" s="38"/>
      <c r="AE128" s="38"/>
      <c r="AF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row>
    <row r="129" spans="1:88" ht="32.1" customHeight="1" x14ac:dyDescent="0.25">
      <c r="A129" s="182"/>
      <c r="B129" s="183"/>
      <c r="C129" s="184"/>
      <c r="D129" s="30">
        <f t="shared" si="1"/>
        <v>11</v>
      </c>
      <c r="E129" s="32"/>
      <c r="F129" s="26"/>
      <c r="H129" s="36">
        <f t="shared" si="4"/>
        <v>0.255</v>
      </c>
      <c r="I129" s="37">
        <f t="shared" si="2"/>
        <v>0</v>
      </c>
      <c r="K129" s="37">
        <f t="shared" si="3"/>
        <v>0</v>
      </c>
      <c r="L129" s="37">
        <f t="shared" si="0"/>
        <v>0</v>
      </c>
      <c r="M129" s="35"/>
      <c r="N129" s="35"/>
      <c r="O129" s="35"/>
      <c r="P129" s="35"/>
      <c r="Q129" s="35"/>
      <c r="R129" s="35"/>
      <c r="S129" s="35"/>
      <c r="T129" s="35"/>
      <c r="U129" s="35"/>
      <c r="V129" s="35"/>
      <c r="W129" s="35"/>
      <c r="Y129" s="38"/>
      <c r="Z129" s="38"/>
      <c r="AA129" s="38"/>
      <c r="AB129" s="38"/>
      <c r="AC129" s="38"/>
      <c r="AD129" s="38"/>
      <c r="AE129" s="38"/>
      <c r="AF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row>
    <row r="130" spans="1:88" x14ac:dyDescent="0.25">
      <c r="A130" s="182"/>
      <c r="B130" s="183"/>
      <c r="C130" s="184"/>
      <c r="D130" s="30">
        <f t="shared" si="1"/>
        <v>12</v>
      </c>
      <c r="E130" s="32"/>
      <c r="F130" s="26"/>
      <c r="H130" s="36">
        <f t="shared" si="4"/>
        <v>0.255</v>
      </c>
      <c r="I130" s="37">
        <f t="shared" si="2"/>
        <v>0</v>
      </c>
      <c r="K130" s="37">
        <f t="shared" si="3"/>
        <v>0</v>
      </c>
      <c r="L130" s="37">
        <f t="shared" si="0"/>
        <v>0</v>
      </c>
      <c r="M130" s="35"/>
      <c r="N130" s="35"/>
      <c r="O130" s="35"/>
      <c r="P130" s="35"/>
      <c r="Q130" s="35"/>
      <c r="R130" s="35"/>
      <c r="S130" s="35"/>
      <c r="T130" s="35"/>
      <c r="U130" s="35"/>
      <c r="V130" s="35"/>
      <c r="W130" s="35"/>
      <c r="Y130" s="38"/>
      <c r="Z130" s="38"/>
      <c r="AA130" s="38"/>
      <c r="AB130" s="38"/>
      <c r="AC130" s="38"/>
      <c r="AD130" s="38"/>
      <c r="AE130" s="38"/>
      <c r="AF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row>
    <row r="131" spans="1:88" x14ac:dyDescent="0.25">
      <c r="A131" s="182"/>
      <c r="B131" s="183"/>
      <c r="C131" s="184"/>
      <c r="D131" s="30">
        <f t="shared" si="1"/>
        <v>13</v>
      </c>
      <c r="E131" s="32"/>
      <c r="F131" s="26"/>
      <c r="H131" s="36">
        <f t="shared" si="4"/>
        <v>0.255</v>
      </c>
      <c r="I131" s="37">
        <f t="shared" si="2"/>
        <v>0</v>
      </c>
      <c r="K131" s="37">
        <f t="shared" si="3"/>
        <v>0</v>
      </c>
      <c r="L131" s="37">
        <f t="shared" si="0"/>
        <v>0</v>
      </c>
      <c r="M131" s="35"/>
      <c r="N131" s="35"/>
      <c r="O131" s="35"/>
      <c r="P131" s="35"/>
      <c r="Q131" s="35"/>
      <c r="R131" s="35"/>
      <c r="S131" s="35"/>
      <c r="T131" s="35"/>
      <c r="U131" s="35"/>
      <c r="V131" s="35"/>
      <c r="W131" s="35"/>
      <c r="Y131" s="38"/>
      <c r="Z131" s="38"/>
      <c r="AA131" s="38"/>
      <c r="AB131" s="38"/>
      <c r="AC131" s="38"/>
      <c r="AD131" s="38"/>
      <c r="AE131" s="38"/>
      <c r="AF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row>
    <row r="132" spans="1:88" ht="29.25" customHeight="1" x14ac:dyDescent="0.25">
      <c r="A132" s="196"/>
      <c r="B132" s="197"/>
      <c r="C132" s="198"/>
      <c r="D132" s="30">
        <f t="shared" si="1"/>
        <v>14</v>
      </c>
      <c r="E132" s="32"/>
      <c r="F132" s="26"/>
      <c r="H132" s="36">
        <f t="shared" si="4"/>
        <v>0.255</v>
      </c>
      <c r="I132" s="37">
        <f t="shared" si="2"/>
        <v>0</v>
      </c>
      <c r="K132" s="37">
        <f t="shared" si="3"/>
        <v>0</v>
      </c>
      <c r="L132" s="37">
        <f t="shared" si="0"/>
        <v>0</v>
      </c>
      <c r="M132" s="35"/>
      <c r="N132" s="35"/>
      <c r="O132" s="35"/>
      <c r="P132" s="35"/>
      <c r="Q132" s="35"/>
      <c r="R132" s="35"/>
      <c r="S132" s="35"/>
      <c r="T132" s="35"/>
      <c r="U132" s="35"/>
      <c r="V132" s="35"/>
      <c r="W132" s="35"/>
      <c r="Y132" s="38"/>
      <c r="Z132" s="38"/>
      <c r="AA132" s="38"/>
      <c r="AB132" s="38"/>
      <c r="AC132" s="38"/>
      <c r="AD132" s="38"/>
      <c r="AE132" s="38"/>
      <c r="AF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row>
    <row r="133" spans="1:88" x14ac:dyDescent="0.25">
      <c r="A133" s="182"/>
      <c r="B133" s="183"/>
      <c r="C133" s="184"/>
      <c r="D133" s="30">
        <f t="shared" si="1"/>
        <v>15</v>
      </c>
      <c r="E133" s="32"/>
      <c r="F133" s="26"/>
      <c r="H133" s="36">
        <f t="shared" si="4"/>
        <v>0.255</v>
      </c>
      <c r="I133" s="37">
        <f t="shared" si="2"/>
        <v>0</v>
      </c>
      <c r="K133" s="37">
        <f t="shared" si="3"/>
        <v>0</v>
      </c>
      <c r="L133" s="37">
        <f t="shared" si="0"/>
        <v>0</v>
      </c>
      <c r="M133" s="35"/>
      <c r="N133" s="35"/>
      <c r="O133" s="35"/>
      <c r="P133" s="35"/>
      <c r="Q133" s="35"/>
      <c r="R133" s="35"/>
      <c r="S133" s="35"/>
      <c r="T133" s="35"/>
      <c r="U133" s="35"/>
      <c r="V133" s="35"/>
      <c r="W133" s="35"/>
      <c r="Y133" s="38"/>
      <c r="Z133" s="38"/>
      <c r="AA133" s="38"/>
      <c r="AB133" s="38"/>
      <c r="AC133" s="38"/>
      <c r="AD133" s="38"/>
      <c r="AE133" s="38"/>
      <c r="AF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row>
    <row r="134" spans="1:88" ht="22.5" customHeight="1" x14ac:dyDescent="0.25">
      <c r="A134" s="182"/>
      <c r="B134" s="183"/>
      <c r="C134" s="184"/>
      <c r="D134" s="30">
        <f t="shared" si="1"/>
        <v>16</v>
      </c>
      <c r="E134" s="32"/>
      <c r="F134" s="26"/>
      <c r="H134" s="36">
        <f t="shared" si="4"/>
        <v>0.255</v>
      </c>
      <c r="I134" s="37">
        <f t="shared" si="2"/>
        <v>0</v>
      </c>
      <c r="K134" s="37">
        <f t="shared" si="3"/>
        <v>0</v>
      </c>
      <c r="L134" s="37">
        <f t="shared" si="0"/>
        <v>0</v>
      </c>
      <c r="M134" s="35"/>
      <c r="N134" s="35"/>
      <c r="O134" s="35"/>
      <c r="P134" s="35"/>
      <c r="Q134" s="35"/>
      <c r="R134" s="35"/>
      <c r="S134" s="35"/>
      <c r="T134" s="35"/>
      <c r="U134" s="35"/>
      <c r="V134" s="35"/>
      <c r="W134" s="35"/>
      <c r="Y134" s="38"/>
      <c r="Z134" s="38"/>
      <c r="AA134" s="38"/>
      <c r="AB134" s="38"/>
      <c r="AC134" s="38"/>
      <c r="AD134" s="38"/>
      <c r="AE134" s="38"/>
      <c r="AF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row>
    <row r="135" spans="1:88" ht="31.5" customHeight="1" x14ac:dyDescent="0.25">
      <c r="A135" s="185"/>
      <c r="B135" s="186"/>
      <c r="C135" s="187"/>
      <c r="D135" s="30">
        <f t="shared" si="1"/>
        <v>17</v>
      </c>
      <c r="E135" s="32"/>
      <c r="F135" s="26"/>
      <c r="H135" s="36">
        <f t="shared" si="4"/>
        <v>0.255</v>
      </c>
      <c r="I135" s="37">
        <f t="shared" si="2"/>
        <v>0</v>
      </c>
      <c r="K135" s="37">
        <f t="shared" si="3"/>
        <v>0</v>
      </c>
      <c r="L135" s="37">
        <f t="shared" si="0"/>
        <v>0</v>
      </c>
      <c r="M135" s="35"/>
      <c r="N135" s="35"/>
      <c r="O135" s="35"/>
      <c r="P135" s="35"/>
      <c r="Q135" s="35"/>
      <c r="R135" s="35"/>
      <c r="S135" s="35"/>
      <c r="T135" s="35"/>
      <c r="U135" s="35"/>
      <c r="V135" s="35"/>
      <c r="W135" s="35"/>
      <c r="Y135" s="38"/>
      <c r="Z135" s="38"/>
      <c r="AA135" s="38"/>
      <c r="AB135" s="38"/>
      <c r="AC135" s="38"/>
      <c r="AD135" s="38"/>
      <c r="AE135" s="38"/>
      <c r="AF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row>
    <row r="136" spans="1:88" ht="28.5" customHeight="1" x14ac:dyDescent="0.25">
      <c r="A136" s="196"/>
      <c r="B136" s="197"/>
      <c r="C136" s="198"/>
      <c r="D136" s="30">
        <f t="shared" si="1"/>
        <v>18</v>
      </c>
      <c r="E136" s="32"/>
      <c r="F136" s="26"/>
      <c r="H136" s="36">
        <f t="shared" si="4"/>
        <v>0.255</v>
      </c>
      <c r="I136" s="37">
        <f t="shared" si="2"/>
        <v>0</v>
      </c>
      <c r="K136" s="37">
        <f t="shared" si="3"/>
        <v>0</v>
      </c>
      <c r="L136" s="37">
        <f t="shared" si="0"/>
        <v>0</v>
      </c>
      <c r="M136" s="35"/>
      <c r="N136" s="35"/>
      <c r="O136" s="35"/>
      <c r="P136" s="35"/>
      <c r="Q136" s="35"/>
      <c r="R136" s="35"/>
      <c r="S136" s="35"/>
      <c r="T136" s="35"/>
      <c r="U136" s="35"/>
      <c r="V136" s="35"/>
      <c r="W136" s="35"/>
      <c r="Y136" s="38"/>
      <c r="Z136" s="38"/>
      <c r="AA136" s="38"/>
      <c r="AB136" s="38"/>
      <c r="AC136" s="38"/>
      <c r="AD136" s="38"/>
      <c r="AE136" s="38"/>
      <c r="AF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row>
    <row r="137" spans="1:88" ht="24" customHeight="1" x14ac:dyDescent="0.25">
      <c r="A137" s="182"/>
      <c r="B137" s="183"/>
      <c r="C137" s="184"/>
      <c r="D137" s="30">
        <f t="shared" si="1"/>
        <v>19</v>
      </c>
      <c r="E137" s="32"/>
      <c r="F137" s="26"/>
      <c r="H137" s="36">
        <f t="shared" si="4"/>
        <v>0.255</v>
      </c>
      <c r="I137" s="37">
        <f t="shared" si="2"/>
        <v>0</v>
      </c>
      <c r="K137" s="37">
        <f t="shared" si="3"/>
        <v>0</v>
      </c>
      <c r="L137" s="37">
        <f t="shared" si="0"/>
        <v>0</v>
      </c>
      <c r="M137" s="35"/>
      <c r="N137" s="35"/>
      <c r="O137" s="35"/>
      <c r="P137" s="35"/>
      <c r="Q137" s="35"/>
      <c r="R137" s="35"/>
      <c r="S137" s="35"/>
      <c r="T137" s="35"/>
      <c r="U137" s="35"/>
      <c r="V137" s="35"/>
      <c r="W137" s="35"/>
      <c r="Y137" s="38"/>
      <c r="Z137" s="38"/>
      <c r="AA137" s="38"/>
      <c r="AB137" s="38"/>
      <c r="AC137" s="38"/>
      <c r="AD137" s="38"/>
      <c r="AE137" s="38"/>
      <c r="AF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row>
    <row r="138" spans="1:88" ht="50.25" customHeight="1" x14ac:dyDescent="0.25">
      <c r="A138" s="185"/>
      <c r="B138" s="186"/>
      <c r="C138" s="187"/>
      <c r="D138" s="30">
        <f t="shared" si="1"/>
        <v>20</v>
      </c>
      <c r="E138" s="32"/>
      <c r="F138" s="27"/>
      <c r="H138" s="36">
        <f t="shared" si="4"/>
        <v>0.255</v>
      </c>
      <c r="I138" s="37">
        <f t="shared" si="2"/>
        <v>0</v>
      </c>
      <c r="K138" s="37">
        <f t="shared" si="3"/>
        <v>0</v>
      </c>
      <c r="L138" s="37">
        <f t="shared" si="0"/>
        <v>0</v>
      </c>
      <c r="M138" s="35"/>
      <c r="N138" s="35"/>
      <c r="O138" s="35"/>
      <c r="P138" s="35"/>
      <c r="Q138" s="35"/>
      <c r="R138" s="35"/>
      <c r="S138" s="35"/>
      <c r="T138" s="35"/>
      <c r="U138" s="35"/>
      <c r="V138" s="35"/>
      <c r="W138" s="35"/>
      <c r="Y138" s="38"/>
      <c r="Z138" s="38"/>
      <c r="AA138" s="38"/>
      <c r="AB138" s="38"/>
      <c r="AC138" s="38"/>
      <c r="AD138" s="38"/>
      <c r="AE138" s="38"/>
      <c r="AF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row>
    <row r="139" spans="1:88" ht="31.5" customHeight="1" x14ac:dyDescent="0.25">
      <c r="A139" s="185"/>
      <c r="B139" s="186"/>
      <c r="C139" s="187"/>
      <c r="D139" s="30">
        <f t="shared" si="1"/>
        <v>21</v>
      </c>
      <c r="E139" s="32"/>
      <c r="F139" s="26"/>
      <c r="H139" s="36">
        <f t="shared" si="4"/>
        <v>0.255</v>
      </c>
      <c r="I139" s="37">
        <f t="shared" si="2"/>
        <v>0</v>
      </c>
      <c r="K139" s="37">
        <f t="shared" si="3"/>
        <v>0</v>
      </c>
      <c r="L139" s="37">
        <f t="shared" si="0"/>
        <v>0</v>
      </c>
      <c r="M139" s="35"/>
      <c r="N139" s="35"/>
      <c r="O139" s="35"/>
      <c r="P139" s="35"/>
      <c r="Q139" s="35"/>
      <c r="R139" s="35"/>
      <c r="S139" s="35"/>
      <c r="T139" s="35"/>
      <c r="U139" s="35"/>
      <c r="V139" s="35"/>
      <c r="W139" s="35"/>
      <c r="Y139" s="38"/>
      <c r="Z139" s="38"/>
      <c r="AA139" s="38"/>
      <c r="AB139" s="38"/>
      <c r="AC139" s="38"/>
      <c r="AD139" s="38"/>
      <c r="AE139" s="38"/>
      <c r="AF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row>
    <row r="140" spans="1:88" x14ac:dyDescent="0.25">
      <c r="A140" s="182"/>
      <c r="B140" s="183"/>
      <c r="C140" s="184"/>
      <c r="D140" s="30">
        <f t="shared" si="1"/>
        <v>22</v>
      </c>
      <c r="E140" s="32"/>
      <c r="F140" s="26"/>
      <c r="H140" s="36">
        <f t="shared" si="4"/>
        <v>0.255</v>
      </c>
      <c r="I140" s="37">
        <f t="shared" si="2"/>
        <v>0</v>
      </c>
      <c r="K140" s="37">
        <f t="shared" si="3"/>
        <v>0</v>
      </c>
      <c r="L140" s="37">
        <f t="shared" si="0"/>
        <v>0</v>
      </c>
      <c r="M140" s="35"/>
      <c r="N140" s="35"/>
      <c r="O140" s="35"/>
      <c r="P140" s="35"/>
      <c r="Q140" s="35"/>
      <c r="R140" s="35"/>
      <c r="S140" s="35"/>
      <c r="T140" s="35"/>
      <c r="U140" s="35"/>
      <c r="V140" s="35"/>
      <c r="W140" s="35"/>
      <c r="Y140" s="38"/>
      <c r="Z140" s="38"/>
      <c r="AA140" s="38"/>
      <c r="AB140" s="38"/>
      <c r="AC140" s="38"/>
      <c r="AD140" s="38"/>
      <c r="AE140" s="38"/>
      <c r="AF140" s="38"/>
      <c r="AG140" s="62"/>
      <c r="AI140" s="42"/>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row>
    <row r="141" spans="1:88" ht="37.5" customHeight="1" x14ac:dyDescent="0.25">
      <c r="A141" s="182"/>
      <c r="B141" s="183"/>
      <c r="C141" s="184"/>
      <c r="D141" s="30">
        <f t="shared" si="1"/>
        <v>23</v>
      </c>
      <c r="E141" s="32"/>
      <c r="F141" s="27"/>
      <c r="H141" s="36">
        <f t="shared" si="4"/>
        <v>0.255</v>
      </c>
      <c r="I141" s="37">
        <f t="shared" si="2"/>
        <v>0</v>
      </c>
      <c r="K141" s="37">
        <f t="shared" si="3"/>
        <v>0</v>
      </c>
      <c r="L141" s="37">
        <f t="shared" si="0"/>
        <v>0</v>
      </c>
      <c r="M141" s="35"/>
      <c r="N141" s="35"/>
      <c r="O141" s="35"/>
      <c r="P141" s="35"/>
      <c r="Q141" s="35"/>
      <c r="R141" s="35"/>
      <c r="S141" s="35"/>
      <c r="T141" s="35"/>
      <c r="U141" s="35"/>
      <c r="V141" s="35"/>
      <c r="W141" s="35"/>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row>
    <row r="142" spans="1:88" x14ac:dyDescent="0.25">
      <c r="A142" s="182"/>
      <c r="B142" s="183"/>
      <c r="C142" s="184"/>
      <c r="D142" s="30">
        <f t="shared" si="1"/>
        <v>24</v>
      </c>
      <c r="E142" s="32"/>
      <c r="F142" s="26"/>
      <c r="H142" s="36">
        <f t="shared" si="4"/>
        <v>0.255</v>
      </c>
      <c r="I142" s="37">
        <f t="shared" si="2"/>
        <v>0</v>
      </c>
      <c r="K142" s="37">
        <f t="shared" si="3"/>
        <v>0</v>
      </c>
      <c r="L142" s="37">
        <f t="shared" si="0"/>
        <v>0</v>
      </c>
      <c r="M142" s="35"/>
      <c r="N142" s="35"/>
      <c r="O142" s="35"/>
      <c r="P142" s="35"/>
      <c r="Q142" s="35"/>
      <c r="R142" s="35"/>
      <c r="S142" s="35"/>
      <c r="T142" s="35"/>
      <c r="U142" s="35"/>
      <c r="V142" s="35"/>
      <c r="W142" s="35"/>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row>
    <row r="143" spans="1:88" ht="31.5" customHeight="1" x14ac:dyDescent="0.25">
      <c r="A143" s="202" t="s">
        <v>45</v>
      </c>
      <c r="B143" s="203"/>
      <c r="C143" s="204"/>
      <c r="D143" s="30"/>
      <c r="E143" s="32"/>
      <c r="F143" s="26"/>
      <c r="H143" s="36"/>
      <c r="I143" s="37"/>
      <c r="K143" s="37"/>
      <c r="L143" s="37"/>
      <c r="M143" s="35"/>
      <c r="N143" s="35"/>
      <c r="O143" s="35"/>
      <c r="P143" s="35"/>
      <c r="Q143" s="35"/>
      <c r="R143" s="35"/>
      <c r="S143" s="35"/>
      <c r="T143" s="35"/>
      <c r="U143" s="35"/>
      <c r="V143" s="35"/>
      <c r="W143" s="35"/>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row>
    <row r="144" spans="1:88" ht="29.25" customHeight="1" x14ac:dyDescent="0.25">
      <c r="A144" s="199"/>
      <c r="B144" s="200"/>
      <c r="C144" s="201"/>
      <c r="D144" s="30">
        <f>D142+1</f>
        <v>25</v>
      </c>
      <c r="E144" s="32"/>
      <c r="F144" s="26"/>
      <c r="H144" s="36">
        <v>0</v>
      </c>
      <c r="I144" s="37">
        <f t="shared" si="2"/>
        <v>0</v>
      </c>
      <c r="K144" s="37">
        <f t="shared" si="3"/>
        <v>0</v>
      </c>
      <c r="L144" s="37">
        <f t="shared" si="0"/>
        <v>0</v>
      </c>
      <c r="M144" s="35"/>
      <c r="N144" s="35"/>
      <c r="O144" s="35"/>
      <c r="P144" s="35"/>
      <c r="Q144" s="35"/>
      <c r="R144" s="35"/>
      <c r="S144" s="35"/>
      <c r="T144" s="35"/>
      <c r="U144" s="35"/>
      <c r="V144" s="35"/>
      <c r="W144" s="35"/>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row>
    <row r="145" spans="1:88" ht="36" customHeight="1" x14ac:dyDescent="0.25">
      <c r="A145" s="207"/>
      <c r="B145" s="208"/>
      <c r="C145" s="209"/>
      <c r="D145" s="30">
        <f>D144+1</f>
        <v>26</v>
      </c>
      <c r="E145" s="32"/>
      <c r="F145" s="26"/>
      <c r="H145" s="36">
        <v>0</v>
      </c>
      <c r="I145" s="37">
        <f t="shared" si="2"/>
        <v>0</v>
      </c>
      <c r="K145" s="37">
        <f t="shared" si="3"/>
        <v>0</v>
      </c>
      <c r="L145" s="37">
        <f t="shared" si="0"/>
        <v>0</v>
      </c>
      <c r="M145" s="35"/>
      <c r="N145" s="35"/>
      <c r="O145" s="35"/>
      <c r="P145" s="35"/>
      <c r="Q145" s="35"/>
      <c r="R145" s="35"/>
      <c r="S145" s="35"/>
      <c r="T145" s="35"/>
      <c r="U145" s="35"/>
      <c r="V145" s="35"/>
      <c r="W145" s="35"/>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row>
    <row r="146" spans="1:88" ht="60" customHeight="1" x14ac:dyDescent="0.25">
      <c r="A146" s="207"/>
      <c r="B146" s="208"/>
      <c r="C146" s="209"/>
      <c r="D146" s="30">
        <f t="shared" si="1"/>
        <v>27</v>
      </c>
      <c r="E146" s="32"/>
      <c r="F146" s="26"/>
      <c r="H146" s="36">
        <v>0</v>
      </c>
      <c r="I146" s="37">
        <f t="shared" si="2"/>
        <v>0</v>
      </c>
      <c r="K146" s="37">
        <f t="shared" si="3"/>
        <v>0</v>
      </c>
      <c r="L146" s="37">
        <f t="shared" si="0"/>
        <v>0</v>
      </c>
      <c r="M146" s="35"/>
      <c r="N146" s="35"/>
      <c r="O146" s="35"/>
      <c r="P146" s="35"/>
      <c r="Q146" s="35"/>
      <c r="R146" s="35"/>
      <c r="S146" s="35"/>
      <c r="T146" s="35"/>
      <c r="U146" s="35"/>
      <c r="V146" s="35"/>
      <c r="W146" s="35"/>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row>
    <row r="147" spans="1:88" ht="39.75" customHeight="1" x14ac:dyDescent="0.25">
      <c r="A147" s="207"/>
      <c r="B147" s="208"/>
      <c r="C147" s="209"/>
      <c r="D147" s="30">
        <f t="shared" si="1"/>
        <v>28</v>
      </c>
      <c r="E147" s="32"/>
      <c r="F147" s="26"/>
      <c r="H147" s="36">
        <v>0</v>
      </c>
      <c r="I147" s="37">
        <f t="shared" si="2"/>
        <v>0</v>
      </c>
      <c r="K147" s="37">
        <f t="shared" si="3"/>
        <v>0</v>
      </c>
      <c r="L147" s="37">
        <f t="shared" si="0"/>
        <v>0</v>
      </c>
      <c r="M147" s="35"/>
      <c r="N147" s="35"/>
      <c r="O147" s="35"/>
      <c r="P147" s="35"/>
      <c r="Q147" s="35"/>
      <c r="R147" s="35"/>
      <c r="S147" s="35"/>
      <c r="T147" s="35"/>
      <c r="U147" s="35"/>
      <c r="V147" s="35"/>
      <c r="W147" s="35"/>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row>
    <row r="148" spans="1:88" x14ac:dyDescent="0.25">
      <c r="A148" s="199"/>
      <c r="B148" s="200"/>
      <c r="C148" s="201"/>
      <c r="D148" s="30">
        <f t="shared" si="1"/>
        <v>29</v>
      </c>
      <c r="E148" s="32"/>
      <c r="F148" s="27"/>
      <c r="H148" s="36">
        <v>0</v>
      </c>
      <c r="I148" s="37">
        <f t="shared" si="2"/>
        <v>0</v>
      </c>
      <c r="K148" s="37">
        <f t="shared" si="3"/>
        <v>0</v>
      </c>
      <c r="L148" s="37">
        <f t="shared" si="0"/>
        <v>0</v>
      </c>
      <c r="M148" s="35"/>
      <c r="N148" s="35"/>
      <c r="O148" s="35"/>
      <c r="P148" s="35"/>
      <c r="Q148" s="35"/>
      <c r="R148" s="35"/>
      <c r="S148" s="35"/>
      <c r="T148" s="35"/>
      <c r="U148" s="35"/>
      <c r="V148" s="35"/>
      <c r="W148" s="35"/>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row>
    <row r="149" spans="1:88" x14ac:dyDescent="0.25">
      <c r="A149" s="199"/>
      <c r="B149" s="200"/>
      <c r="C149" s="201"/>
      <c r="D149" s="30">
        <f t="shared" si="1"/>
        <v>30</v>
      </c>
      <c r="E149" s="32"/>
      <c r="F149" s="27"/>
      <c r="H149" s="36">
        <v>0</v>
      </c>
      <c r="I149" s="37">
        <f t="shared" si="2"/>
        <v>0</v>
      </c>
      <c r="K149" s="37">
        <f t="shared" si="3"/>
        <v>0</v>
      </c>
      <c r="L149" s="37">
        <f t="shared" si="0"/>
        <v>0</v>
      </c>
      <c r="M149" s="35"/>
      <c r="N149" s="35"/>
      <c r="O149" s="35"/>
      <c r="P149" s="35"/>
      <c r="Q149" s="35"/>
      <c r="R149" s="35"/>
      <c r="S149" s="35"/>
      <c r="T149" s="35"/>
      <c r="U149" s="35"/>
      <c r="V149" s="35"/>
      <c r="W149" s="35"/>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row>
    <row r="150" spans="1:88" x14ac:dyDescent="0.25">
      <c r="A150" s="199"/>
      <c r="B150" s="200"/>
      <c r="C150" s="201"/>
      <c r="D150" s="30">
        <f t="shared" si="1"/>
        <v>31</v>
      </c>
      <c r="E150" s="32"/>
      <c r="F150" s="26"/>
      <c r="H150" s="36">
        <v>0</v>
      </c>
      <c r="I150" s="37">
        <f t="shared" si="2"/>
        <v>0</v>
      </c>
      <c r="K150" s="37">
        <f t="shared" si="3"/>
        <v>0</v>
      </c>
      <c r="L150" s="37">
        <f t="shared" si="0"/>
        <v>0</v>
      </c>
      <c r="M150" s="35"/>
      <c r="N150" s="35"/>
      <c r="O150" s="35"/>
      <c r="P150" s="35"/>
      <c r="Q150" s="35"/>
      <c r="R150" s="35"/>
      <c r="S150" s="35"/>
      <c r="T150" s="35"/>
      <c r="U150" s="35"/>
      <c r="V150" s="35"/>
      <c r="W150" s="35"/>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row>
    <row r="151" spans="1:88" x14ac:dyDescent="0.25">
      <c r="A151" s="199"/>
      <c r="B151" s="200"/>
      <c r="C151" s="201"/>
      <c r="D151" s="30">
        <f t="shared" si="1"/>
        <v>32</v>
      </c>
      <c r="E151" s="32"/>
      <c r="F151" s="26"/>
      <c r="H151" s="36">
        <v>0</v>
      </c>
      <c r="I151" s="37">
        <f t="shared" si="2"/>
        <v>0</v>
      </c>
      <c r="K151" s="37">
        <f t="shared" si="3"/>
        <v>0</v>
      </c>
      <c r="L151" s="37">
        <f t="shared" si="0"/>
        <v>0</v>
      </c>
      <c r="M151" s="35"/>
      <c r="N151" s="35"/>
      <c r="O151" s="35"/>
      <c r="P151" s="35"/>
      <c r="Q151" s="35"/>
      <c r="R151" s="35"/>
      <c r="S151" s="35"/>
      <c r="T151" s="35"/>
      <c r="U151" s="35"/>
      <c r="V151" s="35"/>
      <c r="W151" s="35"/>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row>
    <row r="152" spans="1:88" x14ac:dyDescent="0.25">
      <c r="A152" s="199"/>
      <c r="B152" s="200"/>
      <c r="C152" s="201"/>
      <c r="D152" s="30">
        <f t="shared" si="1"/>
        <v>33</v>
      </c>
      <c r="E152" s="32"/>
      <c r="F152" s="26"/>
      <c r="H152" s="36">
        <v>0</v>
      </c>
      <c r="I152" s="37">
        <f t="shared" si="2"/>
        <v>0</v>
      </c>
      <c r="K152" s="37">
        <f t="shared" si="3"/>
        <v>0</v>
      </c>
      <c r="L152" s="37">
        <f t="shared" si="0"/>
        <v>0</v>
      </c>
      <c r="M152" s="35"/>
      <c r="N152" s="35"/>
      <c r="O152" s="35"/>
      <c r="P152" s="35"/>
      <c r="Q152" s="35"/>
      <c r="R152" s="35"/>
      <c r="S152" s="35"/>
      <c r="T152" s="35"/>
      <c r="U152" s="35"/>
      <c r="V152" s="35"/>
      <c r="W152" s="35"/>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row>
    <row r="153" spans="1:88" x14ac:dyDescent="0.25">
      <c r="A153" s="199"/>
      <c r="B153" s="200"/>
      <c r="C153" s="201"/>
      <c r="D153" s="30">
        <f t="shared" si="1"/>
        <v>34</v>
      </c>
      <c r="E153" s="32"/>
      <c r="F153" s="27"/>
      <c r="H153" s="36">
        <v>0</v>
      </c>
      <c r="I153" s="37">
        <f t="shared" si="2"/>
        <v>0</v>
      </c>
      <c r="K153" s="37">
        <f t="shared" si="3"/>
        <v>0</v>
      </c>
      <c r="L153" s="37">
        <f t="shared" si="0"/>
        <v>0</v>
      </c>
      <c r="M153" s="35"/>
      <c r="N153" s="35"/>
      <c r="O153" s="35"/>
      <c r="P153" s="35"/>
      <c r="Q153" s="35"/>
      <c r="R153" s="35"/>
      <c r="S153" s="35"/>
      <c r="T153" s="35"/>
      <c r="U153" s="35"/>
      <c r="V153" s="35"/>
      <c r="W153" s="35"/>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row>
    <row r="154" spans="1:88" x14ac:dyDescent="0.25">
      <c r="A154" s="199"/>
      <c r="B154" s="200"/>
      <c r="C154" s="201"/>
      <c r="D154" s="30">
        <f t="shared" si="1"/>
        <v>35</v>
      </c>
      <c r="E154" s="32"/>
      <c r="F154" s="26"/>
      <c r="H154" s="36">
        <v>0</v>
      </c>
      <c r="I154" s="37">
        <f t="shared" si="2"/>
        <v>0</v>
      </c>
      <c r="K154" s="37">
        <f t="shared" si="3"/>
        <v>0</v>
      </c>
      <c r="L154" s="37">
        <f t="shared" si="0"/>
        <v>0</v>
      </c>
      <c r="M154" s="35"/>
      <c r="N154" s="35"/>
      <c r="O154" s="35"/>
      <c r="P154" s="35"/>
      <c r="Q154" s="35"/>
      <c r="R154" s="35"/>
      <c r="S154" s="35"/>
      <c r="T154" s="35"/>
      <c r="U154" s="35"/>
      <c r="V154" s="35"/>
      <c r="W154" s="35"/>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row>
    <row r="155" spans="1:88" x14ac:dyDescent="0.25">
      <c r="A155" s="199"/>
      <c r="B155" s="200"/>
      <c r="C155" s="201"/>
      <c r="D155" s="30">
        <f t="shared" si="1"/>
        <v>36</v>
      </c>
      <c r="E155" s="32"/>
      <c r="F155" s="27"/>
      <c r="H155" s="36">
        <v>0</v>
      </c>
      <c r="I155" s="37">
        <f t="shared" si="2"/>
        <v>0</v>
      </c>
      <c r="K155" s="37">
        <f t="shared" si="3"/>
        <v>0</v>
      </c>
      <c r="L155" s="37">
        <f t="shared" si="0"/>
        <v>0</v>
      </c>
      <c r="M155" s="35"/>
      <c r="N155" s="35"/>
      <c r="O155" s="35"/>
      <c r="P155" s="35"/>
      <c r="Q155" s="35"/>
      <c r="R155" s="35"/>
      <c r="S155" s="35"/>
      <c r="T155" s="35"/>
      <c r="U155" s="35"/>
      <c r="V155" s="35"/>
      <c r="W155" s="35"/>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row>
    <row r="156" spans="1:88" x14ac:dyDescent="0.25">
      <c r="A156" s="199"/>
      <c r="B156" s="200"/>
      <c r="C156" s="201"/>
      <c r="D156" s="30">
        <f t="shared" si="1"/>
        <v>37</v>
      </c>
      <c r="E156" s="32"/>
      <c r="F156" s="27"/>
      <c r="H156" s="36">
        <v>0</v>
      </c>
      <c r="I156" s="37">
        <f t="shared" si="2"/>
        <v>0</v>
      </c>
      <c r="K156" s="37">
        <f t="shared" si="3"/>
        <v>0</v>
      </c>
      <c r="L156" s="37">
        <f t="shared" si="0"/>
        <v>0</v>
      </c>
      <c r="M156" s="35"/>
      <c r="N156" s="35"/>
      <c r="O156" s="35"/>
      <c r="P156" s="35"/>
      <c r="Q156" s="35"/>
      <c r="R156" s="35"/>
      <c r="S156" s="35"/>
      <c r="T156" s="35"/>
      <c r="U156" s="35"/>
      <c r="V156" s="35"/>
      <c r="W156" s="35"/>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row>
    <row r="157" spans="1:88" x14ac:dyDescent="0.25">
      <c r="A157" s="199"/>
      <c r="B157" s="200"/>
      <c r="C157" s="201"/>
      <c r="D157" s="30">
        <f t="shared" si="1"/>
        <v>38</v>
      </c>
      <c r="E157" s="32"/>
      <c r="F157" s="26"/>
      <c r="H157" s="36">
        <v>0</v>
      </c>
      <c r="I157" s="37">
        <f t="shared" si="2"/>
        <v>0</v>
      </c>
      <c r="K157" s="37">
        <f t="shared" si="3"/>
        <v>0</v>
      </c>
      <c r="L157" s="37">
        <f t="shared" si="0"/>
        <v>0</v>
      </c>
      <c r="M157" s="35"/>
      <c r="N157" s="35"/>
      <c r="O157" s="35"/>
      <c r="P157" s="35"/>
      <c r="Q157" s="35"/>
      <c r="R157" s="35"/>
      <c r="S157" s="35"/>
      <c r="T157" s="35"/>
      <c r="U157" s="35"/>
      <c r="V157" s="35"/>
      <c r="W157" s="35"/>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row>
    <row r="158" spans="1:88" x14ac:dyDescent="0.25">
      <c r="A158" s="199"/>
      <c r="B158" s="200"/>
      <c r="C158" s="201"/>
      <c r="D158" s="30">
        <f t="shared" si="1"/>
        <v>39</v>
      </c>
      <c r="E158" s="32"/>
      <c r="F158" s="26"/>
      <c r="H158" s="36">
        <v>0</v>
      </c>
      <c r="I158" s="37">
        <f t="shared" si="2"/>
        <v>0</v>
      </c>
      <c r="K158" s="37">
        <f t="shared" si="3"/>
        <v>0</v>
      </c>
      <c r="L158" s="37">
        <f t="shared" si="0"/>
        <v>0</v>
      </c>
      <c r="M158" s="35"/>
      <c r="N158" s="35"/>
      <c r="O158" s="35"/>
      <c r="P158" s="35"/>
      <c r="Q158" s="35"/>
      <c r="R158" s="35"/>
      <c r="S158" s="35"/>
      <c r="T158" s="35"/>
      <c r="U158" s="35"/>
      <c r="V158" s="35"/>
      <c r="W158" s="35"/>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row>
    <row r="159" spans="1:88" x14ac:dyDescent="0.25">
      <c r="A159" s="199"/>
      <c r="B159" s="200"/>
      <c r="C159" s="201"/>
      <c r="D159" s="30">
        <f t="shared" si="1"/>
        <v>40</v>
      </c>
      <c r="E159" s="32"/>
      <c r="F159" s="26"/>
      <c r="H159" s="36">
        <v>0</v>
      </c>
      <c r="I159" s="37">
        <f t="shared" si="2"/>
        <v>0</v>
      </c>
      <c r="K159" s="37">
        <f t="shared" si="3"/>
        <v>0</v>
      </c>
      <c r="L159" s="37">
        <f t="shared" si="0"/>
        <v>0</v>
      </c>
      <c r="M159" s="35"/>
      <c r="N159" s="35"/>
      <c r="O159" s="35"/>
      <c r="P159" s="35"/>
      <c r="Q159" s="35"/>
      <c r="R159" s="35"/>
      <c r="S159" s="35"/>
      <c r="T159" s="35"/>
      <c r="U159" s="35"/>
      <c r="V159" s="35"/>
      <c r="W159" s="35"/>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row>
    <row r="160" spans="1:88" x14ac:dyDescent="0.25">
      <c r="M160" s="35"/>
      <c r="N160" s="35"/>
      <c r="O160" s="35"/>
      <c r="P160" s="35"/>
      <c r="Q160" s="35"/>
      <c r="R160" s="35"/>
      <c r="S160" s="35"/>
      <c r="T160" s="35"/>
      <c r="U160" s="35"/>
      <c r="V160" s="35"/>
      <c r="W160" s="35"/>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row>
    <row r="161" spans="6:88" x14ac:dyDescent="0.25">
      <c r="M161" s="35"/>
      <c r="N161" s="35"/>
      <c r="O161" s="35"/>
      <c r="P161" s="35"/>
      <c r="Q161" s="35"/>
      <c r="R161" s="35"/>
      <c r="S161" s="35"/>
      <c r="T161" s="35"/>
      <c r="U161" s="35"/>
      <c r="V161" s="35"/>
      <c r="W161" s="35"/>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row>
    <row r="162" spans="6:88" x14ac:dyDescent="0.25">
      <c r="M162" s="35"/>
      <c r="N162" s="35"/>
      <c r="O162" s="35"/>
      <c r="P162" s="35"/>
      <c r="Q162" s="35"/>
      <c r="R162" s="35"/>
      <c r="S162" s="35"/>
      <c r="T162" s="35"/>
      <c r="U162" s="35"/>
      <c r="V162" s="35"/>
      <c r="W162" s="35"/>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row>
    <row r="163" spans="6:88" x14ac:dyDescent="0.25">
      <c r="M163" s="35"/>
      <c r="N163" s="35"/>
      <c r="O163" s="35"/>
      <c r="P163" s="35"/>
      <c r="Q163" s="35"/>
      <c r="R163" s="35"/>
      <c r="S163" s="35"/>
      <c r="T163" s="35"/>
      <c r="U163" s="35"/>
      <c r="V163" s="35"/>
      <c r="W163" s="35"/>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row>
    <row r="164" spans="6:88" ht="15.75" thickBot="1" x14ac:dyDescent="0.3">
      <c r="M164" s="35"/>
      <c r="N164" s="35"/>
      <c r="O164" s="35"/>
      <c r="P164" s="35"/>
      <c r="Q164" s="35"/>
      <c r="R164" s="35"/>
      <c r="S164" s="35"/>
      <c r="T164" s="35"/>
      <c r="U164" s="35"/>
      <c r="V164" s="35"/>
      <c r="W164" s="35"/>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row>
    <row r="165" spans="6:88" ht="15.75" thickBot="1" x14ac:dyDescent="0.3">
      <c r="F165" s="64">
        <f>SUM(F119:F159)</f>
        <v>0</v>
      </c>
      <c r="H165" s="13"/>
      <c r="I165" s="64">
        <f>SUM(I119:I159)</f>
        <v>0</v>
      </c>
      <c r="K165" s="64">
        <f>SUM(K119:K159)</f>
        <v>0</v>
      </c>
      <c r="M165" s="35"/>
      <c r="N165" s="35"/>
      <c r="O165" s="35"/>
      <c r="P165" s="35"/>
      <c r="Q165" s="35"/>
      <c r="R165" s="35"/>
      <c r="S165" s="35"/>
      <c r="T165" s="35"/>
      <c r="U165" s="35"/>
      <c r="V165" s="35"/>
      <c r="W165" s="35"/>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row>
    <row r="166" spans="6:88" x14ac:dyDescent="0.25">
      <c r="M166" s="35"/>
      <c r="N166" s="35"/>
      <c r="O166" s="35"/>
      <c r="P166" s="35"/>
      <c r="Q166" s="35"/>
      <c r="R166" s="35"/>
      <c r="S166" s="35"/>
      <c r="T166" s="35"/>
      <c r="U166" s="35"/>
      <c r="V166" s="35"/>
      <c r="W166" s="35"/>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row>
    <row r="167" spans="6:88" x14ac:dyDescent="0.25">
      <c r="M167" s="35"/>
      <c r="N167" s="35"/>
      <c r="O167" s="35"/>
      <c r="P167" s="35"/>
      <c r="Q167" s="35"/>
      <c r="R167" s="35"/>
      <c r="S167" s="35"/>
      <c r="T167" s="35"/>
      <c r="U167" s="35"/>
      <c r="V167" s="35"/>
      <c r="W167" s="35"/>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row>
    <row r="168" spans="6:88" x14ac:dyDescent="0.25">
      <c r="M168" s="35"/>
      <c r="N168" s="35"/>
      <c r="O168" s="35"/>
      <c r="P168" s="35"/>
      <c r="Q168" s="35"/>
      <c r="R168" s="35"/>
      <c r="S168" s="35"/>
      <c r="T168" s="35"/>
      <c r="U168" s="35"/>
      <c r="V168" s="35"/>
      <c r="W168" s="35"/>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row>
    <row r="169" spans="6:88" x14ac:dyDescent="0.25">
      <c r="M169" s="35"/>
      <c r="N169" s="35"/>
      <c r="O169" s="35"/>
      <c r="P169" s="35"/>
      <c r="Q169" s="35"/>
      <c r="R169" s="35"/>
      <c r="S169" s="35"/>
      <c r="T169" s="35"/>
      <c r="U169" s="35"/>
      <c r="V169" s="35"/>
      <c r="W169" s="35"/>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row>
    <row r="170" spans="6:88" x14ac:dyDescent="0.25">
      <c r="M170" s="35"/>
      <c r="N170" s="35"/>
      <c r="O170" s="35"/>
      <c r="P170" s="35"/>
      <c r="Q170" s="35"/>
      <c r="R170" s="35"/>
      <c r="S170" s="35"/>
      <c r="T170" s="35"/>
      <c r="U170" s="35"/>
      <c r="V170" s="35"/>
      <c r="W170" s="35"/>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row>
    <row r="171" spans="6:88" x14ac:dyDescent="0.25">
      <c r="M171" s="35"/>
      <c r="N171" s="35"/>
      <c r="O171" s="35"/>
      <c r="P171" s="35"/>
      <c r="Q171" s="35"/>
      <c r="R171" s="35"/>
      <c r="S171" s="35"/>
      <c r="T171" s="35"/>
      <c r="U171" s="35"/>
      <c r="V171" s="35"/>
      <c r="W171" s="35"/>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row>
    <row r="172" spans="6:88" x14ac:dyDescent="0.25">
      <c r="M172" s="35"/>
      <c r="N172" s="35"/>
      <c r="O172" s="35"/>
      <c r="P172" s="35"/>
      <c r="Q172" s="35"/>
      <c r="R172" s="35"/>
      <c r="S172" s="35"/>
      <c r="T172" s="35"/>
      <c r="U172" s="35"/>
      <c r="V172" s="35"/>
      <c r="W172" s="35"/>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row>
    <row r="173" spans="6:88" x14ac:dyDescent="0.25">
      <c r="M173" s="35"/>
      <c r="N173" s="35"/>
      <c r="O173" s="35"/>
      <c r="P173" s="35"/>
      <c r="Q173" s="35"/>
      <c r="R173" s="35"/>
      <c r="S173" s="35"/>
      <c r="T173" s="35"/>
      <c r="U173" s="35"/>
      <c r="V173" s="35"/>
      <c r="W173" s="35"/>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row>
    <row r="174" spans="6:88" x14ac:dyDescent="0.25">
      <c r="M174" s="35"/>
      <c r="N174" s="35"/>
      <c r="O174" s="35"/>
      <c r="P174" s="35"/>
      <c r="Q174" s="35"/>
      <c r="R174" s="35"/>
      <c r="S174" s="35"/>
      <c r="T174" s="35"/>
      <c r="U174" s="35"/>
      <c r="V174" s="35"/>
      <c r="W174" s="35"/>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row>
    <row r="175" spans="6:88" x14ac:dyDescent="0.25">
      <c r="M175" s="35"/>
      <c r="N175" s="35"/>
      <c r="O175" s="35"/>
      <c r="P175" s="35"/>
      <c r="Q175" s="35"/>
      <c r="R175" s="35"/>
      <c r="S175" s="35"/>
      <c r="T175" s="35"/>
      <c r="U175" s="35"/>
      <c r="V175" s="35"/>
      <c r="W175" s="35"/>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row>
    <row r="176" spans="6:88" x14ac:dyDescent="0.25">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row>
    <row r="177" spans="25:88" x14ac:dyDescent="0.25">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row>
    <row r="178" spans="25:88" x14ac:dyDescent="0.25">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row>
    <row r="179" spans="25:88" x14ac:dyDescent="0.25">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row>
    <row r="180" spans="25:88" x14ac:dyDescent="0.25">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row>
    <row r="181" spans="25:88" x14ac:dyDescent="0.25">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row>
  </sheetData>
  <mergeCells count="154">
    <mergeCell ref="T3:U3"/>
    <mergeCell ref="E4:F4"/>
    <mergeCell ref="H4:I4"/>
    <mergeCell ref="K4:L4"/>
    <mergeCell ref="N4:O4"/>
    <mergeCell ref="Q4:R4"/>
    <mergeCell ref="T4:U4"/>
    <mergeCell ref="B1:E1"/>
    <mergeCell ref="E3:F3"/>
    <mergeCell ref="H3:I3"/>
    <mergeCell ref="K3:L3"/>
    <mergeCell ref="N3:O3"/>
    <mergeCell ref="Q3:R3"/>
    <mergeCell ref="E15:F15"/>
    <mergeCell ref="H15:I15"/>
    <mergeCell ref="K15:L15"/>
    <mergeCell ref="N15:O15"/>
    <mergeCell ref="E36:F36"/>
    <mergeCell ref="H36:I36"/>
    <mergeCell ref="K36:L36"/>
    <mergeCell ref="N36:O36"/>
    <mergeCell ref="AH4:AK4"/>
    <mergeCell ref="AH5:AI5"/>
    <mergeCell ref="AJ5:AK5"/>
    <mergeCell ref="E14:F14"/>
    <mergeCell ref="H14:I14"/>
    <mergeCell ref="K14:L14"/>
    <mergeCell ref="N14:O14"/>
    <mergeCell ref="Q36:R36"/>
    <mergeCell ref="T36:U36"/>
    <mergeCell ref="W36:X36"/>
    <mergeCell ref="Z36:AA36"/>
    <mergeCell ref="E37:F37"/>
    <mergeCell ref="H37:I37"/>
    <mergeCell ref="K37:L37"/>
    <mergeCell ref="N37:O37"/>
    <mergeCell ref="Q37:R37"/>
    <mergeCell ref="T37:U37"/>
    <mergeCell ref="W37:X37"/>
    <mergeCell ref="Z37:AA37"/>
    <mergeCell ref="AH39:AK39"/>
    <mergeCell ref="AH40:AI40"/>
    <mergeCell ref="AJ40:AK40"/>
    <mergeCell ref="E52:F52"/>
    <mergeCell ref="H52:I52"/>
    <mergeCell ref="K52:L52"/>
    <mergeCell ref="N52:O52"/>
    <mergeCell ref="Q52:R52"/>
    <mergeCell ref="T52:U52"/>
    <mergeCell ref="W52:X52"/>
    <mergeCell ref="Z52:AA52"/>
    <mergeCell ref="E53:F53"/>
    <mergeCell ref="H53:I53"/>
    <mergeCell ref="K53:L53"/>
    <mergeCell ref="N53:O53"/>
    <mergeCell ref="Q53:R53"/>
    <mergeCell ref="T53:U53"/>
    <mergeCell ref="W53:X53"/>
    <mergeCell ref="Z53:AA53"/>
    <mergeCell ref="E77:F77"/>
    <mergeCell ref="H77:I77"/>
    <mergeCell ref="K77:L77"/>
    <mergeCell ref="N77:O77"/>
    <mergeCell ref="Q77:R77"/>
    <mergeCell ref="T77:U77"/>
    <mergeCell ref="W77:X77"/>
    <mergeCell ref="Z77:AA77"/>
    <mergeCell ref="AC77:AD77"/>
    <mergeCell ref="E78:F78"/>
    <mergeCell ref="H78:I78"/>
    <mergeCell ref="K78:L78"/>
    <mergeCell ref="N78:O78"/>
    <mergeCell ref="Q78:R78"/>
    <mergeCell ref="T78:U78"/>
    <mergeCell ref="W78:X78"/>
    <mergeCell ref="Z78:AA78"/>
    <mergeCell ref="AC78:AD78"/>
    <mergeCell ref="W92:X92"/>
    <mergeCell ref="Z92:AA92"/>
    <mergeCell ref="AC92:AD92"/>
    <mergeCell ref="E93:F93"/>
    <mergeCell ref="H93:I93"/>
    <mergeCell ref="K93:L93"/>
    <mergeCell ref="N93:O93"/>
    <mergeCell ref="Q93:R93"/>
    <mergeCell ref="T93:U93"/>
    <mergeCell ref="W93:X93"/>
    <mergeCell ref="E92:F92"/>
    <mergeCell ref="H92:I92"/>
    <mergeCell ref="K92:L92"/>
    <mergeCell ref="N92:O92"/>
    <mergeCell ref="Q92:R92"/>
    <mergeCell ref="T92:U92"/>
    <mergeCell ref="Z93:AA93"/>
    <mergeCell ref="AC93:AD93"/>
    <mergeCell ref="A120:C120"/>
    <mergeCell ref="A121:C121"/>
    <mergeCell ref="A122:C122"/>
    <mergeCell ref="A123:C123"/>
    <mergeCell ref="A124:C124"/>
    <mergeCell ref="AC104:AD104"/>
    <mergeCell ref="E105:F105"/>
    <mergeCell ref="H105:I105"/>
    <mergeCell ref="K105:L105"/>
    <mergeCell ref="N105:O105"/>
    <mergeCell ref="Q105:R105"/>
    <mergeCell ref="T105:U105"/>
    <mergeCell ref="W105:X105"/>
    <mergeCell ref="Z105:AA105"/>
    <mergeCell ref="AC105:AD105"/>
    <mergeCell ref="E104:F104"/>
    <mergeCell ref="H104:I104"/>
    <mergeCell ref="K104:L104"/>
    <mergeCell ref="N104:O104"/>
    <mergeCell ref="Q104:R104"/>
    <mergeCell ref="T104:U104"/>
    <mergeCell ref="W104:X104"/>
    <mergeCell ref="Z104:AA104"/>
    <mergeCell ref="A119:C119"/>
    <mergeCell ref="A133:C133"/>
    <mergeCell ref="A134:C134"/>
    <mergeCell ref="A135:C135"/>
    <mergeCell ref="A136:C136"/>
    <mergeCell ref="A137:C137"/>
    <mergeCell ref="A126:C126"/>
    <mergeCell ref="A127:C127"/>
    <mergeCell ref="A128:C128"/>
    <mergeCell ref="A129:C129"/>
    <mergeCell ref="A130:C130"/>
    <mergeCell ref="A131:C131"/>
    <mergeCell ref="AI77:AJ77"/>
    <mergeCell ref="A156:C156"/>
    <mergeCell ref="A157:C157"/>
    <mergeCell ref="A158:C158"/>
    <mergeCell ref="A159:C159"/>
    <mergeCell ref="A150:C150"/>
    <mergeCell ref="A151:C151"/>
    <mergeCell ref="A152:C152"/>
    <mergeCell ref="A153:C153"/>
    <mergeCell ref="A154:C154"/>
    <mergeCell ref="A155:C155"/>
    <mergeCell ref="A144:C144"/>
    <mergeCell ref="A145:C145"/>
    <mergeCell ref="A146:C146"/>
    <mergeCell ref="A147:C147"/>
    <mergeCell ref="A148:C148"/>
    <mergeCell ref="A149:C149"/>
    <mergeCell ref="A138:C138"/>
    <mergeCell ref="A139:C139"/>
    <mergeCell ref="A140:C140"/>
    <mergeCell ref="A141:C141"/>
    <mergeCell ref="A142:C142"/>
    <mergeCell ref="A143:C143"/>
    <mergeCell ref="A132:C132"/>
  </mergeCells>
  <conditionalFormatting sqref="AI6:AI15 AI45:AI70 AI72">
    <cfRule type="cellIs" dxfId="2" priority="3" operator="lessThan">
      <formula>0</formula>
    </cfRule>
  </conditionalFormatting>
  <conditionalFormatting sqref="AJ19:AJ34">
    <cfRule type="cellIs" dxfId="1" priority="2" operator="lessThan">
      <formula>0</formula>
    </cfRule>
  </conditionalFormatting>
  <conditionalFormatting sqref="AJ41:AJ45">
    <cfRule type="cellIs" dxfId="0" priority="1" operator="lessThan">
      <formula>0</formula>
    </cfRule>
  </conditionalFormatting>
  <dataValidations count="1">
    <dataValidation type="list" allowBlank="1" showInputMessage="1" showErrorMessage="1" sqref="Q123:Q144 Q115:Q121 T115:T144 N115:N131 N133:N144 O115:P144 R115:R144" xr:uid="{170C3CC0-1D84-4BE7-80A6-73D23CDE4112}">
      <formula1>#REF!</formula1>
    </dataValidation>
  </dataValidations>
  <hyperlinks>
    <hyperlink ref="A79" r:id="rId1" xr:uid="{AB4BD708-CD8D-4F27-AA63-CF3D5DC2AF7D}"/>
  </hyperlinks>
  <pageMargins left="0.7" right="0.7" top="0.75" bottom="0.75" header="0.3" footer="0.3"/>
  <pageSetup paperSize="9" orientation="portrait" horizontalDpi="0" verticalDpi="0"/>
  <legacyDrawing r:id="rId2"/>
  <extLst>
    <ext xmlns:x14="http://schemas.microsoft.com/office/spreadsheetml/2009/9/main" uri="{CCE6A557-97BC-4b89-ADB6-D9C93CAAB3DF}">
      <x14:dataValidations xmlns:xm="http://schemas.microsoft.com/office/excel/2006/main" count="5">
        <x14:dataValidation type="list" errorStyle="warning" allowBlank="1" showInputMessage="1" showErrorMessage="1" errorTitle="Kulut 4-" xr:uid="{E6FDCB48-0948-4D07-AEED-196819F61303}">
          <x14:formula1>
            <xm:f>Tilikartta!$A$322:$A$509</xm:f>
          </x14:formula1>
          <xm:sqref>K77:L77 N77:O77 Q77:R77 T77:U77 W77:X77 Z77:AA77 AC77:AD77 H92:I92 K92:L92 N92:O92 Q92:R92 T92:U92 W92:X92 Z92:AA92 AC92:AD92 K104:L104 N104:O104 Q104:R104</xm:sqref>
        </x14:dataValidation>
        <x14:dataValidation type="list" errorStyle="warning" allowBlank="1" showInputMessage="1" showErrorMessage="1" xr:uid="{28EFE693-BD73-46A8-9211-05D8599A8B84}">
          <x14:formula1>
            <xm:f>Tilikartta!$A$300</xm:f>
          </x14:formula1>
          <xm:sqref>H77:I77</xm:sqref>
        </x14:dataValidation>
        <x14:dataValidation type="list" errorStyle="warning" allowBlank="1" showInputMessage="1" showErrorMessage="1" errorTitle="Tuloslaskkelman tulot 3-3999" xr:uid="{2A53E4D6-8A32-4712-99FA-22F513077FD9}">
          <x14:formula1>
            <xm:f>Tilikartta!$A$283:$A$317</xm:f>
          </x14:formula1>
          <xm:sqref>E77:F77 E92:F92 E104:F104</xm:sqref>
        </x14:dataValidation>
        <x14:dataValidation type="list" errorStyle="warning" allowBlank="1" showInputMessage="1" showErrorMessage="1" errorTitle="Tasetili Vastattava: Nrot 2-2999" xr:uid="{F0EA311B-245F-4B04-AA5C-6A4543FB69D5}">
          <x14:formula1>
            <xm:f>Tilikartta!$A$129:$A$278</xm:f>
          </x14:formula1>
          <xm:sqref>E36:F36 H36:I36 K36:L36 N36:O36 Q36:R36 T36:U36 W36:X36 Z36:AA36 Q52:R52 N52:O52 K52:L52 H52:I52 E52:F52</xm:sqref>
        </x14:dataValidation>
        <x14:dataValidation type="list" errorStyle="warning" allowBlank="1" showInputMessage="1" showErrorMessage="1" errorTitle="Tasetili Vastaavaa: Nrot 1-1999" xr:uid="{59294811-4A60-4D72-A8A9-C4E29E5DD888}">
          <x14:formula1>
            <xm:f>Tilikartta!$A$7:$A$124</xm:f>
          </x14:formula1>
          <xm:sqref>E3:F3 H3:I3 K3:L3 N3:O3 Q3:R3 T3:U3 E14:F14 H14:I14 K14:L14 N14:O14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0ED0-124D-4DA4-B218-0F7DE8BC5844}">
  <dimension ref="A1:F42"/>
  <sheetViews>
    <sheetView zoomScale="90" zoomScaleNormal="90" workbookViewId="0"/>
  </sheetViews>
  <sheetFormatPr defaultRowHeight="15" x14ac:dyDescent="0.25"/>
  <cols>
    <col min="1" max="1" width="34.5703125" customWidth="1"/>
    <col min="2" max="2" width="24" customWidth="1"/>
    <col min="3" max="3" width="15.5703125" customWidth="1"/>
    <col min="4" max="4" width="14.5703125" customWidth="1"/>
    <col min="11" max="11" width="9.42578125" bestFit="1" customWidth="1"/>
  </cols>
  <sheetData>
    <row r="1" spans="1:6" x14ac:dyDescent="0.25">
      <c r="A1" s="1" t="s">
        <v>128</v>
      </c>
    </row>
    <row r="2" spans="1:6" x14ac:dyDescent="0.25">
      <c r="A2" t="s">
        <v>157</v>
      </c>
      <c r="B2" t="s">
        <v>130</v>
      </c>
      <c r="C2" t="s">
        <v>131</v>
      </c>
      <c r="D2" t="s">
        <v>132</v>
      </c>
    </row>
    <row r="3" spans="1:6" x14ac:dyDescent="0.25">
      <c r="A3" t="s">
        <v>129</v>
      </c>
      <c r="B3" s="133">
        <v>44927</v>
      </c>
      <c r="C3" s="133">
        <v>45291</v>
      </c>
      <c r="D3" s="82">
        <f>_xlfn.DAYS(C3,B3)+1</f>
        <v>365</v>
      </c>
      <c r="E3" t="s">
        <v>133</v>
      </c>
      <c r="F3" t="s">
        <v>134</v>
      </c>
    </row>
    <row r="4" spans="1:6" ht="15.75" thickBot="1" x14ac:dyDescent="0.3">
      <c r="A4" t="s">
        <v>135</v>
      </c>
      <c r="B4" s="133">
        <v>45021</v>
      </c>
      <c r="C4" s="133">
        <v>45322</v>
      </c>
      <c r="D4" s="82">
        <f>_xlfn.DAYS(C4,B4)+1</f>
        <v>302</v>
      </c>
      <c r="E4" t="str">
        <f>E3</f>
        <v>päivää</v>
      </c>
      <c r="F4" t="s">
        <v>134</v>
      </c>
    </row>
    <row r="5" spans="1:6" x14ac:dyDescent="0.25">
      <c r="A5" t="s">
        <v>151</v>
      </c>
      <c r="B5" s="133">
        <f>B4</f>
        <v>45021</v>
      </c>
      <c r="C5" s="134">
        <f>C3</f>
        <v>45291</v>
      </c>
      <c r="D5" s="89">
        <f>_xlfn.DAYS(C5,B5)+1</f>
        <v>271</v>
      </c>
      <c r="E5" t="str">
        <f>E4</f>
        <v>päivää</v>
      </c>
      <c r="F5" t="s">
        <v>134</v>
      </c>
    </row>
    <row r="6" spans="1:6" ht="15.75" thickBot="1" x14ac:dyDescent="0.3">
      <c r="A6" t="s">
        <v>136</v>
      </c>
      <c r="B6" s="133">
        <f>C5+1</f>
        <v>45292</v>
      </c>
      <c r="C6" s="134">
        <f>C4</f>
        <v>45322</v>
      </c>
      <c r="D6" s="90">
        <f>_xlfn.DAYS(C6,B6)+1</f>
        <v>31</v>
      </c>
      <c r="E6" t="str">
        <f>E5</f>
        <v>päivää</v>
      </c>
      <c r="F6" t="s">
        <v>134</v>
      </c>
    </row>
    <row r="7" spans="1:6" ht="15.75" thickBot="1" x14ac:dyDescent="0.3">
      <c r="A7" t="s">
        <v>137</v>
      </c>
      <c r="D7" s="91">
        <f>SUM(D5:D6)</f>
        <v>302</v>
      </c>
      <c r="E7" t="str">
        <f>E6</f>
        <v>päivää</v>
      </c>
    </row>
    <row r="9" spans="1:6" x14ac:dyDescent="0.25">
      <c r="A9" t="s">
        <v>148</v>
      </c>
      <c r="C9" s="135">
        <v>880</v>
      </c>
    </row>
    <row r="10" spans="1:6" x14ac:dyDescent="0.25">
      <c r="A10" t="s">
        <v>149</v>
      </c>
      <c r="C10" s="60">
        <f>C9/D4</f>
        <v>2.9139072847682117</v>
      </c>
    </row>
    <row r="11" spans="1:6" x14ac:dyDescent="0.25">
      <c r="A11" t="s">
        <v>150</v>
      </c>
      <c r="C11" s="60">
        <f>C10*D5</f>
        <v>789.66887417218538</v>
      </c>
    </row>
    <row r="12" spans="1:6" x14ac:dyDescent="0.25">
      <c r="A12" t="s">
        <v>152</v>
      </c>
      <c r="C12" s="60">
        <f>C10*D6</f>
        <v>90.33112582781456</v>
      </c>
    </row>
    <row r="13" spans="1:6" x14ac:dyDescent="0.25">
      <c r="A13" t="s">
        <v>137</v>
      </c>
      <c r="C13" s="60">
        <f>C11+C12</f>
        <v>880</v>
      </c>
    </row>
    <row r="15" spans="1:6" x14ac:dyDescent="0.25">
      <c r="A15" t="s">
        <v>158</v>
      </c>
    </row>
    <row r="16" spans="1:6" x14ac:dyDescent="0.25">
      <c r="A16" t="s">
        <v>159</v>
      </c>
    </row>
    <row r="17" spans="1:6" x14ac:dyDescent="0.25">
      <c r="A17" t="s">
        <v>160</v>
      </c>
      <c r="D17" s="135">
        <v>50000</v>
      </c>
    </row>
    <row r="18" spans="1:6" x14ac:dyDescent="0.25">
      <c r="A18" t="s">
        <v>161</v>
      </c>
      <c r="D18" s="136">
        <v>0.05</v>
      </c>
    </row>
    <row r="19" spans="1:6" x14ac:dyDescent="0.25">
      <c r="A19" t="s">
        <v>162</v>
      </c>
      <c r="B19" s="133">
        <v>45021</v>
      </c>
      <c r="C19" s="133">
        <v>45322</v>
      </c>
      <c r="D19" s="92">
        <f>_xlfn.DAYS(C19,B19)+1</f>
        <v>302</v>
      </c>
      <c r="E19" t="s">
        <v>133</v>
      </c>
      <c r="F19" t="s">
        <v>134</v>
      </c>
    </row>
    <row r="20" spans="1:6" x14ac:dyDescent="0.25">
      <c r="A20" s="1" t="s">
        <v>163</v>
      </c>
      <c r="B20" s="114"/>
      <c r="C20" s="114"/>
      <c r="D20" s="13">
        <f>D17*D18*D19/365</f>
        <v>2068.4931506849316</v>
      </c>
    </row>
    <row r="21" spans="1:6" x14ac:dyDescent="0.25">
      <c r="A21" t="s">
        <v>129</v>
      </c>
      <c r="B21" s="133">
        <v>44927</v>
      </c>
      <c r="C21" s="133">
        <v>45291</v>
      </c>
      <c r="D21" s="82">
        <f>_xlfn.DAYS(C21,B21)+1</f>
        <v>365</v>
      </c>
      <c r="E21" t="s">
        <v>133</v>
      </c>
    </row>
    <row r="22" spans="1:6" ht="15.75" thickBot="1" x14ac:dyDescent="0.3">
      <c r="A22" t="s">
        <v>135</v>
      </c>
      <c r="B22" s="133">
        <f>B19</f>
        <v>45021</v>
      </c>
      <c r="C22" s="133">
        <f>C19</f>
        <v>45322</v>
      </c>
      <c r="D22" s="82">
        <f>_xlfn.DAYS(C22,B22)+1</f>
        <v>302</v>
      </c>
      <c r="E22" t="str">
        <f>E21</f>
        <v>päivää</v>
      </c>
    </row>
    <row r="23" spans="1:6" x14ac:dyDescent="0.25">
      <c r="A23" t="s">
        <v>151</v>
      </c>
      <c r="B23" s="133">
        <f>B22</f>
        <v>45021</v>
      </c>
      <c r="C23" s="134">
        <f>C21</f>
        <v>45291</v>
      </c>
      <c r="D23" s="89">
        <f>_xlfn.DAYS(C23,B23)+1</f>
        <v>271</v>
      </c>
      <c r="E23" t="str">
        <f>E22</f>
        <v>päivää</v>
      </c>
    </row>
    <row r="24" spans="1:6" ht="15.75" thickBot="1" x14ac:dyDescent="0.3">
      <c r="A24" t="s">
        <v>136</v>
      </c>
      <c r="B24" s="133">
        <f>C23+1</f>
        <v>45292</v>
      </c>
      <c r="C24" s="134">
        <f>C22</f>
        <v>45322</v>
      </c>
      <c r="D24" s="90">
        <f>_xlfn.DAYS(C24,B24)+1</f>
        <v>31</v>
      </c>
      <c r="E24" t="str">
        <f>E23</f>
        <v>päivää</v>
      </c>
    </row>
    <row r="25" spans="1:6" ht="15.75" thickBot="1" x14ac:dyDescent="0.3">
      <c r="A25" t="s">
        <v>137</v>
      </c>
      <c r="B25" s="114"/>
      <c r="C25" s="114"/>
      <c r="D25" s="91">
        <f>SUM(D23:D24)</f>
        <v>302</v>
      </c>
      <c r="E25" t="str">
        <f>E24</f>
        <v>päivää</v>
      </c>
    </row>
    <row r="26" spans="1:6" x14ac:dyDescent="0.25">
      <c r="A26" t="s">
        <v>148</v>
      </c>
      <c r="B26" s="114"/>
      <c r="C26" s="135">
        <f>D20</f>
        <v>2068.4931506849316</v>
      </c>
    </row>
    <row r="27" spans="1:6" ht="15.75" thickBot="1" x14ac:dyDescent="0.3">
      <c r="A27" t="s">
        <v>149</v>
      </c>
      <c r="C27" s="60">
        <f>C26/D22</f>
        <v>6.8493150684931514</v>
      </c>
      <c r="D27" s="60"/>
    </row>
    <row r="28" spans="1:6" x14ac:dyDescent="0.25">
      <c r="A28" t="s">
        <v>150</v>
      </c>
      <c r="C28" s="108">
        <f>C27*D23</f>
        <v>1856.1643835616439</v>
      </c>
    </row>
    <row r="29" spans="1:6" x14ac:dyDescent="0.25">
      <c r="A29" t="s">
        <v>152</v>
      </c>
      <c r="C29" s="109">
        <f>C27*D24</f>
        <v>212.32876712328769</v>
      </c>
    </row>
    <row r="30" spans="1:6" ht="15.75" thickBot="1" x14ac:dyDescent="0.3">
      <c r="A30" t="s">
        <v>137</v>
      </c>
      <c r="C30" s="110">
        <f>C28+C29</f>
        <v>2068.4931506849316</v>
      </c>
    </row>
    <row r="31" spans="1:6" x14ac:dyDescent="0.25">
      <c r="C31" s="60"/>
    </row>
    <row r="32" spans="1:6" x14ac:dyDescent="0.25">
      <c r="A32" s="1" t="s">
        <v>192</v>
      </c>
      <c r="C32" s="60"/>
    </row>
    <row r="33" spans="1:6" x14ac:dyDescent="0.25">
      <c r="A33" t="s">
        <v>129</v>
      </c>
      <c r="B33" s="133">
        <v>44927</v>
      </c>
      <c r="C33" s="133">
        <v>45291</v>
      </c>
      <c r="D33" s="82">
        <f>_xlfn.DAYS(C33,B33)+1</f>
        <v>365</v>
      </c>
      <c r="E33" t="s">
        <v>133</v>
      </c>
      <c r="F33" t="s">
        <v>134</v>
      </c>
    </row>
    <row r="34" spans="1:6" ht="15.75" thickBot="1" x14ac:dyDescent="0.3">
      <c r="A34" t="s">
        <v>195</v>
      </c>
      <c r="B34" s="133">
        <v>45021</v>
      </c>
      <c r="C34" s="133">
        <v>45322</v>
      </c>
      <c r="D34" s="82">
        <f>_xlfn.DAYS(C34,B34)+1</f>
        <v>302</v>
      </c>
      <c r="E34" t="str">
        <f>E33</f>
        <v>päivää</v>
      </c>
      <c r="F34" t="s">
        <v>134</v>
      </c>
    </row>
    <row r="35" spans="1:6" x14ac:dyDescent="0.25">
      <c r="A35" t="s">
        <v>151</v>
      </c>
      <c r="B35" s="133">
        <f>B34</f>
        <v>45021</v>
      </c>
      <c r="C35" s="134">
        <f>C33</f>
        <v>45291</v>
      </c>
      <c r="D35" s="89">
        <f>_xlfn.DAYS(C35,B35)+1</f>
        <v>271</v>
      </c>
      <c r="E35" t="str">
        <f>E34</f>
        <v>päivää</v>
      </c>
      <c r="F35" t="s">
        <v>134</v>
      </c>
    </row>
    <row r="36" spans="1:6" ht="15.75" thickBot="1" x14ac:dyDescent="0.3">
      <c r="A36" t="s">
        <v>136</v>
      </c>
      <c r="B36" s="133">
        <f>C35+1</f>
        <v>45292</v>
      </c>
      <c r="C36" s="134">
        <f>C34</f>
        <v>45322</v>
      </c>
      <c r="D36" s="90">
        <f>_xlfn.DAYS(C36,B36)+1</f>
        <v>31</v>
      </c>
      <c r="E36" t="str">
        <f>E35</f>
        <v>päivää</v>
      </c>
      <c r="F36" t="s">
        <v>134</v>
      </c>
    </row>
    <row r="37" spans="1:6" ht="15.75" thickBot="1" x14ac:dyDescent="0.3">
      <c r="A37" t="s">
        <v>137</v>
      </c>
      <c r="B37" s="114"/>
      <c r="C37" s="114"/>
      <c r="D37" s="91">
        <f>SUM(D35:D36)</f>
        <v>302</v>
      </c>
      <c r="E37" t="str">
        <f>E36</f>
        <v>päivää</v>
      </c>
    </row>
    <row r="38" spans="1:6" x14ac:dyDescent="0.25">
      <c r="A38" t="s">
        <v>193</v>
      </c>
      <c r="B38" s="137" t="s">
        <v>194</v>
      </c>
      <c r="C38" s="135">
        <v>1100</v>
      </c>
    </row>
    <row r="39" spans="1:6" ht="15.75" thickBot="1" x14ac:dyDescent="0.3">
      <c r="A39" t="s">
        <v>196</v>
      </c>
      <c r="C39" s="60">
        <f>C38/D37</f>
        <v>3.6423841059602649</v>
      </c>
    </row>
    <row r="40" spans="1:6" x14ac:dyDescent="0.25">
      <c r="A40" t="s">
        <v>197</v>
      </c>
      <c r="C40" s="108">
        <f>C39*D35</f>
        <v>987.08609271523176</v>
      </c>
    </row>
    <row r="41" spans="1:6" x14ac:dyDescent="0.25">
      <c r="A41" t="s">
        <v>198</v>
      </c>
      <c r="C41" s="109">
        <f>C39*D36</f>
        <v>112.91390728476821</v>
      </c>
    </row>
    <row r="42" spans="1:6" ht="15.75" thickBot="1" x14ac:dyDescent="0.3">
      <c r="A42" t="s">
        <v>137</v>
      </c>
      <c r="C42" s="110">
        <f>SUM(C40:C41)</f>
        <v>1100</v>
      </c>
    </row>
  </sheetData>
  <sheetProtection sheet="1" objects="1" scenarios="1" formatCells="0" formatColumns="0" formatRows="0" insertColumns="0" insertRows="0"/>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3F7E-9B0A-46AD-A344-1C05D150B4B3}">
  <dimension ref="A1:B509"/>
  <sheetViews>
    <sheetView workbookViewId="0"/>
  </sheetViews>
  <sheetFormatPr defaultRowHeight="15" x14ac:dyDescent="0.25"/>
  <cols>
    <col min="1" max="1" width="13.28515625" customWidth="1"/>
    <col min="2" max="2" width="66" customWidth="1"/>
  </cols>
  <sheetData>
    <row r="1" spans="1:2" ht="18" customHeight="1" x14ac:dyDescent="0.25">
      <c r="A1" s="111" t="s">
        <v>675</v>
      </c>
    </row>
    <row r="2" spans="1:2" x14ac:dyDescent="0.25">
      <c r="A2" t="s">
        <v>199</v>
      </c>
      <c r="B2" t="s">
        <v>200</v>
      </c>
    </row>
    <row r="3" spans="1:2" x14ac:dyDescent="0.25">
      <c r="B3" s="1" t="s">
        <v>201</v>
      </c>
    </row>
    <row r="4" spans="1:2" x14ac:dyDescent="0.25">
      <c r="B4" t="s">
        <v>202</v>
      </c>
    </row>
    <row r="5" spans="1:2" x14ac:dyDescent="0.25">
      <c r="B5" t="s">
        <v>203</v>
      </c>
    </row>
    <row r="6" spans="1:2" x14ac:dyDescent="0.25">
      <c r="B6" t="s">
        <v>204</v>
      </c>
    </row>
    <row r="7" spans="1:2" x14ac:dyDescent="0.25">
      <c r="A7">
        <v>1020</v>
      </c>
      <c r="B7" t="s">
        <v>205</v>
      </c>
    </row>
    <row r="8" spans="1:2" x14ac:dyDescent="0.25">
      <c r="B8" t="s">
        <v>206</v>
      </c>
    </row>
    <row r="9" spans="1:2" x14ac:dyDescent="0.25">
      <c r="A9">
        <v>1040</v>
      </c>
      <c r="B9" t="s">
        <v>207</v>
      </c>
    </row>
    <row r="10" spans="1:2" x14ac:dyDescent="0.25">
      <c r="A10">
        <v>1030</v>
      </c>
      <c r="B10" t="s">
        <v>208</v>
      </c>
    </row>
    <row r="11" spans="1:2" x14ac:dyDescent="0.25">
      <c r="B11" t="s">
        <v>209</v>
      </c>
    </row>
    <row r="12" spans="1:2" x14ac:dyDescent="0.25">
      <c r="A12">
        <v>1050</v>
      </c>
      <c r="B12" t="s">
        <v>210</v>
      </c>
    </row>
    <row r="13" spans="1:2" x14ac:dyDescent="0.25">
      <c r="B13" t="s">
        <v>211</v>
      </c>
    </row>
    <row r="14" spans="1:2" x14ac:dyDescent="0.25">
      <c r="A14">
        <v>1060</v>
      </c>
      <c r="B14" t="s">
        <v>212</v>
      </c>
    </row>
    <row r="15" spans="1:2" x14ac:dyDescent="0.25">
      <c r="B15" t="s">
        <v>213</v>
      </c>
    </row>
    <row r="16" spans="1:2" x14ac:dyDescent="0.25">
      <c r="A16">
        <v>1070</v>
      </c>
      <c r="B16" t="s">
        <v>214</v>
      </c>
    </row>
    <row r="17" spans="1:2" x14ac:dyDescent="0.25">
      <c r="B17" t="s">
        <v>215</v>
      </c>
    </row>
    <row r="18" spans="1:2" x14ac:dyDescent="0.25">
      <c r="A18">
        <v>1090</v>
      </c>
      <c r="B18" t="s">
        <v>216</v>
      </c>
    </row>
    <row r="19" spans="1:2" x14ac:dyDescent="0.25">
      <c r="B19" t="s">
        <v>217</v>
      </c>
    </row>
    <row r="20" spans="1:2" x14ac:dyDescent="0.25">
      <c r="B20" t="s">
        <v>218</v>
      </c>
    </row>
    <row r="21" spans="1:2" x14ac:dyDescent="0.25">
      <c r="A21">
        <v>1100</v>
      </c>
      <c r="B21" t="s">
        <v>219</v>
      </c>
    </row>
    <row r="22" spans="1:2" x14ac:dyDescent="0.25">
      <c r="B22" t="s">
        <v>220</v>
      </c>
    </row>
    <row r="23" spans="1:2" x14ac:dyDescent="0.25">
      <c r="A23">
        <v>1120</v>
      </c>
      <c r="B23" t="s">
        <v>221</v>
      </c>
    </row>
    <row r="24" spans="1:2" x14ac:dyDescent="0.25">
      <c r="B24" t="s">
        <v>222</v>
      </c>
    </row>
    <row r="25" spans="1:2" x14ac:dyDescent="0.25">
      <c r="A25">
        <v>1160</v>
      </c>
      <c r="B25" t="s">
        <v>223</v>
      </c>
    </row>
    <row r="26" spans="1:2" x14ac:dyDescent="0.25">
      <c r="A26">
        <v>1170</v>
      </c>
      <c r="B26" t="s">
        <v>224</v>
      </c>
    </row>
    <row r="27" spans="1:2" x14ac:dyDescent="0.25">
      <c r="B27" t="s">
        <v>225</v>
      </c>
    </row>
    <row r="28" spans="1:2" x14ac:dyDescent="0.25">
      <c r="A28">
        <v>1300</v>
      </c>
      <c r="B28" t="s">
        <v>226</v>
      </c>
    </row>
    <row r="29" spans="1:2" x14ac:dyDescent="0.25">
      <c r="B29" t="s">
        <v>227</v>
      </c>
    </row>
    <row r="30" spans="1:2" x14ac:dyDescent="0.25">
      <c r="A30">
        <v>1380</v>
      </c>
      <c r="B30" t="s">
        <v>228</v>
      </c>
    </row>
    <row r="31" spans="1:2" x14ac:dyDescent="0.25">
      <c r="B31" t="s">
        <v>229</v>
      </c>
    </row>
    <row r="32" spans="1:2" x14ac:dyDescent="0.25">
      <c r="B32" t="s">
        <v>230</v>
      </c>
    </row>
    <row r="33" spans="1:2" x14ac:dyDescent="0.25">
      <c r="A33">
        <v>1400</v>
      </c>
      <c r="B33" t="s">
        <v>231</v>
      </c>
    </row>
    <row r="34" spans="1:2" x14ac:dyDescent="0.25">
      <c r="B34" t="s">
        <v>232</v>
      </c>
    </row>
    <row r="35" spans="1:2" x14ac:dyDescent="0.25">
      <c r="A35">
        <v>1410</v>
      </c>
      <c r="B35" t="s">
        <v>233</v>
      </c>
    </row>
    <row r="36" spans="1:2" x14ac:dyDescent="0.25">
      <c r="B36" t="s">
        <v>234</v>
      </c>
    </row>
    <row r="37" spans="1:2" x14ac:dyDescent="0.25">
      <c r="A37">
        <v>1420</v>
      </c>
      <c r="B37" t="s">
        <v>235</v>
      </c>
    </row>
    <row r="38" spans="1:2" x14ac:dyDescent="0.25">
      <c r="B38" t="s">
        <v>236</v>
      </c>
    </row>
    <row r="39" spans="1:2" x14ac:dyDescent="0.25">
      <c r="A39">
        <v>1430</v>
      </c>
      <c r="B39" t="s">
        <v>237</v>
      </c>
    </row>
    <row r="40" spans="1:2" x14ac:dyDescent="0.25">
      <c r="B40" t="s">
        <v>238</v>
      </c>
    </row>
    <row r="41" spans="1:2" x14ac:dyDescent="0.25">
      <c r="A41">
        <v>1440</v>
      </c>
      <c r="B41" t="s">
        <v>239</v>
      </c>
    </row>
    <row r="42" spans="1:2" x14ac:dyDescent="0.25">
      <c r="B42" t="s">
        <v>240</v>
      </c>
    </row>
    <row r="43" spans="1:2" x14ac:dyDescent="0.25">
      <c r="A43">
        <v>1470</v>
      </c>
      <c r="B43" t="s">
        <v>241</v>
      </c>
    </row>
    <row r="44" spans="1:2" x14ac:dyDescent="0.25">
      <c r="B44" t="s">
        <v>242</v>
      </c>
    </row>
    <row r="45" spans="1:2" x14ac:dyDescent="0.25">
      <c r="B45" t="s">
        <v>243</v>
      </c>
    </row>
    <row r="46" spans="1:2" x14ac:dyDescent="0.25">
      <c r="B46" t="s">
        <v>244</v>
      </c>
    </row>
    <row r="47" spans="1:2" x14ac:dyDescent="0.25">
      <c r="A47">
        <v>1500</v>
      </c>
      <c r="B47" t="s">
        <v>245</v>
      </c>
    </row>
    <row r="48" spans="1:2" x14ac:dyDescent="0.25">
      <c r="B48" t="s">
        <v>246</v>
      </c>
    </row>
    <row r="49" spans="1:2" x14ac:dyDescent="0.25">
      <c r="A49">
        <v>1510</v>
      </c>
      <c r="B49" t="s">
        <v>247</v>
      </c>
    </row>
    <row r="50" spans="1:2" x14ac:dyDescent="0.25">
      <c r="B50" t="s">
        <v>248</v>
      </c>
    </row>
    <row r="51" spans="1:2" x14ac:dyDescent="0.25">
      <c r="B51" t="s">
        <v>249</v>
      </c>
    </row>
    <row r="52" spans="1:2" x14ac:dyDescent="0.25">
      <c r="A52">
        <v>1520</v>
      </c>
      <c r="B52" t="s">
        <v>250</v>
      </c>
    </row>
    <row r="53" spans="1:2" x14ac:dyDescent="0.25">
      <c r="B53" t="s">
        <v>251</v>
      </c>
    </row>
    <row r="54" spans="1:2" x14ac:dyDescent="0.25">
      <c r="A54">
        <v>1530</v>
      </c>
      <c r="B54" t="s">
        <v>252</v>
      </c>
    </row>
    <row r="55" spans="1:2" x14ac:dyDescent="0.25">
      <c r="B55" t="s">
        <v>253</v>
      </c>
    </row>
    <row r="56" spans="1:2" x14ac:dyDescent="0.25">
      <c r="A56">
        <v>1540</v>
      </c>
      <c r="B56" t="s">
        <v>254</v>
      </c>
    </row>
    <row r="57" spans="1:2" x14ac:dyDescent="0.25">
      <c r="B57" t="s">
        <v>215</v>
      </c>
    </row>
    <row r="58" spans="1:2" x14ac:dyDescent="0.25">
      <c r="A58">
        <v>1550</v>
      </c>
      <c r="B58" t="s">
        <v>255</v>
      </c>
    </row>
    <row r="59" spans="1:2" x14ac:dyDescent="0.25">
      <c r="B59" t="s">
        <v>256</v>
      </c>
    </row>
    <row r="60" spans="1:2" x14ac:dyDescent="0.25">
      <c r="B60" t="s">
        <v>257</v>
      </c>
    </row>
    <row r="61" spans="1:2" x14ac:dyDescent="0.25">
      <c r="B61" t="s">
        <v>258</v>
      </c>
    </row>
    <row r="62" spans="1:2" x14ac:dyDescent="0.25">
      <c r="A62">
        <v>1600</v>
      </c>
      <c r="B62" t="s">
        <v>259</v>
      </c>
    </row>
    <row r="63" spans="1:2" x14ac:dyDescent="0.25">
      <c r="B63" t="s">
        <v>260</v>
      </c>
    </row>
    <row r="64" spans="1:2" x14ac:dyDescent="0.25">
      <c r="A64">
        <v>1630</v>
      </c>
      <c r="B64" t="s">
        <v>261</v>
      </c>
    </row>
    <row r="65" spans="1:2" x14ac:dyDescent="0.25">
      <c r="B65" t="s">
        <v>262</v>
      </c>
    </row>
    <row r="66" spans="1:2" x14ac:dyDescent="0.25">
      <c r="A66">
        <v>1640</v>
      </c>
      <c r="B66" t="s">
        <v>263</v>
      </c>
    </row>
    <row r="67" spans="1:2" x14ac:dyDescent="0.25">
      <c r="B67" t="s">
        <v>264</v>
      </c>
    </row>
    <row r="68" spans="1:2" x14ac:dyDescent="0.25">
      <c r="A68">
        <v>1650</v>
      </c>
      <c r="B68" t="s">
        <v>265</v>
      </c>
    </row>
    <row r="69" spans="1:2" x14ac:dyDescent="0.25">
      <c r="B69" t="s">
        <v>266</v>
      </c>
    </row>
    <row r="70" spans="1:2" x14ac:dyDescent="0.25">
      <c r="A70">
        <v>1660</v>
      </c>
      <c r="B70" t="s">
        <v>267</v>
      </c>
    </row>
    <row r="71" spans="1:2" x14ac:dyDescent="0.25">
      <c r="A71">
        <v>1667</v>
      </c>
      <c r="B71" t="s">
        <v>268</v>
      </c>
    </row>
    <row r="72" spans="1:2" x14ac:dyDescent="0.25">
      <c r="B72" t="s">
        <v>269</v>
      </c>
    </row>
    <row r="73" spans="1:2" x14ac:dyDescent="0.25">
      <c r="A73">
        <v>1670</v>
      </c>
      <c r="B73" t="s">
        <v>270</v>
      </c>
    </row>
    <row r="74" spans="1:2" x14ac:dyDescent="0.25">
      <c r="B74" t="s">
        <v>271</v>
      </c>
    </row>
    <row r="75" spans="1:2" x14ac:dyDescent="0.25">
      <c r="B75" t="s">
        <v>272</v>
      </c>
    </row>
    <row r="76" spans="1:2" x14ac:dyDescent="0.25">
      <c r="A76">
        <v>1680</v>
      </c>
      <c r="B76" t="s">
        <v>273</v>
      </c>
    </row>
    <row r="77" spans="1:2" x14ac:dyDescent="0.25">
      <c r="B77" t="s">
        <v>274</v>
      </c>
    </row>
    <row r="78" spans="1:2" x14ac:dyDescent="0.25">
      <c r="A78">
        <v>1690</v>
      </c>
      <c r="B78" t="s">
        <v>275</v>
      </c>
    </row>
    <row r="79" spans="1:2" x14ac:dyDescent="0.25">
      <c r="B79" t="s">
        <v>276</v>
      </c>
    </row>
    <row r="80" spans="1:2" x14ac:dyDescent="0.25">
      <c r="B80" t="s">
        <v>258</v>
      </c>
    </row>
    <row r="81" spans="1:2" x14ac:dyDescent="0.25">
      <c r="A81">
        <v>1710</v>
      </c>
      <c r="B81" t="s">
        <v>277</v>
      </c>
    </row>
    <row r="82" spans="1:2" x14ac:dyDescent="0.25">
      <c r="A82">
        <v>1700</v>
      </c>
      <c r="B82" t="s">
        <v>278</v>
      </c>
    </row>
    <row r="83" spans="1:2" x14ac:dyDescent="0.25">
      <c r="A83">
        <v>1717</v>
      </c>
      <c r="B83" t="s">
        <v>279</v>
      </c>
    </row>
    <row r="84" spans="1:2" x14ac:dyDescent="0.25">
      <c r="A84">
        <v>1720</v>
      </c>
      <c r="B84" t="s">
        <v>280</v>
      </c>
    </row>
    <row r="85" spans="1:2" x14ac:dyDescent="0.25">
      <c r="A85">
        <v>1718</v>
      </c>
      <c r="B85" t="s">
        <v>281</v>
      </c>
    </row>
    <row r="86" spans="1:2" x14ac:dyDescent="0.25">
      <c r="B86" t="s">
        <v>260</v>
      </c>
    </row>
    <row r="87" spans="1:2" x14ac:dyDescent="0.25">
      <c r="A87">
        <v>1730</v>
      </c>
      <c r="B87" t="s">
        <v>282</v>
      </c>
    </row>
    <row r="88" spans="1:2" x14ac:dyDescent="0.25">
      <c r="B88" t="s">
        <v>262</v>
      </c>
    </row>
    <row r="89" spans="1:2" x14ac:dyDescent="0.25">
      <c r="A89">
        <v>1740</v>
      </c>
      <c r="B89" t="s">
        <v>283</v>
      </c>
    </row>
    <row r="90" spans="1:2" x14ac:dyDescent="0.25">
      <c r="B90" t="s">
        <v>264</v>
      </c>
    </row>
    <row r="91" spans="1:2" x14ac:dyDescent="0.25">
      <c r="A91">
        <v>1750</v>
      </c>
      <c r="B91" t="s">
        <v>284</v>
      </c>
    </row>
    <row r="92" spans="1:2" x14ac:dyDescent="0.25">
      <c r="B92" t="s">
        <v>266</v>
      </c>
    </row>
    <row r="93" spans="1:2" x14ac:dyDescent="0.25">
      <c r="A93">
        <v>1760</v>
      </c>
      <c r="B93" t="s">
        <v>285</v>
      </c>
    </row>
    <row r="94" spans="1:2" x14ac:dyDescent="0.25">
      <c r="A94">
        <v>1765</v>
      </c>
      <c r="B94" t="s">
        <v>286</v>
      </c>
    </row>
    <row r="95" spans="1:2" x14ac:dyDescent="0.25">
      <c r="A95">
        <v>1777</v>
      </c>
      <c r="B95" t="s">
        <v>287</v>
      </c>
    </row>
    <row r="96" spans="1:2" x14ac:dyDescent="0.25">
      <c r="B96" t="s">
        <v>269</v>
      </c>
    </row>
    <row r="97" spans="1:2" x14ac:dyDescent="0.25">
      <c r="A97">
        <v>1780</v>
      </c>
      <c r="B97" t="s">
        <v>288</v>
      </c>
    </row>
    <row r="98" spans="1:2" x14ac:dyDescent="0.25">
      <c r="B98" t="s">
        <v>271</v>
      </c>
    </row>
    <row r="99" spans="1:2" x14ac:dyDescent="0.25">
      <c r="B99" t="s">
        <v>272</v>
      </c>
    </row>
    <row r="100" spans="1:2" x14ac:dyDescent="0.25">
      <c r="A100">
        <v>1810</v>
      </c>
      <c r="B100" t="s">
        <v>289</v>
      </c>
    </row>
    <row r="101" spans="1:2" x14ac:dyDescent="0.25">
      <c r="A101">
        <v>1800</v>
      </c>
      <c r="B101" t="s">
        <v>290</v>
      </c>
    </row>
    <row r="102" spans="1:2" x14ac:dyDescent="0.25">
      <c r="B102" t="s">
        <v>274</v>
      </c>
    </row>
    <row r="103" spans="1:2" x14ac:dyDescent="0.25">
      <c r="A103">
        <v>1850</v>
      </c>
      <c r="B103" t="s">
        <v>291</v>
      </c>
    </row>
    <row r="104" spans="1:2" x14ac:dyDescent="0.25">
      <c r="B104" t="s">
        <v>292</v>
      </c>
    </row>
    <row r="105" spans="1:2" x14ac:dyDescent="0.25">
      <c r="B105" t="s">
        <v>230</v>
      </c>
    </row>
    <row r="106" spans="1:2" x14ac:dyDescent="0.25">
      <c r="A106">
        <v>1860</v>
      </c>
      <c r="B106" t="s">
        <v>231</v>
      </c>
    </row>
    <row r="107" spans="1:2" x14ac:dyDescent="0.25">
      <c r="B107" t="s">
        <v>238</v>
      </c>
    </row>
    <row r="108" spans="1:2" x14ac:dyDescent="0.25">
      <c r="A108">
        <v>1880</v>
      </c>
      <c r="B108" t="s">
        <v>293</v>
      </c>
    </row>
    <row r="109" spans="1:2" x14ac:dyDescent="0.25">
      <c r="B109" t="s">
        <v>294</v>
      </c>
    </row>
    <row r="110" spans="1:2" x14ac:dyDescent="0.25">
      <c r="A110">
        <v>1890</v>
      </c>
      <c r="B110" t="s">
        <v>295</v>
      </c>
    </row>
    <row r="111" spans="1:2" x14ac:dyDescent="0.25">
      <c r="B111" t="s">
        <v>296</v>
      </c>
    </row>
    <row r="112" spans="1:2" x14ac:dyDescent="0.25">
      <c r="B112" t="s">
        <v>297</v>
      </c>
    </row>
    <row r="113" spans="1:2" x14ac:dyDescent="0.25">
      <c r="A113">
        <v>1900</v>
      </c>
      <c r="B113" t="s">
        <v>298</v>
      </c>
    </row>
    <row r="114" spans="1:2" x14ac:dyDescent="0.25">
      <c r="B114" t="s">
        <v>299</v>
      </c>
    </row>
    <row r="115" spans="1:2" x14ac:dyDescent="0.25">
      <c r="A115">
        <v>1930</v>
      </c>
      <c r="B115" t="s">
        <v>300</v>
      </c>
    </row>
    <row r="116" spans="1:2" x14ac:dyDescent="0.25">
      <c r="A116">
        <v>1980</v>
      </c>
      <c r="B116" t="s">
        <v>301</v>
      </c>
    </row>
    <row r="117" spans="1:2" x14ac:dyDescent="0.25">
      <c r="A117">
        <v>1940</v>
      </c>
      <c r="B117" t="s">
        <v>302</v>
      </c>
    </row>
    <row r="118" spans="1:2" x14ac:dyDescent="0.25">
      <c r="A118">
        <v>1920</v>
      </c>
      <c r="B118" t="s">
        <v>303</v>
      </c>
    </row>
    <row r="119" spans="1:2" x14ac:dyDescent="0.25">
      <c r="A119">
        <v>1910</v>
      </c>
      <c r="B119" t="s">
        <v>304</v>
      </c>
    </row>
    <row r="120" spans="1:2" x14ac:dyDescent="0.25">
      <c r="A120">
        <v>1950</v>
      </c>
      <c r="B120" t="s">
        <v>305</v>
      </c>
    </row>
    <row r="121" spans="1:2" x14ac:dyDescent="0.25">
      <c r="A121">
        <v>1960</v>
      </c>
      <c r="B121" t="s">
        <v>306</v>
      </c>
    </row>
    <row r="122" spans="1:2" x14ac:dyDescent="0.25">
      <c r="A122">
        <v>1970</v>
      </c>
      <c r="B122" t="s">
        <v>307</v>
      </c>
    </row>
    <row r="123" spans="1:2" x14ac:dyDescent="0.25">
      <c r="B123" t="s">
        <v>308</v>
      </c>
    </row>
    <row r="124" spans="1:2" x14ac:dyDescent="0.25">
      <c r="A124">
        <v>1990</v>
      </c>
      <c r="B124" t="s">
        <v>309</v>
      </c>
    </row>
    <row r="125" spans="1:2" x14ac:dyDescent="0.25">
      <c r="B125" s="1" t="s">
        <v>310</v>
      </c>
    </row>
    <row r="126" spans="1:2" x14ac:dyDescent="0.25">
      <c r="B126" t="s">
        <v>311</v>
      </c>
    </row>
    <row r="127" spans="1:2" x14ac:dyDescent="0.25">
      <c r="B127" t="s">
        <v>312</v>
      </c>
    </row>
    <row r="128" spans="1:2" x14ac:dyDescent="0.25">
      <c r="B128" t="s">
        <v>313</v>
      </c>
    </row>
    <row r="129" spans="1:2" x14ac:dyDescent="0.25">
      <c r="A129">
        <v>2000</v>
      </c>
      <c r="B129" t="s">
        <v>314</v>
      </c>
    </row>
    <row r="130" spans="1:2" x14ac:dyDescent="0.25">
      <c r="B130" t="s">
        <v>315</v>
      </c>
    </row>
    <row r="131" spans="1:2" x14ac:dyDescent="0.25">
      <c r="A131">
        <v>2010</v>
      </c>
      <c r="B131" t="s">
        <v>316</v>
      </c>
    </row>
    <row r="132" spans="1:2" x14ac:dyDescent="0.25">
      <c r="B132" t="s">
        <v>317</v>
      </c>
    </row>
    <row r="133" spans="1:2" x14ac:dyDescent="0.25">
      <c r="A133">
        <v>2100</v>
      </c>
      <c r="B133" t="s">
        <v>318</v>
      </c>
    </row>
    <row r="134" spans="1:2" x14ac:dyDescent="0.25">
      <c r="B134" t="s">
        <v>319</v>
      </c>
    </row>
    <row r="135" spans="1:2" x14ac:dyDescent="0.25">
      <c r="A135">
        <v>2150</v>
      </c>
      <c r="B135" t="s">
        <v>320</v>
      </c>
    </row>
    <row r="136" spans="1:2" x14ac:dyDescent="0.25">
      <c r="B136" t="s">
        <v>321</v>
      </c>
    </row>
    <row r="137" spans="1:2" x14ac:dyDescent="0.25">
      <c r="A137">
        <v>2170</v>
      </c>
      <c r="B137" t="s">
        <v>322</v>
      </c>
    </row>
    <row r="138" spans="1:2" x14ac:dyDescent="0.25">
      <c r="A138">
        <v>2172</v>
      </c>
      <c r="B138" t="s">
        <v>323</v>
      </c>
    </row>
    <row r="139" spans="1:2" x14ac:dyDescent="0.25">
      <c r="B139" t="s">
        <v>324</v>
      </c>
    </row>
    <row r="140" spans="1:2" x14ac:dyDescent="0.25">
      <c r="A140">
        <v>2200</v>
      </c>
      <c r="B140" t="s">
        <v>325</v>
      </c>
    </row>
    <row r="141" spans="1:2" x14ac:dyDescent="0.25">
      <c r="B141" t="s">
        <v>326</v>
      </c>
    </row>
    <row r="142" spans="1:2" x14ac:dyDescent="0.25">
      <c r="A142">
        <v>2020</v>
      </c>
      <c r="B142" t="s">
        <v>327</v>
      </c>
    </row>
    <row r="143" spans="1:2" x14ac:dyDescent="0.25">
      <c r="B143" t="s">
        <v>328</v>
      </c>
    </row>
    <row r="144" spans="1:2" x14ac:dyDescent="0.25">
      <c r="B144" t="s">
        <v>329</v>
      </c>
    </row>
    <row r="145" spans="1:2" x14ac:dyDescent="0.25">
      <c r="A145">
        <v>2030</v>
      </c>
      <c r="B145" t="s">
        <v>330</v>
      </c>
    </row>
    <row r="146" spans="1:2" x14ac:dyDescent="0.25">
      <c r="B146" t="s">
        <v>331</v>
      </c>
    </row>
    <row r="147" spans="1:2" x14ac:dyDescent="0.25">
      <c r="A147">
        <v>2110</v>
      </c>
      <c r="B147" t="s">
        <v>332</v>
      </c>
    </row>
    <row r="148" spans="1:2" x14ac:dyDescent="0.25">
      <c r="B148" t="s">
        <v>333</v>
      </c>
    </row>
    <row r="149" spans="1:2" x14ac:dyDescent="0.25">
      <c r="A149">
        <v>2160</v>
      </c>
      <c r="B149" t="s">
        <v>334</v>
      </c>
    </row>
    <row r="150" spans="1:2" x14ac:dyDescent="0.25">
      <c r="B150" t="s">
        <v>335</v>
      </c>
    </row>
    <row r="151" spans="1:2" x14ac:dyDescent="0.25">
      <c r="A151">
        <v>2190</v>
      </c>
      <c r="B151" t="s">
        <v>336</v>
      </c>
    </row>
    <row r="152" spans="1:2" x14ac:dyDescent="0.25">
      <c r="B152" t="s">
        <v>337</v>
      </c>
    </row>
    <row r="153" spans="1:2" x14ac:dyDescent="0.25">
      <c r="A153">
        <v>2210</v>
      </c>
      <c r="B153" t="s">
        <v>338</v>
      </c>
    </row>
    <row r="154" spans="1:2" x14ac:dyDescent="0.25">
      <c r="B154" t="s">
        <v>339</v>
      </c>
    </row>
    <row r="155" spans="1:2" x14ac:dyDescent="0.25">
      <c r="B155" t="s">
        <v>340</v>
      </c>
    </row>
    <row r="156" spans="1:2" x14ac:dyDescent="0.25">
      <c r="A156">
        <v>2060</v>
      </c>
      <c r="B156" t="s">
        <v>341</v>
      </c>
    </row>
    <row r="157" spans="1:2" x14ac:dyDescent="0.25">
      <c r="B157" t="s">
        <v>342</v>
      </c>
    </row>
    <row r="158" spans="1:2" x14ac:dyDescent="0.25">
      <c r="B158" t="s">
        <v>343</v>
      </c>
    </row>
    <row r="159" spans="1:2" x14ac:dyDescent="0.25">
      <c r="A159">
        <v>2050</v>
      </c>
      <c r="B159" t="s">
        <v>344</v>
      </c>
    </row>
    <row r="160" spans="1:2" x14ac:dyDescent="0.25">
      <c r="B160" t="s">
        <v>345</v>
      </c>
    </row>
    <row r="161" spans="1:2" x14ac:dyDescent="0.25">
      <c r="A161">
        <v>2120</v>
      </c>
      <c r="B161" t="s">
        <v>346</v>
      </c>
    </row>
    <row r="162" spans="1:2" x14ac:dyDescent="0.25">
      <c r="B162" t="s">
        <v>347</v>
      </c>
    </row>
    <row r="163" spans="1:2" x14ac:dyDescent="0.25">
      <c r="B163" t="s">
        <v>348</v>
      </c>
    </row>
    <row r="164" spans="1:2" x14ac:dyDescent="0.25">
      <c r="A164">
        <v>2070</v>
      </c>
      <c r="B164" t="s">
        <v>349</v>
      </c>
    </row>
    <row r="165" spans="1:2" x14ac:dyDescent="0.25">
      <c r="B165" t="s">
        <v>350</v>
      </c>
    </row>
    <row r="166" spans="1:2" x14ac:dyDescent="0.25">
      <c r="A166">
        <v>2130</v>
      </c>
      <c r="B166" t="s">
        <v>351</v>
      </c>
    </row>
    <row r="167" spans="1:2" x14ac:dyDescent="0.25">
      <c r="B167" t="s">
        <v>352</v>
      </c>
    </row>
    <row r="168" spans="1:2" x14ac:dyDescent="0.25">
      <c r="B168" t="s">
        <v>353</v>
      </c>
    </row>
    <row r="169" spans="1:2" x14ac:dyDescent="0.25">
      <c r="A169">
        <v>2080</v>
      </c>
      <c r="B169" t="s">
        <v>354</v>
      </c>
    </row>
    <row r="170" spans="1:2" x14ac:dyDescent="0.25">
      <c r="B170" t="s">
        <v>355</v>
      </c>
    </row>
    <row r="171" spans="1:2" x14ac:dyDescent="0.25">
      <c r="A171">
        <v>2140</v>
      </c>
      <c r="B171" t="s">
        <v>356</v>
      </c>
    </row>
    <row r="172" spans="1:2" x14ac:dyDescent="0.25">
      <c r="B172" t="s">
        <v>357</v>
      </c>
    </row>
    <row r="173" spans="1:2" x14ac:dyDescent="0.25">
      <c r="B173" t="s">
        <v>358</v>
      </c>
    </row>
    <row r="174" spans="1:2" x14ac:dyDescent="0.25">
      <c r="A174">
        <v>2261</v>
      </c>
      <c r="B174" t="s">
        <v>359</v>
      </c>
    </row>
    <row r="175" spans="1:2" x14ac:dyDescent="0.25">
      <c r="A175">
        <v>2290</v>
      </c>
      <c r="B175" t="s">
        <v>360</v>
      </c>
    </row>
    <row r="176" spans="1:2" x14ac:dyDescent="0.25">
      <c r="A176">
        <v>2291</v>
      </c>
      <c r="B176" t="s">
        <v>361</v>
      </c>
    </row>
    <row r="177" spans="1:2" x14ac:dyDescent="0.25">
      <c r="A177">
        <v>2250</v>
      </c>
      <c r="B177" t="s">
        <v>362</v>
      </c>
    </row>
    <row r="178" spans="1:2" x14ac:dyDescent="0.25">
      <c r="B178" t="s">
        <v>363</v>
      </c>
    </row>
    <row r="179" spans="1:2" x14ac:dyDescent="0.25">
      <c r="A179">
        <v>2330</v>
      </c>
      <c r="B179" t="s">
        <v>364</v>
      </c>
    </row>
    <row r="180" spans="1:2" x14ac:dyDescent="0.25">
      <c r="B180" t="s">
        <v>365</v>
      </c>
    </row>
    <row r="181" spans="1:2" x14ac:dyDescent="0.25">
      <c r="A181">
        <v>2340</v>
      </c>
      <c r="B181" t="s">
        <v>366</v>
      </c>
    </row>
    <row r="182" spans="1:2" x14ac:dyDescent="0.25">
      <c r="B182" t="s">
        <v>367</v>
      </c>
    </row>
    <row r="183" spans="1:2" x14ac:dyDescent="0.25">
      <c r="A183">
        <v>2370</v>
      </c>
      <c r="B183" t="s">
        <v>368</v>
      </c>
    </row>
    <row r="184" spans="1:2" x14ac:dyDescent="0.25">
      <c r="B184" t="s">
        <v>369</v>
      </c>
    </row>
    <row r="185" spans="1:2" x14ac:dyDescent="0.25">
      <c r="A185">
        <v>2380</v>
      </c>
      <c r="B185" t="s">
        <v>370</v>
      </c>
    </row>
    <row r="186" spans="1:2" x14ac:dyDescent="0.25">
      <c r="B186" t="s">
        <v>371</v>
      </c>
    </row>
    <row r="187" spans="1:2" x14ac:dyDescent="0.25">
      <c r="A187">
        <v>2390</v>
      </c>
      <c r="B187" t="s">
        <v>372</v>
      </c>
    </row>
    <row r="188" spans="1:2" x14ac:dyDescent="0.25">
      <c r="B188" t="s">
        <v>373</v>
      </c>
    </row>
    <row r="189" spans="1:2" x14ac:dyDescent="0.25">
      <c r="B189" t="s">
        <v>374</v>
      </c>
    </row>
    <row r="190" spans="1:2" x14ac:dyDescent="0.25">
      <c r="A190">
        <v>2400</v>
      </c>
      <c r="B190" t="s">
        <v>375</v>
      </c>
    </row>
    <row r="191" spans="1:2" x14ac:dyDescent="0.25">
      <c r="B191" t="s">
        <v>376</v>
      </c>
    </row>
    <row r="192" spans="1:2" x14ac:dyDescent="0.25">
      <c r="A192">
        <v>2450</v>
      </c>
      <c r="B192" t="s">
        <v>377</v>
      </c>
    </row>
    <row r="193" spans="1:2" x14ac:dyDescent="0.25">
      <c r="B193" t="s">
        <v>378</v>
      </c>
    </row>
    <row r="194" spans="1:2" x14ac:dyDescent="0.25">
      <c r="B194" t="s">
        <v>379</v>
      </c>
    </row>
    <row r="195" spans="1:2" x14ac:dyDescent="0.25">
      <c r="A195">
        <v>2500</v>
      </c>
      <c r="B195" t="s">
        <v>380</v>
      </c>
    </row>
    <row r="196" spans="1:2" x14ac:dyDescent="0.25">
      <c r="B196" t="s">
        <v>381</v>
      </c>
    </row>
    <row r="197" spans="1:2" x14ac:dyDescent="0.25">
      <c r="A197">
        <v>2530</v>
      </c>
      <c r="B197" t="s">
        <v>382</v>
      </c>
    </row>
    <row r="198" spans="1:2" x14ac:dyDescent="0.25">
      <c r="B198" t="s">
        <v>383</v>
      </c>
    </row>
    <row r="199" spans="1:2" x14ac:dyDescent="0.25">
      <c r="A199">
        <v>2550</v>
      </c>
      <c r="B199" t="s">
        <v>384</v>
      </c>
    </row>
    <row r="200" spans="1:2" x14ac:dyDescent="0.25">
      <c r="B200" t="s">
        <v>385</v>
      </c>
    </row>
    <row r="201" spans="1:2" x14ac:dyDescent="0.25">
      <c r="A201">
        <v>2590</v>
      </c>
      <c r="B201" t="s">
        <v>386</v>
      </c>
    </row>
    <row r="202" spans="1:2" x14ac:dyDescent="0.25">
      <c r="B202" t="s">
        <v>387</v>
      </c>
    </row>
    <row r="203" spans="1:2" x14ac:dyDescent="0.25">
      <c r="B203" t="s">
        <v>388</v>
      </c>
    </row>
    <row r="204" spans="1:2" x14ac:dyDescent="0.25">
      <c r="B204" t="s">
        <v>389</v>
      </c>
    </row>
    <row r="205" spans="1:2" x14ac:dyDescent="0.25">
      <c r="A205">
        <v>2600</v>
      </c>
      <c r="B205" t="s">
        <v>390</v>
      </c>
    </row>
    <row r="206" spans="1:2" x14ac:dyDescent="0.25">
      <c r="B206" t="s">
        <v>391</v>
      </c>
    </row>
    <row r="207" spans="1:2" x14ac:dyDescent="0.25">
      <c r="A207">
        <v>2610</v>
      </c>
      <c r="B207" t="s">
        <v>392</v>
      </c>
    </row>
    <row r="208" spans="1:2" x14ac:dyDescent="0.25">
      <c r="B208" t="s">
        <v>393</v>
      </c>
    </row>
    <row r="209" spans="1:2" x14ac:dyDescent="0.25">
      <c r="A209">
        <v>2620</v>
      </c>
      <c r="B209" t="s">
        <v>394</v>
      </c>
    </row>
    <row r="210" spans="1:2" x14ac:dyDescent="0.25">
      <c r="B210" t="s">
        <v>395</v>
      </c>
    </row>
    <row r="211" spans="1:2" x14ac:dyDescent="0.25">
      <c r="A211">
        <v>2630</v>
      </c>
      <c r="B211" t="s">
        <v>396</v>
      </c>
    </row>
    <row r="212" spans="1:2" x14ac:dyDescent="0.25">
      <c r="B212" t="s">
        <v>397</v>
      </c>
    </row>
    <row r="213" spans="1:2" x14ac:dyDescent="0.25">
      <c r="A213">
        <v>2650</v>
      </c>
      <c r="B213" t="s">
        <v>398</v>
      </c>
    </row>
    <row r="214" spans="1:2" x14ac:dyDescent="0.25">
      <c r="B214" t="s">
        <v>399</v>
      </c>
    </row>
    <row r="215" spans="1:2" x14ac:dyDescent="0.25">
      <c r="A215">
        <v>2660</v>
      </c>
      <c r="B215" t="s">
        <v>400</v>
      </c>
    </row>
    <row r="216" spans="1:2" x14ac:dyDescent="0.25">
      <c r="B216" t="s">
        <v>401</v>
      </c>
    </row>
    <row r="217" spans="1:2" x14ac:dyDescent="0.25">
      <c r="A217">
        <v>2670</v>
      </c>
      <c r="B217" t="s">
        <v>402</v>
      </c>
    </row>
    <row r="218" spans="1:2" x14ac:dyDescent="0.25">
      <c r="A218">
        <v>2680</v>
      </c>
      <c r="B218" t="s">
        <v>403</v>
      </c>
    </row>
    <row r="219" spans="1:2" x14ac:dyDescent="0.25">
      <c r="B219" t="s">
        <v>404</v>
      </c>
    </row>
    <row r="220" spans="1:2" x14ac:dyDescent="0.25">
      <c r="A220">
        <v>2690</v>
      </c>
      <c r="B220" t="s">
        <v>405</v>
      </c>
    </row>
    <row r="221" spans="1:2" x14ac:dyDescent="0.25">
      <c r="B221" t="s">
        <v>406</v>
      </c>
    </row>
    <row r="222" spans="1:2" x14ac:dyDescent="0.25">
      <c r="A222">
        <v>2700</v>
      </c>
      <c r="B222" t="s">
        <v>407</v>
      </c>
    </row>
    <row r="223" spans="1:2" x14ac:dyDescent="0.25">
      <c r="B223" t="s">
        <v>408</v>
      </c>
    </row>
    <row r="224" spans="1:2" x14ac:dyDescent="0.25">
      <c r="A224">
        <v>2710</v>
      </c>
      <c r="B224" t="s">
        <v>409</v>
      </c>
    </row>
    <row r="225" spans="1:2" x14ac:dyDescent="0.25">
      <c r="B225" t="s">
        <v>410</v>
      </c>
    </row>
    <row r="226" spans="1:2" x14ac:dyDescent="0.25">
      <c r="A226">
        <v>2720</v>
      </c>
      <c r="B226" t="s">
        <v>411</v>
      </c>
    </row>
    <row r="227" spans="1:2" x14ac:dyDescent="0.25">
      <c r="B227" t="s">
        <v>412</v>
      </c>
    </row>
    <row r="228" spans="1:2" x14ac:dyDescent="0.25">
      <c r="B228" t="s">
        <v>413</v>
      </c>
    </row>
    <row r="229" spans="1:2" x14ac:dyDescent="0.25">
      <c r="A229">
        <v>2750</v>
      </c>
      <c r="B229" t="s">
        <v>414</v>
      </c>
    </row>
    <row r="230" spans="1:2" x14ac:dyDescent="0.25">
      <c r="B230" t="s">
        <v>415</v>
      </c>
    </row>
    <row r="231" spans="1:2" x14ac:dyDescent="0.25">
      <c r="A231">
        <v>2770</v>
      </c>
      <c r="B231" t="s">
        <v>416</v>
      </c>
    </row>
    <row r="232" spans="1:2" x14ac:dyDescent="0.25">
      <c r="B232" t="s">
        <v>417</v>
      </c>
    </row>
    <row r="233" spans="1:2" x14ac:dyDescent="0.25">
      <c r="B233" t="s">
        <v>389</v>
      </c>
    </row>
    <row r="234" spans="1:2" x14ac:dyDescent="0.25">
      <c r="A234">
        <v>2800</v>
      </c>
      <c r="B234" t="s">
        <v>418</v>
      </c>
    </row>
    <row r="235" spans="1:2" x14ac:dyDescent="0.25">
      <c r="B235" t="s">
        <v>391</v>
      </c>
    </row>
    <row r="236" spans="1:2" x14ac:dyDescent="0.25">
      <c r="A236">
        <v>2810</v>
      </c>
      <c r="B236" t="s">
        <v>419</v>
      </c>
    </row>
    <row r="237" spans="1:2" x14ac:dyDescent="0.25">
      <c r="B237" t="s">
        <v>393</v>
      </c>
    </row>
    <row r="238" spans="1:2" x14ac:dyDescent="0.25">
      <c r="A238">
        <v>2820</v>
      </c>
      <c r="B238" t="s">
        <v>420</v>
      </c>
    </row>
    <row r="239" spans="1:2" x14ac:dyDescent="0.25">
      <c r="B239" t="s">
        <v>395</v>
      </c>
    </row>
    <row r="240" spans="1:2" x14ac:dyDescent="0.25">
      <c r="A240">
        <v>2841</v>
      </c>
      <c r="B240" t="s">
        <v>421</v>
      </c>
    </row>
    <row r="241" spans="1:2" x14ac:dyDescent="0.25">
      <c r="A241">
        <v>2830</v>
      </c>
      <c r="B241" t="s">
        <v>396</v>
      </c>
    </row>
    <row r="242" spans="1:2" x14ac:dyDescent="0.25">
      <c r="B242" t="s">
        <v>397</v>
      </c>
    </row>
    <row r="243" spans="1:2" x14ac:dyDescent="0.25">
      <c r="A243">
        <v>2850</v>
      </c>
      <c r="B243" t="s">
        <v>422</v>
      </c>
    </row>
    <row r="244" spans="1:2" x14ac:dyDescent="0.25">
      <c r="B244" t="s">
        <v>399</v>
      </c>
    </row>
    <row r="245" spans="1:2" x14ac:dyDescent="0.25">
      <c r="A245">
        <v>2860</v>
      </c>
      <c r="B245" t="s">
        <v>423</v>
      </c>
    </row>
    <row r="246" spans="1:2" x14ac:dyDescent="0.25">
      <c r="B246" t="s">
        <v>401</v>
      </c>
    </row>
    <row r="247" spans="1:2" x14ac:dyDescent="0.25">
      <c r="A247">
        <v>2888</v>
      </c>
      <c r="B247" t="s">
        <v>424</v>
      </c>
    </row>
    <row r="248" spans="1:2" x14ac:dyDescent="0.25">
      <c r="A248">
        <v>2870</v>
      </c>
      <c r="B248" t="s">
        <v>425</v>
      </c>
    </row>
    <row r="249" spans="1:2" x14ac:dyDescent="0.25">
      <c r="A249">
        <v>2881</v>
      </c>
      <c r="B249" t="s">
        <v>426</v>
      </c>
    </row>
    <row r="250" spans="1:2" x14ac:dyDescent="0.25">
      <c r="A250">
        <v>2880</v>
      </c>
      <c r="B250" t="s">
        <v>427</v>
      </c>
    </row>
    <row r="251" spans="1:2" x14ac:dyDescent="0.25">
      <c r="B251" t="s">
        <v>404</v>
      </c>
    </row>
    <row r="252" spans="1:2" x14ac:dyDescent="0.25">
      <c r="A252">
        <v>2890</v>
      </c>
      <c r="B252" t="s">
        <v>428</v>
      </c>
    </row>
    <row r="253" spans="1:2" x14ac:dyDescent="0.25">
      <c r="B253" t="s">
        <v>406</v>
      </c>
    </row>
    <row r="254" spans="1:2" x14ac:dyDescent="0.25">
      <c r="A254">
        <v>2900</v>
      </c>
      <c r="B254" t="s">
        <v>429</v>
      </c>
    </row>
    <row r="255" spans="1:2" x14ac:dyDescent="0.25">
      <c r="B255" t="s">
        <v>408</v>
      </c>
    </row>
    <row r="256" spans="1:2" x14ac:dyDescent="0.25">
      <c r="A256">
        <v>2910</v>
      </c>
      <c r="B256" t="s">
        <v>430</v>
      </c>
    </row>
    <row r="257" spans="1:2" x14ac:dyDescent="0.25">
      <c r="B257" t="s">
        <v>410</v>
      </c>
    </row>
    <row r="258" spans="1:2" x14ac:dyDescent="0.25">
      <c r="A258">
        <v>2941</v>
      </c>
      <c r="B258" t="s">
        <v>431</v>
      </c>
    </row>
    <row r="259" spans="1:2" x14ac:dyDescent="0.25">
      <c r="A259">
        <v>2935</v>
      </c>
      <c r="B259" t="s">
        <v>432</v>
      </c>
    </row>
    <row r="260" spans="1:2" x14ac:dyDescent="0.25">
      <c r="A260">
        <v>2925</v>
      </c>
      <c r="B260" t="s">
        <v>433</v>
      </c>
    </row>
    <row r="261" spans="1:2" x14ac:dyDescent="0.25">
      <c r="A261">
        <v>2921</v>
      </c>
      <c r="B261" t="s">
        <v>434</v>
      </c>
    </row>
    <row r="262" spans="1:2" x14ac:dyDescent="0.25">
      <c r="A262">
        <v>2923</v>
      </c>
      <c r="B262" t="s">
        <v>435</v>
      </c>
    </row>
    <row r="263" spans="1:2" x14ac:dyDescent="0.25">
      <c r="A263">
        <v>2940</v>
      </c>
      <c r="B263" t="s">
        <v>436</v>
      </c>
    </row>
    <row r="264" spans="1:2" x14ac:dyDescent="0.25">
      <c r="A264">
        <v>2927</v>
      </c>
      <c r="B264" t="s">
        <v>437</v>
      </c>
    </row>
    <row r="265" spans="1:2" x14ac:dyDescent="0.25">
      <c r="A265">
        <v>2930</v>
      </c>
      <c r="B265" t="s">
        <v>438</v>
      </c>
    </row>
    <row r="266" spans="1:2" x14ac:dyDescent="0.25">
      <c r="A266">
        <v>2920</v>
      </c>
      <c r="B266" t="s">
        <v>439</v>
      </c>
    </row>
    <row r="267" spans="1:2" x14ac:dyDescent="0.25">
      <c r="B267" t="s">
        <v>412</v>
      </c>
    </row>
    <row r="268" spans="1:2" x14ac:dyDescent="0.25">
      <c r="B268" t="s">
        <v>413</v>
      </c>
    </row>
    <row r="269" spans="1:2" x14ac:dyDescent="0.25">
      <c r="A269">
        <v>2970</v>
      </c>
      <c r="B269" t="s">
        <v>440</v>
      </c>
    </row>
    <row r="270" spans="1:2" x14ac:dyDescent="0.25">
      <c r="A270">
        <v>2965</v>
      </c>
      <c r="B270" t="s">
        <v>441</v>
      </c>
    </row>
    <row r="271" spans="1:2" x14ac:dyDescent="0.25">
      <c r="A271">
        <v>2951</v>
      </c>
      <c r="B271" t="s">
        <v>442</v>
      </c>
    </row>
    <row r="272" spans="1:2" x14ac:dyDescent="0.25">
      <c r="A272">
        <v>2963</v>
      </c>
      <c r="B272" t="s">
        <v>443</v>
      </c>
    </row>
    <row r="273" spans="1:2" x14ac:dyDescent="0.25">
      <c r="A273">
        <v>2968</v>
      </c>
      <c r="B273" t="s">
        <v>444</v>
      </c>
    </row>
    <row r="274" spans="1:2" x14ac:dyDescent="0.25">
      <c r="A274">
        <v>2962</v>
      </c>
      <c r="B274" t="s">
        <v>445</v>
      </c>
    </row>
    <row r="275" spans="1:2" x14ac:dyDescent="0.25">
      <c r="A275">
        <v>2950</v>
      </c>
      <c r="B275" t="s">
        <v>446</v>
      </c>
    </row>
    <row r="276" spans="1:2" x14ac:dyDescent="0.25">
      <c r="A276">
        <v>2952</v>
      </c>
      <c r="B276" t="s">
        <v>447</v>
      </c>
    </row>
    <row r="277" spans="1:2" x14ac:dyDescent="0.25">
      <c r="B277" t="s">
        <v>415</v>
      </c>
    </row>
    <row r="278" spans="1:2" x14ac:dyDescent="0.25">
      <c r="A278">
        <v>2980</v>
      </c>
      <c r="B278" t="s">
        <v>448</v>
      </c>
    </row>
    <row r="279" spans="1:2" x14ac:dyDescent="0.25">
      <c r="B279" t="s">
        <v>449</v>
      </c>
    </row>
    <row r="280" spans="1:2" x14ac:dyDescent="0.25">
      <c r="B280" t="s">
        <v>450</v>
      </c>
    </row>
    <row r="281" spans="1:2" x14ac:dyDescent="0.25">
      <c r="B281" t="s">
        <v>451</v>
      </c>
    </row>
    <row r="282" spans="1:2" x14ac:dyDescent="0.25">
      <c r="A282">
        <v>3099</v>
      </c>
      <c r="B282" t="s">
        <v>452</v>
      </c>
    </row>
    <row r="283" spans="1:2" x14ac:dyDescent="0.25">
      <c r="A283" s="1">
        <v>3000</v>
      </c>
      <c r="B283" t="s">
        <v>453</v>
      </c>
    </row>
    <row r="284" spans="1:2" x14ac:dyDescent="0.25">
      <c r="B284" t="s">
        <v>454</v>
      </c>
    </row>
    <row r="285" spans="1:2" x14ac:dyDescent="0.25">
      <c r="A285">
        <v>3200</v>
      </c>
      <c r="B285" t="s">
        <v>455</v>
      </c>
    </row>
    <row r="286" spans="1:2" x14ac:dyDescent="0.25">
      <c r="B286" t="s">
        <v>456</v>
      </c>
    </row>
    <row r="287" spans="1:2" x14ac:dyDescent="0.25">
      <c r="A287">
        <v>3250</v>
      </c>
      <c r="B287" t="s">
        <v>457</v>
      </c>
    </row>
    <row r="288" spans="1:2" x14ac:dyDescent="0.25">
      <c r="B288" t="s">
        <v>458</v>
      </c>
    </row>
    <row r="289" spans="1:2" x14ac:dyDescent="0.25">
      <c r="A289">
        <v>3300</v>
      </c>
      <c r="B289" t="s">
        <v>459</v>
      </c>
    </row>
    <row r="290" spans="1:2" x14ac:dyDescent="0.25">
      <c r="B290" t="s">
        <v>460</v>
      </c>
    </row>
    <row r="291" spans="1:2" x14ac:dyDescent="0.25">
      <c r="A291">
        <v>3330</v>
      </c>
      <c r="B291" t="s">
        <v>461</v>
      </c>
    </row>
    <row r="292" spans="1:2" x14ac:dyDescent="0.25">
      <c r="A292">
        <v>3350</v>
      </c>
      <c r="B292" t="s">
        <v>462</v>
      </c>
    </row>
    <row r="293" spans="1:2" x14ac:dyDescent="0.25">
      <c r="A293">
        <v>3380</v>
      </c>
      <c r="B293" t="s">
        <v>463</v>
      </c>
    </row>
    <row r="294" spans="1:2" x14ac:dyDescent="0.25">
      <c r="B294" t="s">
        <v>464</v>
      </c>
    </row>
    <row r="295" spans="1:2" x14ac:dyDescent="0.25">
      <c r="A295">
        <v>3410</v>
      </c>
      <c r="B295" t="s">
        <v>465</v>
      </c>
    </row>
    <row r="296" spans="1:2" x14ac:dyDescent="0.25">
      <c r="A296">
        <v>3400</v>
      </c>
      <c r="B296" t="s">
        <v>466</v>
      </c>
    </row>
    <row r="297" spans="1:2" x14ac:dyDescent="0.25">
      <c r="B297" t="s">
        <v>467</v>
      </c>
    </row>
    <row r="298" spans="1:2" x14ac:dyDescent="0.25">
      <c r="A298">
        <v>3440</v>
      </c>
      <c r="B298" t="s">
        <v>468</v>
      </c>
    </row>
    <row r="299" spans="1:2" x14ac:dyDescent="0.25">
      <c r="B299" t="s">
        <v>469</v>
      </c>
    </row>
    <row r="300" spans="1:2" x14ac:dyDescent="0.25">
      <c r="A300">
        <v>3500</v>
      </c>
      <c r="B300" t="s">
        <v>470</v>
      </c>
    </row>
    <row r="301" spans="1:2" x14ac:dyDescent="0.25">
      <c r="A301">
        <v>3590</v>
      </c>
      <c r="B301" t="s">
        <v>471</v>
      </c>
    </row>
    <row r="302" spans="1:2" x14ac:dyDescent="0.25">
      <c r="A302">
        <v>3550</v>
      </c>
      <c r="B302" t="s">
        <v>472</v>
      </c>
    </row>
    <row r="303" spans="1:2" x14ac:dyDescent="0.25">
      <c r="A303">
        <v>3570</v>
      </c>
      <c r="B303" t="s">
        <v>473</v>
      </c>
    </row>
    <row r="304" spans="1:2" x14ac:dyDescent="0.25">
      <c r="A304">
        <v>3580</v>
      </c>
      <c r="B304" t="s">
        <v>474</v>
      </c>
    </row>
    <row r="305" spans="1:2" x14ac:dyDescent="0.25">
      <c r="B305" t="s">
        <v>475</v>
      </c>
    </row>
    <row r="306" spans="1:2" x14ac:dyDescent="0.25">
      <c r="A306">
        <v>3600</v>
      </c>
      <c r="B306" t="s">
        <v>476</v>
      </c>
    </row>
    <row r="307" spans="1:2" x14ac:dyDescent="0.25">
      <c r="B307" t="s">
        <v>477</v>
      </c>
    </row>
    <row r="308" spans="1:2" x14ac:dyDescent="0.25">
      <c r="A308">
        <v>3630</v>
      </c>
      <c r="B308" t="s">
        <v>478</v>
      </c>
    </row>
    <row r="309" spans="1:2" x14ac:dyDescent="0.25">
      <c r="B309" t="s">
        <v>479</v>
      </c>
    </row>
    <row r="310" spans="1:2" x14ac:dyDescent="0.25">
      <c r="A310">
        <v>3900</v>
      </c>
      <c r="B310" t="s">
        <v>480</v>
      </c>
    </row>
    <row r="311" spans="1:2" x14ac:dyDescent="0.25">
      <c r="A311">
        <v>3650</v>
      </c>
      <c r="B311" t="s">
        <v>481</v>
      </c>
    </row>
    <row r="312" spans="1:2" x14ac:dyDescent="0.25">
      <c r="A312">
        <v>3800</v>
      </c>
      <c r="B312" t="s">
        <v>482</v>
      </c>
    </row>
    <row r="313" spans="1:2" x14ac:dyDescent="0.25">
      <c r="A313">
        <v>3980</v>
      </c>
      <c r="B313" t="s">
        <v>483</v>
      </c>
    </row>
    <row r="314" spans="1:2" x14ac:dyDescent="0.25">
      <c r="A314">
        <v>3710</v>
      </c>
      <c r="B314" t="s">
        <v>484</v>
      </c>
    </row>
    <row r="315" spans="1:2" x14ac:dyDescent="0.25">
      <c r="A315">
        <v>3750</v>
      </c>
      <c r="B315" t="s">
        <v>485</v>
      </c>
    </row>
    <row r="316" spans="1:2" x14ac:dyDescent="0.25">
      <c r="A316">
        <v>3700</v>
      </c>
      <c r="B316" t="s">
        <v>486</v>
      </c>
    </row>
    <row r="317" spans="1:2" x14ac:dyDescent="0.25">
      <c r="A317">
        <v>3850</v>
      </c>
      <c r="B317" t="s">
        <v>487</v>
      </c>
    </row>
    <row r="318" spans="1:2" x14ac:dyDescent="0.25">
      <c r="B318" t="s">
        <v>488</v>
      </c>
    </row>
    <row r="319" spans="1:2" x14ac:dyDescent="0.25">
      <c r="B319" t="s">
        <v>489</v>
      </c>
    </row>
    <row r="320" spans="1:2" x14ac:dyDescent="0.25">
      <c r="B320" t="s">
        <v>490</v>
      </c>
    </row>
    <row r="321" spans="1:2" x14ac:dyDescent="0.25">
      <c r="B321" t="s">
        <v>491</v>
      </c>
    </row>
    <row r="322" spans="1:2" x14ac:dyDescent="0.25">
      <c r="A322">
        <v>4000</v>
      </c>
      <c r="B322" t="s">
        <v>492</v>
      </c>
    </row>
    <row r="323" spans="1:2" x14ac:dyDescent="0.25">
      <c r="B323" t="s">
        <v>493</v>
      </c>
    </row>
    <row r="324" spans="1:2" x14ac:dyDescent="0.25">
      <c r="A324">
        <v>4090</v>
      </c>
      <c r="B324" t="s">
        <v>494</v>
      </c>
    </row>
    <row r="325" spans="1:2" x14ac:dyDescent="0.25">
      <c r="A325">
        <v>4130</v>
      </c>
      <c r="B325" t="s">
        <v>495</v>
      </c>
    </row>
    <row r="326" spans="1:2" x14ac:dyDescent="0.25">
      <c r="A326">
        <v>4110</v>
      </c>
      <c r="B326" t="s">
        <v>496</v>
      </c>
    </row>
    <row r="327" spans="1:2" x14ac:dyDescent="0.25">
      <c r="B327" t="s">
        <v>497</v>
      </c>
    </row>
    <row r="328" spans="1:2" x14ac:dyDescent="0.25">
      <c r="A328">
        <v>4160</v>
      </c>
      <c r="B328" t="s">
        <v>498</v>
      </c>
    </row>
    <row r="329" spans="1:2" x14ac:dyDescent="0.25">
      <c r="A329">
        <v>4150</v>
      </c>
      <c r="B329" t="s">
        <v>499</v>
      </c>
    </row>
    <row r="330" spans="1:2" x14ac:dyDescent="0.25">
      <c r="B330" t="s">
        <v>500</v>
      </c>
    </row>
    <row r="331" spans="1:2" x14ac:dyDescent="0.25">
      <c r="A331">
        <v>4200</v>
      </c>
      <c r="B331" t="s">
        <v>501</v>
      </c>
    </row>
    <row r="332" spans="1:2" x14ac:dyDescent="0.25">
      <c r="B332" t="s">
        <v>502</v>
      </c>
    </row>
    <row r="333" spans="1:2" x14ac:dyDescent="0.25">
      <c r="A333">
        <v>4260</v>
      </c>
      <c r="B333" t="s">
        <v>503</v>
      </c>
    </row>
    <row r="334" spans="1:2" x14ac:dyDescent="0.25">
      <c r="A334">
        <v>4230</v>
      </c>
      <c r="B334" t="s">
        <v>504</v>
      </c>
    </row>
    <row r="335" spans="1:2" x14ac:dyDescent="0.25">
      <c r="A335">
        <v>4270</v>
      </c>
      <c r="B335" t="s">
        <v>505</v>
      </c>
    </row>
    <row r="336" spans="1:2" x14ac:dyDescent="0.25">
      <c r="A336">
        <v>4370</v>
      </c>
      <c r="B336" t="s">
        <v>506</v>
      </c>
    </row>
    <row r="337" spans="1:2" x14ac:dyDescent="0.25">
      <c r="A337">
        <v>4340</v>
      </c>
      <c r="B337" t="s">
        <v>507</v>
      </c>
    </row>
    <row r="338" spans="1:2" x14ac:dyDescent="0.25">
      <c r="A338">
        <v>4380</v>
      </c>
      <c r="B338" t="s">
        <v>508</v>
      </c>
    </row>
    <row r="339" spans="1:2" x14ac:dyDescent="0.25">
      <c r="A339">
        <v>4290</v>
      </c>
      <c r="B339" t="s">
        <v>509</v>
      </c>
    </row>
    <row r="340" spans="1:2" x14ac:dyDescent="0.25">
      <c r="B340" t="s">
        <v>510</v>
      </c>
    </row>
    <row r="341" spans="1:2" x14ac:dyDescent="0.25">
      <c r="A341">
        <v>4400</v>
      </c>
      <c r="B341" t="s">
        <v>511</v>
      </c>
    </row>
    <row r="342" spans="1:2" x14ac:dyDescent="0.25">
      <c r="B342" t="s">
        <v>512</v>
      </c>
    </row>
    <row r="343" spans="1:2" x14ac:dyDescent="0.25">
      <c r="A343">
        <v>4450</v>
      </c>
      <c r="B343" t="s">
        <v>513</v>
      </c>
    </row>
    <row r="344" spans="1:2" x14ac:dyDescent="0.25">
      <c r="A344">
        <v>4490</v>
      </c>
      <c r="B344" t="s">
        <v>514</v>
      </c>
    </row>
    <row r="345" spans="1:2" x14ac:dyDescent="0.25">
      <c r="A345">
        <v>4480</v>
      </c>
      <c r="B345" t="s">
        <v>515</v>
      </c>
    </row>
    <row r="346" spans="1:2" x14ac:dyDescent="0.25">
      <c r="A346">
        <v>4470</v>
      </c>
      <c r="B346" t="s">
        <v>516</v>
      </c>
    </row>
    <row r="347" spans="1:2" x14ac:dyDescent="0.25">
      <c r="B347" t="s">
        <v>517</v>
      </c>
    </row>
    <row r="348" spans="1:2" x14ac:dyDescent="0.25">
      <c r="B348" t="s">
        <v>518</v>
      </c>
    </row>
    <row r="349" spans="1:2" x14ac:dyDescent="0.25">
      <c r="B349" t="s">
        <v>519</v>
      </c>
    </row>
    <row r="350" spans="1:2" x14ac:dyDescent="0.25">
      <c r="A350">
        <v>5090</v>
      </c>
      <c r="B350" t="s">
        <v>520</v>
      </c>
    </row>
    <row r="351" spans="1:2" x14ac:dyDescent="0.25">
      <c r="A351">
        <v>5300</v>
      </c>
      <c r="B351" t="s">
        <v>521</v>
      </c>
    </row>
    <row r="352" spans="1:2" x14ac:dyDescent="0.25">
      <c r="A352">
        <v>5330</v>
      </c>
      <c r="B352" t="s">
        <v>447</v>
      </c>
    </row>
    <row r="353" spans="1:2" x14ac:dyDescent="0.25">
      <c r="A353">
        <v>5000</v>
      </c>
      <c r="B353" t="s">
        <v>522</v>
      </c>
    </row>
    <row r="354" spans="1:2" x14ac:dyDescent="0.25">
      <c r="A354">
        <v>5200</v>
      </c>
      <c r="B354" t="s">
        <v>523</v>
      </c>
    </row>
    <row r="355" spans="1:2" x14ac:dyDescent="0.25">
      <c r="A355">
        <v>5470</v>
      </c>
      <c r="B355" t="s">
        <v>524</v>
      </c>
    </row>
    <row r="356" spans="1:2" x14ac:dyDescent="0.25">
      <c r="A356">
        <v>5400</v>
      </c>
      <c r="B356" t="s">
        <v>525</v>
      </c>
    </row>
    <row r="357" spans="1:2" x14ac:dyDescent="0.25">
      <c r="A357">
        <v>5100</v>
      </c>
      <c r="B357" t="s">
        <v>526</v>
      </c>
    </row>
    <row r="358" spans="1:2" x14ac:dyDescent="0.25">
      <c r="B358" t="s">
        <v>527</v>
      </c>
    </row>
    <row r="359" spans="1:2" x14ac:dyDescent="0.25">
      <c r="A359">
        <v>5770</v>
      </c>
      <c r="B359" t="s">
        <v>528</v>
      </c>
    </row>
    <row r="360" spans="1:2" x14ac:dyDescent="0.25">
      <c r="A360">
        <v>5600</v>
      </c>
      <c r="B360" t="s">
        <v>529</v>
      </c>
    </row>
    <row r="361" spans="1:2" x14ac:dyDescent="0.25">
      <c r="A361">
        <v>5700</v>
      </c>
      <c r="B361" t="s">
        <v>530</v>
      </c>
    </row>
    <row r="362" spans="1:2" x14ac:dyDescent="0.25">
      <c r="B362" t="s">
        <v>531</v>
      </c>
    </row>
    <row r="363" spans="1:2" x14ac:dyDescent="0.25">
      <c r="A363">
        <v>5900</v>
      </c>
      <c r="B363" t="s">
        <v>532</v>
      </c>
    </row>
    <row r="364" spans="1:2" x14ac:dyDescent="0.25">
      <c r="A364">
        <v>5960</v>
      </c>
      <c r="B364" t="s">
        <v>533</v>
      </c>
    </row>
    <row r="365" spans="1:2" x14ac:dyDescent="0.25">
      <c r="A365">
        <v>5800</v>
      </c>
      <c r="B365" t="s">
        <v>534</v>
      </c>
    </row>
    <row r="366" spans="1:2" x14ac:dyDescent="0.25">
      <c r="B366" t="s">
        <v>535</v>
      </c>
    </row>
    <row r="367" spans="1:2" x14ac:dyDescent="0.25">
      <c r="A367">
        <v>5990</v>
      </c>
      <c r="B367" t="s">
        <v>536</v>
      </c>
    </row>
    <row r="368" spans="1:2" x14ac:dyDescent="0.25">
      <c r="B368" t="s">
        <v>537</v>
      </c>
    </row>
    <row r="369" spans="1:2" x14ac:dyDescent="0.25">
      <c r="B369" t="s">
        <v>538</v>
      </c>
    </row>
    <row r="370" spans="1:2" x14ac:dyDescent="0.25">
      <c r="A370">
        <v>6290</v>
      </c>
      <c r="B370" t="s">
        <v>539</v>
      </c>
    </row>
    <row r="371" spans="1:2" x14ac:dyDescent="0.25">
      <c r="A371">
        <v>6100</v>
      </c>
      <c r="B371" t="s">
        <v>443</v>
      </c>
    </row>
    <row r="372" spans="1:2" x14ac:dyDescent="0.25">
      <c r="A372">
        <v>6120</v>
      </c>
      <c r="B372" t="s">
        <v>540</v>
      </c>
    </row>
    <row r="373" spans="1:2" x14ac:dyDescent="0.25">
      <c r="A373">
        <v>6240</v>
      </c>
      <c r="B373" t="s">
        <v>541</v>
      </c>
    </row>
    <row r="374" spans="1:2" x14ac:dyDescent="0.25">
      <c r="A374">
        <v>6130</v>
      </c>
      <c r="B374" t="s">
        <v>542</v>
      </c>
    </row>
    <row r="375" spans="1:2" x14ac:dyDescent="0.25">
      <c r="A375">
        <v>6000</v>
      </c>
      <c r="B375" t="s">
        <v>543</v>
      </c>
    </row>
    <row r="376" spans="1:2" x14ac:dyDescent="0.25">
      <c r="B376" t="s">
        <v>544</v>
      </c>
    </row>
    <row r="377" spans="1:2" x14ac:dyDescent="0.25">
      <c r="A377">
        <v>6300</v>
      </c>
      <c r="B377" t="s">
        <v>545</v>
      </c>
    </row>
    <row r="378" spans="1:2" x14ac:dyDescent="0.25">
      <c r="A378">
        <v>6450</v>
      </c>
      <c r="B378" t="s">
        <v>546</v>
      </c>
    </row>
    <row r="379" spans="1:2" x14ac:dyDescent="0.25">
      <c r="A379">
        <v>6690</v>
      </c>
      <c r="B379" t="s">
        <v>539</v>
      </c>
    </row>
    <row r="380" spans="1:2" x14ac:dyDescent="0.25">
      <c r="A380">
        <v>6500</v>
      </c>
      <c r="B380" t="s">
        <v>547</v>
      </c>
    </row>
    <row r="381" spans="1:2" x14ac:dyDescent="0.25">
      <c r="A381">
        <v>6410</v>
      </c>
      <c r="B381" t="s">
        <v>548</v>
      </c>
    </row>
    <row r="382" spans="1:2" x14ac:dyDescent="0.25">
      <c r="A382">
        <v>6400</v>
      </c>
      <c r="B382" t="s">
        <v>549</v>
      </c>
    </row>
    <row r="383" spans="1:2" x14ac:dyDescent="0.25">
      <c r="A383">
        <v>6430</v>
      </c>
      <c r="B383" t="s">
        <v>550</v>
      </c>
    </row>
    <row r="384" spans="1:2" x14ac:dyDescent="0.25">
      <c r="B384" t="s">
        <v>551</v>
      </c>
    </row>
    <row r="385" spans="1:2" x14ac:dyDescent="0.25">
      <c r="B385" t="s">
        <v>552</v>
      </c>
    </row>
    <row r="386" spans="1:2" x14ac:dyDescent="0.25">
      <c r="A386">
        <v>6800</v>
      </c>
      <c r="B386" t="s">
        <v>553</v>
      </c>
    </row>
    <row r="387" spans="1:2" x14ac:dyDescent="0.25">
      <c r="B387" t="s">
        <v>554</v>
      </c>
    </row>
    <row r="388" spans="1:2" x14ac:dyDescent="0.25">
      <c r="A388">
        <v>6930</v>
      </c>
      <c r="B388" t="s">
        <v>555</v>
      </c>
    </row>
    <row r="389" spans="1:2" x14ac:dyDescent="0.25">
      <c r="B389" t="s">
        <v>556</v>
      </c>
    </row>
    <row r="390" spans="1:2" x14ac:dyDescent="0.25">
      <c r="A390">
        <v>6950</v>
      </c>
      <c r="B390" t="s">
        <v>557</v>
      </c>
    </row>
    <row r="391" spans="1:2" x14ac:dyDescent="0.25">
      <c r="B391" t="s">
        <v>558</v>
      </c>
    </row>
    <row r="392" spans="1:2" x14ac:dyDescent="0.25">
      <c r="A392">
        <v>6990</v>
      </c>
      <c r="B392" t="s">
        <v>559</v>
      </c>
    </row>
    <row r="393" spans="1:2" x14ac:dyDescent="0.25">
      <c r="B393" t="s">
        <v>560</v>
      </c>
    </row>
    <row r="394" spans="1:2" x14ac:dyDescent="0.25">
      <c r="B394" t="s">
        <v>561</v>
      </c>
    </row>
    <row r="395" spans="1:2" x14ac:dyDescent="0.25">
      <c r="A395">
        <v>7040</v>
      </c>
      <c r="B395" t="s">
        <v>562</v>
      </c>
    </row>
    <row r="396" spans="1:2" x14ac:dyDescent="0.25">
      <c r="A396">
        <v>7000</v>
      </c>
      <c r="B396" t="s">
        <v>563</v>
      </c>
    </row>
    <row r="397" spans="1:2" x14ac:dyDescent="0.25">
      <c r="A397">
        <v>7030</v>
      </c>
      <c r="B397" t="s">
        <v>564</v>
      </c>
    </row>
    <row r="398" spans="1:2" x14ac:dyDescent="0.25">
      <c r="A398">
        <v>7020</v>
      </c>
      <c r="B398" t="s">
        <v>565</v>
      </c>
    </row>
    <row r="399" spans="1:2" x14ac:dyDescent="0.25">
      <c r="A399">
        <v>7010</v>
      </c>
      <c r="B399" t="s">
        <v>566</v>
      </c>
    </row>
    <row r="400" spans="1:2" x14ac:dyDescent="0.25">
      <c r="B400" t="s">
        <v>567</v>
      </c>
    </row>
    <row r="401" spans="1:2" x14ac:dyDescent="0.25">
      <c r="A401">
        <v>7250</v>
      </c>
      <c r="B401" t="s">
        <v>568</v>
      </c>
    </row>
    <row r="402" spans="1:2" x14ac:dyDescent="0.25">
      <c r="A402">
        <v>7370</v>
      </c>
      <c r="B402" t="s">
        <v>569</v>
      </c>
    </row>
    <row r="403" spans="1:2" x14ac:dyDescent="0.25">
      <c r="A403">
        <v>7270</v>
      </c>
      <c r="B403" t="s">
        <v>570</v>
      </c>
    </row>
    <row r="404" spans="1:2" x14ac:dyDescent="0.25">
      <c r="A404">
        <v>7200</v>
      </c>
      <c r="B404" t="s">
        <v>571</v>
      </c>
    </row>
    <row r="405" spans="1:2" x14ac:dyDescent="0.25">
      <c r="A405">
        <v>7230</v>
      </c>
      <c r="B405" t="s">
        <v>572</v>
      </c>
    </row>
    <row r="406" spans="1:2" x14ac:dyDescent="0.25">
      <c r="A406">
        <v>7390</v>
      </c>
      <c r="B406" t="s">
        <v>573</v>
      </c>
    </row>
    <row r="407" spans="1:2" x14ac:dyDescent="0.25">
      <c r="A407">
        <v>7380</v>
      </c>
      <c r="B407" t="s">
        <v>574</v>
      </c>
    </row>
    <row r="408" spans="1:2" x14ac:dyDescent="0.25">
      <c r="B408" t="s">
        <v>575</v>
      </c>
    </row>
    <row r="409" spans="1:2" x14ac:dyDescent="0.25">
      <c r="A409">
        <v>7504</v>
      </c>
      <c r="B409" t="s">
        <v>576</v>
      </c>
    </row>
    <row r="410" spans="1:2" x14ac:dyDescent="0.25">
      <c r="A410">
        <v>7500</v>
      </c>
      <c r="B410" t="s">
        <v>577</v>
      </c>
    </row>
    <row r="411" spans="1:2" x14ac:dyDescent="0.25">
      <c r="B411" t="s">
        <v>578</v>
      </c>
    </row>
    <row r="412" spans="1:2" x14ac:dyDescent="0.25">
      <c r="A412">
        <v>7640</v>
      </c>
      <c r="B412" t="s">
        <v>579</v>
      </c>
    </row>
    <row r="413" spans="1:2" x14ac:dyDescent="0.25">
      <c r="A413">
        <v>7650</v>
      </c>
      <c r="B413" t="s">
        <v>580</v>
      </c>
    </row>
    <row r="414" spans="1:2" x14ac:dyDescent="0.25">
      <c r="B414" t="s">
        <v>581</v>
      </c>
    </row>
    <row r="415" spans="1:2" x14ac:dyDescent="0.25">
      <c r="A415">
        <v>7720</v>
      </c>
      <c r="B415" t="s">
        <v>582</v>
      </c>
    </row>
    <row r="416" spans="1:2" x14ac:dyDescent="0.25">
      <c r="A416">
        <v>7730</v>
      </c>
      <c r="B416" t="s">
        <v>583</v>
      </c>
    </row>
    <row r="417" spans="1:2" x14ac:dyDescent="0.25">
      <c r="A417">
        <v>7710</v>
      </c>
      <c r="B417" t="s">
        <v>584</v>
      </c>
    </row>
    <row r="418" spans="1:2" x14ac:dyDescent="0.25">
      <c r="B418" t="s">
        <v>585</v>
      </c>
    </row>
    <row r="419" spans="1:2" x14ac:dyDescent="0.25">
      <c r="A419">
        <v>7870</v>
      </c>
      <c r="B419" t="s">
        <v>586</v>
      </c>
    </row>
    <row r="420" spans="1:2" x14ac:dyDescent="0.25">
      <c r="A420">
        <v>7800</v>
      </c>
      <c r="B420" t="s">
        <v>587</v>
      </c>
    </row>
    <row r="421" spans="1:2" x14ac:dyDescent="0.25">
      <c r="A421">
        <v>7880</v>
      </c>
      <c r="B421" t="s">
        <v>588</v>
      </c>
    </row>
    <row r="422" spans="1:2" x14ac:dyDescent="0.25">
      <c r="B422" t="s">
        <v>589</v>
      </c>
    </row>
    <row r="423" spans="1:2" x14ac:dyDescent="0.25">
      <c r="A423">
        <v>7950</v>
      </c>
      <c r="B423" t="s">
        <v>590</v>
      </c>
    </row>
    <row r="424" spans="1:2" x14ac:dyDescent="0.25">
      <c r="B424" t="s">
        <v>591</v>
      </c>
    </row>
    <row r="425" spans="1:2" x14ac:dyDescent="0.25">
      <c r="A425">
        <v>8000</v>
      </c>
      <c r="B425" t="s">
        <v>592</v>
      </c>
    </row>
    <row r="426" spans="1:2" x14ac:dyDescent="0.25">
      <c r="A426">
        <v>8010</v>
      </c>
      <c r="B426" t="s">
        <v>593</v>
      </c>
    </row>
    <row r="427" spans="1:2" x14ac:dyDescent="0.25">
      <c r="B427" t="s">
        <v>594</v>
      </c>
    </row>
    <row r="428" spans="1:2" x14ac:dyDescent="0.25">
      <c r="A428">
        <v>8250</v>
      </c>
      <c r="B428" t="s">
        <v>595</v>
      </c>
    </row>
    <row r="429" spans="1:2" x14ac:dyDescent="0.25">
      <c r="A429">
        <v>8050</v>
      </c>
      <c r="B429" t="s">
        <v>596</v>
      </c>
    </row>
    <row r="430" spans="1:2" x14ac:dyDescent="0.25">
      <c r="A430">
        <v>8280</v>
      </c>
      <c r="B430" t="s">
        <v>597</v>
      </c>
    </row>
    <row r="431" spans="1:2" x14ac:dyDescent="0.25">
      <c r="B431" t="s">
        <v>598</v>
      </c>
    </row>
    <row r="432" spans="1:2" x14ac:dyDescent="0.25">
      <c r="A432">
        <v>8300</v>
      </c>
      <c r="B432" t="s">
        <v>599</v>
      </c>
    </row>
    <row r="433" spans="1:2" x14ac:dyDescent="0.25">
      <c r="B433" t="s">
        <v>600</v>
      </c>
    </row>
    <row r="434" spans="1:2" x14ac:dyDescent="0.25">
      <c r="A434">
        <v>8370</v>
      </c>
      <c r="B434" t="s">
        <v>601</v>
      </c>
    </row>
    <row r="435" spans="1:2" x14ac:dyDescent="0.25">
      <c r="B435" t="s">
        <v>602</v>
      </c>
    </row>
    <row r="436" spans="1:2" x14ac:dyDescent="0.25">
      <c r="A436">
        <v>8600</v>
      </c>
      <c r="B436" t="s">
        <v>603</v>
      </c>
    </row>
    <row r="437" spans="1:2" x14ac:dyDescent="0.25">
      <c r="A437">
        <v>8500</v>
      </c>
      <c r="B437" t="s">
        <v>604</v>
      </c>
    </row>
    <row r="438" spans="1:2" x14ac:dyDescent="0.25">
      <c r="A438">
        <v>8680</v>
      </c>
      <c r="B438" t="s">
        <v>605</v>
      </c>
    </row>
    <row r="439" spans="1:2" x14ac:dyDescent="0.25">
      <c r="A439">
        <v>8480</v>
      </c>
      <c r="B439" t="s">
        <v>606</v>
      </c>
    </row>
    <row r="440" spans="1:2" x14ac:dyDescent="0.25">
      <c r="A440">
        <v>8450</v>
      </c>
      <c r="B440" t="s">
        <v>607</v>
      </c>
    </row>
    <row r="441" spans="1:2" x14ac:dyDescent="0.25">
      <c r="A441">
        <v>8650</v>
      </c>
      <c r="B441" t="s">
        <v>608</v>
      </c>
    </row>
    <row r="442" spans="1:2" x14ac:dyDescent="0.25">
      <c r="A442">
        <v>8560</v>
      </c>
      <c r="B442" t="s">
        <v>609</v>
      </c>
    </row>
    <row r="443" spans="1:2" x14ac:dyDescent="0.25">
      <c r="B443" t="s">
        <v>610</v>
      </c>
    </row>
    <row r="444" spans="1:2" x14ac:dyDescent="0.25">
      <c r="A444">
        <v>8790</v>
      </c>
      <c r="B444" t="s">
        <v>611</v>
      </c>
    </row>
    <row r="445" spans="1:2" x14ac:dyDescent="0.25">
      <c r="A445">
        <v>8730</v>
      </c>
      <c r="B445" t="s">
        <v>612</v>
      </c>
    </row>
    <row r="446" spans="1:2" x14ac:dyDescent="0.25">
      <c r="A446">
        <v>8780</v>
      </c>
      <c r="B446" t="s">
        <v>613</v>
      </c>
    </row>
    <row r="447" spans="1:2" x14ac:dyDescent="0.25">
      <c r="A447">
        <v>8800</v>
      </c>
      <c r="B447" t="s">
        <v>614</v>
      </c>
    </row>
    <row r="448" spans="1:2" x14ac:dyDescent="0.25">
      <c r="A448">
        <v>8700</v>
      </c>
      <c r="B448" t="s">
        <v>615</v>
      </c>
    </row>
    <row r="449" spans="1:2" x14ac:dyDescent="0.25">
      <c r="A449">
        <v>8850</v>
      </c>
      <c r="B449" t="s">
        <v>616</v>
      </c>
    </row>
    <row r="450" spans="1:2" x14ac:dyDescent="0.25">
      <c r="B450" t="s">
        <v>617</v>
      </c>
    </row>
    <row r="451" spans="1:2" x14ac:dyDescent="0.25">
      <c r="A451">
        <v>8890</v>
      </c>
      <c r="B451" t="s">
        <v>618</v>
      </c>
    </row>
    <row r="452" spans="1:2" x14ac:dyDescent="0.25">
      <c r="B452" t="s">
        <v>619</v>
      </c>
    </row>
    <row r="453" spans="1:2" x14ac:dyDescent="0.25">
      <c r="A453">
        <v>8990</v>
      </c>
      <c r="B453" t="s">
        <v>620</v>
      </c>
    </row>
    <row r="454" spans="1:2" x14ac:dyDescent="0.25">
      <c r="B454" t="s">
        <v>621</v>
      </c>
    </row>
    <row r="455" spans="1:2" x14ac:dyDescent="0.25">
      <c r="B455" t="s">
        <v>622</v>
      </c>
    </row>
    <row r="456" spans="1:2" x14ac:dyDescent="0.25">
      <c r="A456">
        <v>9000</v>
      </c>
      <c r="B456" t="s">
        <v>623</v>
      </c>
    </row>
    <row r="457" spans="1:2" x14ac:dyDescent="0.25">
      <c r="B457" t="s">
        <v>624</v>
      </c>
    </row>
    <row r="458" spans="1:2" x14ac:dyDescent="0.25">
      <c r="A458">
        <v>9030</v>
      </c>
      <c r="B458" t="s">
        <v>625</v>
      </c>
    </row>
    <row r="459" spans="1:2" x14ac:dyDescent="0.25">
      <c r="B459" t="s">
        <v>626</v>
      </c>
    </row>
    <row r="460" spans="1:2" x14ac:dyDescent="0.25">
      <c r="B460" t="s">
        <v>627</v>
      </c>
    </row>
    <row r="461" spans="1:2" x14ac:dyDescent="0.25">
      <c r="A461">
        <v>9040</v>
      </c>
      <c r="B461" t="s">
        <v>628</v>
      </c>
    </row>
    <row r="462" spans="1:2" x14ac:dyDescent="0.25">
      <c r="B462" t="s">
        <v>629</v>
      </c>
    </row>
    <row r="463" spans="1:2" x14ac:dyDescent="0.25">
      <c r="A463">
        <v>9070</v>
      </c>
      <c r="B463" t="s">
        <v>630</v>
      </c>
    </row>
    <row r="464" spans="1:2" x14ac:dyDescent="0.25">
      <c r="B464" t="s">
        <v>631</v>
      </c>
    </row>
    <row r="465" spans="1:2" x14ac:dyDescent="0.25">
      <c r="B465" t="s">
        <v>632</v>
      </c>
    </row>
    <row r="466" spans="1:2" x14ac:dyDescent="0.25">
      <c r="A466">
        <v>9080</v>
      </c>
      <c r="B466" t="s">
        <v>633</v>
      </c>
    </row>
    <row r="467" spans="1:2" x14ac:dyDescent="0.25">
      <c r="B467" t="s">
        <v>634</v>
      </c>
    </row>
    <row r="468" spans="1:2" x14ac:dyDescent="0.25">
      <c r="A468">
        <v>9090</v>
      </c>
      <c r="B468" t="s">
        <v>635</v>
      </c>
    </row>
    <row r="469" spans="1:2" x14ac:dyDescent="0.25">
      <c r="B469" t="s">
        <v>636</v>
      </c>
    </row>
    <row r="470" spans="1:2" x14ac:dyDescent="0.25">
      <c r="B470" t="s">
        <v>632</v>
      </c>
    </row>
    <row r="471" spans="1:2" x14ac:dyDescent="0.25">
      <c r="A471">
        <v>9150</v>
      </c>
      <c r="B471" t="s">
        <v>637</v>
      </c>
    </row>
    <row r="472" spans="1:2" x14ac:dyDescent="0.25">
      <c r="B472" t="s">
        <v>634</v>
      </c>
    </row>
    <row r="473" spans="1:2" x14ac:dyDescent="0.25">
      <c r="A473">
        <v>9260</v>
      </c>
      <c r="B473" t="s">
        <v>638</v>
      </c>
    </row>
    <row r="474" spans="1:2" x14ac:dyDescent="0.25">
      <c r="A474">
        <v>9180</v>
      </c>
      <c r="B474" t="s">
        <v>639</v>
      </c>
    </row>
    <row r="475" spans="1:2" x14ac:dyDescent="0.25">
      <c r="A475">
        <v>9160</v>
      </c>
      <c r="B475" t="s">
        <v>640</v>
      </c>
    </row>
    <row r="476" spans="1:2" x14ac:dyDescent="0.25">
      <c r="A476">
        <v>9240</v>
      </c>
      <c r="B476" t="s">
        <v>641</v>
      </c>
    </row>
    <row r="477" spans="1:2" x14ac:dyDescent="0.25">
      <c r="B477" t="s">
        <v>642</v>
      </c>
    </row>
    <row r="478" spans="1:2" x14ac:dyDescent="0.25">
      <c r="A478">
        <v>9300</v>
      </c>
      <c r="B478" t="s">
        <v>643</v>
      </c>
    </row>
    <row r="479" spans="1:2" x14ac:dyDescent="0.25">
      <c r="B479" t="s">
        <v>644</v>
      </c>
    </row>
    <row r="480" spans="1:2" x14ac:dyDescent="0.25">
      <c r="A480">
        <v>9370</v>
      </c>
      <c r="B480" t="s">
        <v>645</v>
      </c>
    </row>
    <row r="481" spans="1:2" x14ac:dyDescent="0.25">
      <c r="B481" t="s">
        <v>646</v>
      </c>
    </row>
    <row r="482" spans="1:2" x14ac:dyDescent="0.25">
      <c r="B482" t="s">
        <v>647</v>
      </c>
    </row>
    <row r="483" spans="1:2" x14ac:dyDescent="0.25">
      <c r="A483">
        <v>9420</v>
      </c>
      <c r="B483" t="s">
        <v>648</v>
      </c>
    </row>
    <row r="484" spans="1:2" x14ac:dyDescent="0.25">
      <c r="B484" t="s">
        <v>649</v>
      </c>
    </row>
    <row r="485" spans="1:2" x14ac:dyDescent="0.25">
      <c r="A485">
        <v>9640</v>
      </c>
      <c r="B485" t="s">
        <v>650</v>
      </c>
    </row>
    <row r="486" spans="1:2" x14ac:dyDescent="0.25">
      <c r="A486">
        <v>9442</v>
      </c>
      <c r="B486" t="s">
        <v>651</v>
      </c>
    </row>
    <row r="487" spans="1:2" x14ac:dyDescent="0.25">
      <c r="A487">
        <v>9620</v>
      </c>
      <c r="B487" t="s">
        <v>652</v>
      </c>
    </row>
    <row r="488" spans="1:2" x14ac:dyDescent="0.25">
      <c r="A488">
        <v>9440</v>
      </c>
      <c r="B488" t="s">
        <v>653</v>
      </c>
    </row>
    <row r="489" spans="1:2" x14ac:dyDescent="0.25">
      <c r="A489">
        <v>9540</v>
      </c>
      <c r="B489" t="s">
        <v>654</v>
      </c>
    </row>
    <row r="490" spans="1:2" x14ac:dyDescent="0.25">
      <c r="B490" t="s">
        <v>655</v>
      </c>
    </row>
    <row r="491" spans="1:2" x14ac:dyDescent="0.25">
      <c r="B491" t="s">
        <v>656</v>
      </c>
    </row>
    <row r="492" spans="1:2" x14ac:dyDescent="0.25">
      <c r="A492">
        <v>9800</v>
      </c>
      <c r="B492" t="s">
        <v>657</v>
      </c>
    </row>
    <row r="493" spans="1:2" x14ac:dyDescent="0.25">
      <c r="B493" t="s">
        <v>658</v>
      </c>
    </row>
    <row r="494" spans="1:2" x14ac:dyDescent="0.25">
      <c r="A494">
        <v>9840</v>
      </c>
      <c r="B494" t="s">
        <v>659</v>
      </c>
    </row>
    <row r="495" spans="1:2" x14ac:dyDescent="0.25">
      <c r="B495" t="s">
        <v>660</v>
      </c>
    </row>
    <row r="496" spans="1:2" x14ac:dyDescent="0.25">
      <c r="A496">
        <v>9850</v>
      </c>
      <c r="B496" t="s">
        <v>661</v>
      </c>
    </row>
    <row r="497" spans="1:2" x14ac:dyDescent="0.25">
      <c r="B497" t="s">
        <v>662</v>
      </c>
    </row>
    <row r="498" spans="1:2" x14ac:dyDescent="0.25">
      <c r="A498">
        <v>9860</v>
      </c>
      <c r="B498" t="s">
        <v>663</v>
      </c>
    </row>
    <row r="499" spans="1:2" x14ac:dyDescent="0.25">
      <c r="B499" t="s">
        <v>664</v>
      </c>
    </row>
    <row r="500" spans="1:2" x14ac:dyDescent="0.25">
      <c r="B500" t="s">
        <v>665</v>
      </c>
    </row>
    <row r="501" spans="1:2" x14ac:dyDescent="0.25">
      <c r="A501">
        <v>9940</v>
      </c>
      <c r="B501" t="s">
        <v>666</v>
      </c>
    </row>
    <row r="502" spans="1:2" x14ac:dyDescent="0.25">
      <c r="A502">
        <v>9900</v>
      </c>
      <c r="B502" t="s">
        <v>667</v>
      </c>
    </row>
    <row r="503" spans="1:2" x14ac:dyDescent="0.25">
      <c r="A503">
        <v>9950</v>
      </c>
      <c r="B503" t="s">
        <v>668</v>
      </c>
    </row>
    <row r="504" spans="1:2" x14ac:dyDescent="0.25">
      <c r="B504" t="s">
        <v>669</v>
      </c>
    </row>
    <row r="505" spans="1:2" x14ac:dyDescent="0.25">
      <c r="A505">
        <v>9970</v>
      </c>
      <c r="B505" t="s">
        <v>670</v>
      </c>
    </row>
    <row r="506" spans="1:2" x14ac:dyDescent="0.25">
      <c r="B506" t="s">
        <v>671</v>
      </c>
    </row>
    <row r="507" spans="1:2" x14ac:dyDescent="0.25">
      <c r="A507">
        <v>9980</v>
      </c>
      <c r="B507" t="s">
        <v>672</v>
      </c>
    </row>
    <row r="508" spans="1:2" x14ac:dyDescent="0.25">
      <c r="B508" t="s">
        <v>371</v>
      </c>
    </row>
    <row r="509" spans="1:2" x14ac:dyDescent="0.25">
      <c r="A509">
        <v>9990</v>
      </c>
      <c r="B509" t="s">
        <v>673</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Pikaohjeet</vt:lpstr>
      <vt:lpstr>2KP perusidea tee videolta</vt:lpstr>
      <vt:lpstr>2KP perusidea open kirjaukset</vt:lpstr>
      <vt:lpstr>Esimerkki Ope</vt:lpstr>
      <vt:lpstr>2KP Kirjanpito oma</vt:lpstr>
      <vt:lpstr>2 KP Kirjanpito oma (2)</vt:lpstr>
      <vt:lpstr>Apulaskentaa</vt:lpstr>
      <vt:lpstr>Tilikartta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Kirjanpitoharjoitus</dc:title>
  <dc:subject/>
  <dc:creator>Mika.Mujunen@sakky.fi</dc:creator>
  <cp:keywords/>
  <dc:description/>
  <cp:lastModifiedBy>Mujunen Mika</cp:lastModifiedBy>
  <dcterms:created xsi:type="dcterms:W3CDTF">2025-01-10T22:44:36Z</dcterms:created>
  <dcterms:modified xsi:type="dcterms:W3CDTF">2025-05-02T19:44:41Z</dcterms:modified>
  <cp:category/>
</cp:coreProperties>
</file>